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75BCBDA0-DA50-472D-91CF-45C2895F511D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Painel" sheetId="7" r:id="rId7"/>
    <sheet name="Registros" sheetId="8" r:id="rId8"/>
    <sheet name="EQC_Dados" sheetId="9" r:id="rId9"/>
    <sheet name="Cfg_PlanoQC" sheetId="25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r:id="rId17"/>
    <sheet name="Estatística" sheetId="10" r:id="rId18"/>
    <sheet name="Usuarios" sheetId="11" r:id="rId19"/>
    <sheet name="Liberação" sheetId="12" r:id="rId20"/>
    <sheet name="LiberStore" sheetId="13" r:id="rId21"/>
    <sheet name="RegistrosStore" sheetId="14" r:id="rId22"/>
    <sheet name="Resultados" sheetId="16" r:id="rId23"/>
    <sheet name="Login" sheetId="15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4" i="10" l="1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B93" i="10" s="1"/>
  <c r="A92" i="10"/>
  <c r="AB92" i="10" s="1"/>
  <c r="A91" i="10"/>
  <c r="AB91" i="10" s="1"/>
  <c r="A90" i="10"/>
  <c r="AB90" i="10" s="1"/>
  <c r="A89" i="10"/>
  <c r="AB89" i="10" s="1"/>
  <c r="A88" i="10"/>
  <c r="AB88" i="10" s="1"/>
  <c r="A87" i="10"/>
  <c r="AB87" i="10" s="1"/>
  <c r="A86" i="10"/>
  <c r="AB86" i="10" s="1"/>
  <c r="A85" i="10"/>
  <c r="AB85" i="10" s="1"/>
  <c r="A84" i="10"/>
  <c r="AB84" i="10" s="1"/>
  <c r="A83" i="10"/>
  <c r="AB83" i="10" s="1"/>
  <c r="A82" i="10"/>
  <c r="AB82" i="10" s="1"/>
  <c r="A81" i="10"/>
  <c r="AB81" i="10" s="1"/>
  <c r="A80" i="10"/>
  <c r="AB80" i="10" s="1"/>
  <c r="A79" i="10"/>
  <c r="AB79" i="10" s="1"/>
  <c r="A78" i="10"/>
  <c r="AB78" i="10" s="1"/>
  <c r="A77" i="10"/>
  <c r="AB77" i="10" s="1"/>
  <c r="A76" i="10"/>
  <c r="AB76" i="10" s="1"/>
  <c r="A75" i="10"/>
  <c r="AB75" i="10" s="1"/>
  <c r="A74" i="10"/>
  <c r="AB74" i="10" s="1"/>
  <c r="A73" i="10"/>
  <c r="AB73" i="10" s="1"/>
  <c r="A72" i="10"/>
  <c r="AB72" i="10" s="1"/>
  <c r="A71" i="10"/>
  <c r="AB71" i="10" s="1"/>
  <c r="A70" i="10"/>
  <c r="AB70" i="10" s="1"/>
  <c r="A69" i="10"/>
  <c r="AB69" i="10" s="1"/>
  <c r="A68" i="10"/>
  <c r="AB68" i="10" s="1"/>
  <c r="A67" i="10"/>
  <c r="AB67" i="10" s="1"/>
  <c r="A66" i="10"/>
  <c r="AB66" i="10" s="1"/>
  <c r="A65" i="10"/>
  <c r="AB65" i="10" s="1"/>
  <c r="A64" i="10"/>
  <c r="AB64" i="10" s="1"/>
  <c r="A63" i="10"/>
  <c r="AB63" i="10" s="1"/>
  <c r="A62" i="10"/>
  <c r="AB62" i="10" s="1"/>
  <c r="A61" i="10"/>
  <c r="AB61" i="10" s="1"/>
  <c r="A60" i="10"/>
  <c r="AB60" i="10" s="1"/>
  <c r="A59" i="10"/>
  <c r="AB59" i="10" s="1"/>
  <c r="A58" i="10"/>
  <c r="AB58" i="10" s="1"/>
  <c r="A57" i="10"/>
  <c r="AB57" i="10" s="1"/>
  <c r="A56" i="10"/>
  <c r="AB56" i="10" s="1"/>
  <c r="A55" i="10"/>
  <c r="AB55" i="10" s="1"/>
  <c r="A54" i="10"/>
  <c r="AB54" i="10" s="1"/>
  <c r="A53" i="10"/>
  <c r="AB53" i="10" s="1"/>
  <c r="A52" i="10"/>
  <c r="AB52" i="10" s="1"/>
  <c r="A51" i="10"/>
  <c r="AB51" i="10" s="1"/>
  <c r="A50" i="10"/>
  <c r="AB50" i="10" s="1"/>
  <c r="A49" i="10"/>
  <c r="AB49" i="10" s="1"/>
  <c r="A48" i="10"/>
  <c r="AB48" i="10" s="1"/>
  <c r="A47" i="10"/>
  <c r="AB47" i="10" s="1"/>
  <c r="A46" i="10"/>
  <c r="AB46" i="10" s="1"/>
  <c r="A45" i="10"/>
  <c r="AB45" i="10" s="1"/>
  <c r="A44" i="10"/>
  <c r="AB44" i="10" s="1"/>
  <c r="A43" i="10"/>
  <c r="AB43" i="10" s="1"/>
  <c r="A42" i="10"/>
  <c r="AB42" i="10" s="1"/>
  <c r="A41" i="10"/>
  <c r="AB41" i="10" s="1"/>
  <c r="A40" i="10"/>
  <c r="AB40" i="10" s="1"/>
  <c r="A39" i="10"/>
  <c r="AB39" i="10" s="1"/>
  <c r="A38" i="10"/>
  <c r="AB38" i="10" s="1"/>
  <c r="A37" i="10"/>
  <c r="AB37" i="10" s="1"/>
  <c r="A36" i="10"/>
  <c r="AB36" i="10" s="1"/>
  <c r="A35" i="10"/>
  <c r="AB35" i="10" s="1"/>
  <c r="A34" i="10"/>
  <c r="AB34" i="10" s="1"/>
  <c r="A33" i="10"/>
  <c r="AB33" i="10" s="1"/>
  <c r="A32" i="10"/>
  <c r="AB32" i="10" s="1"/>
  <c r="A31" i="10"/>
  <c r="AB31" i="10" s="1"/>
  <c r="A30" i="10"/>
  <c r="AB30" i="10" s="1"/>
  <c r="A29" i="10"/>
  <c r="AB29" i="10" s="1"/>
  <c r="A28" i="10"/>
  <c r="AB28" i="10" s="1"/>
  <c r="A27" i="10"/>
  <c r="AB27" i="10" s="1"/>
  <c r="A26" i="10"/>
  <c r="AB26" i="10" s="1"/>
  <c r="A25" i="10"/>
  <c r="AB25" i="10" s="1"/>
  <c r="A24" i="10"/>
  <c r="AB24" i="10" s="1"/>
  <c r="A23" i="10"/>
  <c r="AB23" i="10" s="1"/>
  <c r="A22" i="10"/>
  <c r="AB22" i="10" s="1"/>
  <c r="A21" i="10"/>
  <c r="AB21" i="10" s="1"/>
  <c r="A20" i="10"/>
  <c r="AB20" i="10" s="1"/>
  <c r="A19" i="10"/>
  <c r="AB19" i="10" s="1"/>
  <c r="A18" i="10"/>
  <c r="AB18" i="10" s="1"/>
  <c r="A17" i="10"/>
  <c r="AB17" i="10" s="1"/>
  <c r="A16" i="10"/>
  <c r="AB16" i="10" s="1"/>
  <c r="A15" i="10"/>
  <c r="AB15" i="10" s="1"/>
  <c r="A14" i="10"/>
  <c r="AB14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O7" i="7" s="1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C13" i="19" l="1"/>
  <c r="T152" i="18"/>
  <c r="X2" i="21"/>
  <c r="J20" i="22" s="1"/>
  <c r="F13" i="22"/>
  <c r="J21" i="22"/>
  <c r="J19" i="22"/>
  <c r="E13" i="22"/>
  <c r="A72" i="22"/>
  <c r="A63" i="22"/>
  <c r="A60" i="22"/>
  <c r="A57" i="22"/>
  <c r="A54" i="22"/>
  <c r="A52" i="22"/>
  <c r="A49" i="22"/>
  <c r="A46" i="22"/>
  <c r="A44" i="22"/>
  <c r="A41" i="22"/>
  <c r="A39" i="22"/>
  <c r="A36" i="22"/>
  <c r="A35" i="22"/>
  <c r="A33" i="22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6" i="19"/>
  <c r="A5" i="19"/>
  <c r="J33" i="22"/>
  <c r="J35" i="22"/>
  <c r="J36" i="22"/>
  <c r="J39" i="22"/>
  <c r="J41" i="22"/>
  <c r="J44" i="22"/>
  <c r="J46" i="22"/>
  <c r="J49" i="22"/>
  <c r="J52" i="22"/>
  <c r="J54" i="22"/>
  <c r="J57" i="22"/>
  <c r="J60" i="22"/>
  <c r="J63" i="22"/>
  <c r="J72" i="22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47" i="22"/>
  <c r="I64" i="22"/>
  <c r="I67" i="22"/>
  <c r="I81" i="22"/>
  <c r="I44" i="22"/>
  <c r="I3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H28" i="22"/>
  <c r="H30" i="22"/>
  <c r="H74" i="22"/>
  <c r="H59" i="22"/>
  <c r="H31" i="22"/>
  <c r="H65" i="22"/>
  <c r="H67" i="22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42" i="22"/>
  <c r="H71" i="22"/>
  <c r="H45" i="22"/>
  <c r="H58" i="22"/>
  <c r="H75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9" i="22"/>
  <c r="H77" i="22"/>
  <c r="H50" i="22"/>
  <c r="H84" i="22"/>
  <c r="H78" i="22"/>
  <c r="H32" i="22"/>
  <c r="H47" i="22"/>
  <c r="H86" i="22"/>
  <c r="H54" i="22"/>
  <c r="H79" i="22"/>
  <c r="H33" i="22"/>
  <c r="H80" i="22"/>
  <c r="H85" i="22"/>
  <c r="H51" i="22"/>
  <c r="G6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31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49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F58" i="22"/>
  <c r="F55" i="22"/>
  <c r="F31" i="22"/>
  <c r="F73" i="22"/>
  <c r="U17" i="18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T517" i="18" l="1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U11" i="7"/>
  <c r="T18" i="7"/>
  <c r="T17" i="7"/>
  <c r="U10" i="7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W11" i="7" s="1"/>
  <c r="M20" i="10"/>
  <c r="W10" i="7" s="1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U17" i="7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K101" i="6" s="1"/>
  <c r="H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K41" i="6" s="1"/>
  <c r="H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H24" i="6"/>
  <c r="K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U18" i="7" l="1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Y11" i="7" s="1"/>
  <c r="V21" i="10"/>
  <c r="X11" i="7" s="1"/>
  <c r="AA21" i="10"/>
  <c r="X23" i="7" s="1"/>
  <c r="X21" i="10"/>
  <c r="T23" i="7" s="1"/>
  <c r="Z21" i="10"/>
  <c r="V23" i="7" s="1"/>
  <c r="Y21" i="10"/>
  <c r="U23" i="7" s="1"/>
  <c r="S23" i="7"/>
  <c r="W23" i="7" s="1"/>
  <c r="V11" i="7"/>
  <c r="W20" i="10"/>
  <c r="Y10" i="7" s="1"/>
  <c r="V20" i="10"/>
  <c r="X10" i="7" s="1"/>
  <c r="Y20" i="10"/>
  <c r="U22" i="7" s="1"/>
  <c r="AA20" i="10"/>
  <c r="X22" i="7" s="1"/>
  <c r="Z20" i="10"/>
  <c r="V22" i="7" s="1"/>
  <c r="X20" i="10"/>
  <c r="T22" i="7" s="1"/>
  <c r="S22" i="7"/>
  <c r="W22" i="7" s="1"/>
  <c r="V10" i="7"/>
  <c r="AG24" i="6"/>
  <c r="M24" i="6"/>
  <c r="K107" i="6"/>
  <c r="M107" i="6"/>
  <c r="G8" i="19"/>
  <c r="O21" i="10"/>
  <c r="V18" i="7" s="1"/>
  <c r="O20" i="10"/>
  <c r="V17" i="7" s="1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8" i="7" l="1"/>
  <c r="G7" i="7"/>
  <c r="H7" i="7"/>
  <c r="H8" i="7"/>
  <c r="I8" i="7"/>
  <c r="K7" i="7"/>
  <c r="K8" i="7"/>
  <c r="J7" i="7"/>
  <c r="J8" i="7"/>
  <c r="I7" i="7"/>
  <c r="P21" i="10"/>
  <c r="W18" i="7" s="1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M7" i="7" s="1"/>
  <c r="L8" i="7"/>
  <c r="M8" i="7" s="1"/>
  <c r="W17" i="7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Z69" i="10" l="1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O67" i="10" s="1"/>
  <c r="P67" i="10" s="1"/>
  <c r="U67" i="10" s="1"/>
  <c r="L67" i="10"/>
  <c r="N66" i="10"/>
  <c r="O66" i="10" s="1"/>
  <c r="P66" i="10" s="1"/>
  <c r="L66" i="10"/>
  <c r="T32" i="3"/>
  <c r="V32" i="3"/>
  <c r="U32" i="3" s="1"/>
  <c r="Z73" i="10" l="1"/>
  <c r="W73" i="10"/>
  <c r="V73" i="10"/>
  <c r="AA73" i="10"/>
  <c r="X73" i="10"/>
  <c r="Y73" i="10"/>
  <c r="W72" i="10"/>
  <c r="V72" i="10"/>
  <c r="Y72" i="10"/>
  <c r="AA72" i="10"/>
  <c r="Z72" i="10"/>
  <c r="X72" i="10"/>
  <c r="W67" i="10"/>
  <c r="V67" i="10"/>
  <c r="Z67" i="10"/>
  <c r="Y67" i="10"/>
  <c r="X67" i="10"/>
  <c r="AA67" i="10"/>
  <c r="W66" i="10"/>
  <c r="V66" i="10"/>
  <c r="AA66" i="10"/>
  <c r="Z66" i="10"/>
  <c r="X66" i="10"/>
  <c r="Y66" i="10"/>
  <c r="M73" i="10"/>
  <c r="M72" i="10"/>
  <c r="M67" i="10"/>
  <c r="M66" i="10"/>
  <c r="U66" i="10"/>
  <c r="U68" i="10"/>
  <c r="U69" i="10"/>
  <c r="K71" i="10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AA71" i="10" l="1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<sst xmlns="http://schemas.openxmlformats.org/spreadsheetml/2006/main" count="56108" uniqueCount="1159">
  <si>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</si>
  <si>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</si>
  <si>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</si>
  <si>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</si>
  <si>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</si>
  <si>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</si>
  <si>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</si>
  <si>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</si>
  <si>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</si>
  <si>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</si>
  <si>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</si>
  <si>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</si>
  <si>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</si>
  <si>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</si>
  <si>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</si>
  <si>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</si>
  <si>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</si>
  <si>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</si>
  <si>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</si>
  <si>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</si>
  <si>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</si>
  <si>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</si>
  <si>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</si>
  <si>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</si>
  <si>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</si>
  <si>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</si>
  <si>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</si>
  <si>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</si>
  <si>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</si>
  <si>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</si>
  <si>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</si>
  <si>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</si>
  <si>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</si>
  <si>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</si>
  <si>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</si>
  <si>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</si>
  <si>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</si>
  <si>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</si>
  <si>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</si>
  <si>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</si>
  <si>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</si>
  <si>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</si>
  <si>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</si>
  <si>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</si>
  <si>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</si>
  <si>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</si>
  <si>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</si>
  <si>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</si>
  <si>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</si>
  <si>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</si>
  <si>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</si>
  <si>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</si>
  <si>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</si>
  <si>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</si>
  <si>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</si>
  <si>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</si>
  <si>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</si>
  <si>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</si>
  <si>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</si>
  <si>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</si>
  <si>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</si>
  <si>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</si>
  <si>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</si>
  <si>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</si>
  <si>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</si>
  <si>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</si>
  <si>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</si>
  <si>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</si>
  <si>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</si>
  <si>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</si>
  <si>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</si>
  <si>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</si>
  <si>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</si>
  <si>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</si>
  <si>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</si>
  <si>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</si>
  <si>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</si>
  <si>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</si>
  <si>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</si>
  <si>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</si>
  <si>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</si>
  <si>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</si>
  <si>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</si>
  <si>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</si>
  <si>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</si>
  <si>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</si>
  <si>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</si>
  <si>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</si>
  <si>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</si>
  <si>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</si>
  <si>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</si>
  <si>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</si>
  <si>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</si>
  <si>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</si>
  <si>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</si>
  <si>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</si>
  <si>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</si>
  <si>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</si>
  <si>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</si>
  <si>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</si>
  <si>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</si>
  <si>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</si>
  <si>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</si>
  <si>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</si>
  <si>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</si>
  <si>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</si>
  <si>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</si>
  <si>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</si>
  <si>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</si>
  <si>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</si>
  <si>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</si>
  <si>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</si>
  <si>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</si>
  <si>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</si>
  <si>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</si>
  <si>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</si>
  <si>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</si>
  <si>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</si>
  <si>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</si>
  <si>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</si>
  <si>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</si>
  <si>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</si>
  <si>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</si>
  <si>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</si>
  <si>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</si>
  <si>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</si>
  <si>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</si>
  <si>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</si>
  <si>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</si>
  <si>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</si>
  <si>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</si>
  <si>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</si>
  <si>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</si>
  <si>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</si>
  <si>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</si>
  <si>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</si>
  <si>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</si>
  <si>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</si>
  <si>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</si>
  <si>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</si>
  <si>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</si>
  <si>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</si>
  <si>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</si>
  <si>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</si>
  <si>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</si>
  <si>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</si>
  <si>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</si>
  <si>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</si>
  <si>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</si>
  <si>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</si>
  <si>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</si>
  <si>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</si>
  <si>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</si>
  <si>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</si>
  <si>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</si>
  <si>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</si>
  <si>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</si>
  <si>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</si>
  <si>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</si>
  <si>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</si>
  <si>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</si>
  <si>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</si>
  <si>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</si>
  <si>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</si>
  <si>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</si>
  <si>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</si>
  <si>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</si>
  <si>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</si>
  <si>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</si>
  <si>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</si>
  <si>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</si>
  <si>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</si>
  <si>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</si>
  <si>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</si>
  <si>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</si>
  <si>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</si>
  <si>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</si>
  <si>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</si>
  <si>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</si>
  <si>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</si>
  <si>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</si>
  <si>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</si>
  <si>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</si>
  <si>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</si>
  <si>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</si>
  <si>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</si>
  <si>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</si>
  <si>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</si>
  <si>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</si>
  <si>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</si>
  <si>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</si>
  <si>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</si>
  <si>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</si>
  <si>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</si>
  <si>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</si>
  <si>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</si>
  <si>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</si>
  <si>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</si>
  <si>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</si>
  <si>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</si>
  <si>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</si>
  <si>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</si>
  <si>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</si>
  <si>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</si>
  <si>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</si>
  <si>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</si>
  <si>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</si>
  <si>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</si>
  <si>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</si>
  <si>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</si>
  <si>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</si>
  <si>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</si>
  <si>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</si>
  <si>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</si>
  <si>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</si>
  <si>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</si>
  <si>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</si>
  <si>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</si>
  <si>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</si>
  <si>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</si>
  <si>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</si>
  <si>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</si>
  <si>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</si>
  <si>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</si>
  <si>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</si>
  <si>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</si>
  <si>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</si>
  <si>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</si>
  <si>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</si>
  <si>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</si>
  <si>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</si>
  <si>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</si>
  <si>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</si>
  <si>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</si>
  <si>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</si>
  <si>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</si>
  <si>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</si>
  <si>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</si>
  <si>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</si>
  <si>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</si>
  <si>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</si>
  <si>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</si>
  <si>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</si>
  <si>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</si>
  <si>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</si>
  <si>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</si>
  <si>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</si>
  <si>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</si>
  <si>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</si>
  <si>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</si>
  <si>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</si>
  <si>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</si>
  <si>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</si>
  <si>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</si>
  <si>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</si>
  <si>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</si>
  <si>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</si>
  <si>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</si>
  <si>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</si>
  <si>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</si>
  <si>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</si>
  <si>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</si>
  <si>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</si>
  <si>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</si>
  <si>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</si>
  <si>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</si>
  <si>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</si>
  <si>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</si>
  <si>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</si>
  <si>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</si>
  <si>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</si>
  <si>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</si>
  <si>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</si>
  <si>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</si>
  <si>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</si>
  <si>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</si>
  <si>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</si>
  <si>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</si>
  <si>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</si>
  <si>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</si>
  <si>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</si>
  <si>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</si>
  <si>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</si>
  <si>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</si>
  <si>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</si>
  <si>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</si>
  <si>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</si>
  <si>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</si>
  <si>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</si>
  <si>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</si>
  <si>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</si>
  <si>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</si>
  <si>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</si>
  <si>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</si>
  <si>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</si>
  <si>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</si>
  <si>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</si>
  <si>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</si>
  <si>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</si>
  <si>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</si>
  <si>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</si>
  <si>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</si>
  <si>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</si>
  <si>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</si>
  <si>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</si>
  <si>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</si>
  <si>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</si>
  <si>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</si>
  <si>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</si>
  <si>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</si>
  <si>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</si>
  <si>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</si>
  <si>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</si>
  <si>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</si>
  <si>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</si>
  <si>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</si>
  <si>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</si>
  <si>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</si>
  <si>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</si>
  <si>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</si>
  <si>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</si>
  <si>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</si>
  <si>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</si>
  <si>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</si>
  <si>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</si>
  <si>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</si>
  <si>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</si>
  <si>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</si>
  <si>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</si>
  <si>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</si>
  <si>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</si>
  <si>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</si>
  <si>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</si>
  <si>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</si>
  <si>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</si>
  <si>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</si>
  <si>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</si>
  <si>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</si>
  <si>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</si>
  <si>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</si>
  <si>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</si>
  <si>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</si>
  <si>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</si>
  <si>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</si>
  <si>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</si>
  <si>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</si>
  <si>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</si>
  <si>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</si>
  <si>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</si>
  <si>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</si>
  <si>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</si>
  <si>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</si>
  <si>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</si>
  <si>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</si>
  <si>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</si>
  <si>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</si>
  <si>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</si>
  <si>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</si>
  <si>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</si>
  <si>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</si>
  <si>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</si>
  <si>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</si>
  <si>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</si>
  <si>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</si>
  <si>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</si>
  <si>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</si>
  <si>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</si>
  <si>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</si>
  <si>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</si>
  <si>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</si>
  <si>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</si>
  <si>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</si>
  <si>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</si>
  <si>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</si>
  <si>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</si>
  <si>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</si>
  <si>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</si>
  <si>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</si>
  <si>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</si>
  <si>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</si>
  <si>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</si>
  <si>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</si>
  <si>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</si>
  <si>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</si>
  <si>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</si>
  <si>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</si>
  <si>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</si>
  <si>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</si>
  <si>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</si>
  <si>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</si>
  <si>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</si>
  <si>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</si>
  <si>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</si>
  <si>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</si>
  <si>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</si>
  <si>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</si>
  <si>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</si>
  <si>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</si>
  <si>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</si>
  <si>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</si>
  <si>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</si>
  <si>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</si>
  <si>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</si>
  <si>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</si>
  <si>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</si>
  <si>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</si>
  <si>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</si>
  <si>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</si>
  <si>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</si>
  <si>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</si>
  <si>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</si>
  <si>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</si>
  <si>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</si>
  <si>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</si>
  <si>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</si>
  <si>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</si>
  <si>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</si>
  <si>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</si>
  <si>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</si>
  <si>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</si>
  <si>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</si>
  <si>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</si>
  <si>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</si>
  <si>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</si>
  <si>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</si>
  <si>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</si>
  <si>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</si>
  <si>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</si>
  <si>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</si>
  <si>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</si>
  <si>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</si>
  <si>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</si>
  <si>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</si>
  <si>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</si>
  <si>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</si>
  <si>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</si>
  <si>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</si>
  <si>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</si>
  <si>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</si>
  <si>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</si>
  <si>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</si>
  <si>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</si>
  <si>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</si>
  <si>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</si>
  <si>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</si>
  <si>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</si>
  <si>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</si>
  <si>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</si>
  <si>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</si>
  <si>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</si>
  <si>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</si>
  <si>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</si>
  <si>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</si>
  <si>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</si>
  <si>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</si>
  <si>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</si>
  <si>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</si>
  <si>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</si>
  <si>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</si>
  <si>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</si>
  <si>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</si>
  <si>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</si>
  <si>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</si>
  <si>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</si>
  <si>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</si>
  <si>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</si>
  <si>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</si>
  <si>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</si>
  <si>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</si>
  <si>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</si>
  <si>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</si>
  <si>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</si>
  <si>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</si>
  <si>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</si>
  <si>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</si>
  <si>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</si>
  <si>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</si>
  <si>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</si>
  <si>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</si>
  <si>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</si>
  <si>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</si>
  <si>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</si>
  <si>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</si>
  <si>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</si>
  <si>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</si>
  <si>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</si>
  <si>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</si>
  <si>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</si>
  <si>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</si>
  <si>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</si>
  <si>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</si>
  <si>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</si>
  <si>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</si>
  <si>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</si>
  <si>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</si>
  <si>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</si>
  <si>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</si>
  <si>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</si>
  <si>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</si>
  <si>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</si>
  <si>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</si>
  <si>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</si>
  <si>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</si>
  <si>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</si>
  <si>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</si>
  <si>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</si>
  <si>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</si>
  <si>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</si>
  <si>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</si>
  <si>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</si>
  <si>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</si>
  <si>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</si>
  <si>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</si>
  <si>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</si>
  <si>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</si>
  <si>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</si>
  <si>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</si>
  <si>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</si>
  <si>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</si>
  <si>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</si>
  <si>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</si>
  <si>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</si>
  <si>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</si>
  <si>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</si>
  <si>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</si>
  <si>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</si>
  <si>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</si>
  <si>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</si>
  <si>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</si>
  <si>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</si>
  <si>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</si>
  <si>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</si>
  <si>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</si>
  <si>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</si>
  <si>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</si>
  <si>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</si>
  <si>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</si>
  <si>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</si>
  <si>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</si>
  <si>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</si>
  <si>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</si>
  <si>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</si>
  <si>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</si>
  <si>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</si>
  <si>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</si>
  <si>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</si>
  <si>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</si>
  <si>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</si>
  <si>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</si>
  <si>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</si>
  <si>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</si>
  <si>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</si>
  <si>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</si>
  <si>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</si>
  <si>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</si>
  <si>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</si>
  <si>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</si>
  <si>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</si>
  <si>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</si>
  <si>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</si>
  <si>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</si>
  <si>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</si>
  <si>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</si>
  <si>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</si>
  <si>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</si>
  <si>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</si>
  <si>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</si>
  <si>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</si>
  <si>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</si>
  <si>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</si>
  <si>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</si>
  <si>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</si>
  <si>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</si>
  <si>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</si>
  <si>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</si>
  <si>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</si>
  <si>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</si>
  <si>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</si>
  <si>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</si>
  <si>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</si>
  <si>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</si>
  <si>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</si>
  <si>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</si>
  <si>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</si>
  <si>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</si>
  <si>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</si>
  <si>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</si>
  <si>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</si>
  <si>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</si>
  <si>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</si>
  <si>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</si>
  <si>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</si>
  <si>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</si>
  <si>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</si>
  <si>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</si>
  <si>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</si>
  <si>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</si>
  <si>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</si>
  <si>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</si>
  <si>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</si>
  <si>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</si>
  <si>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</si>
  <si>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</si>
  <si>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</si>
  <si>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</si>
  <si>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</si>
  <si>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</si>
  <si>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</si>
  <si>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</si>
  <si>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</si>
  <si>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</si>
  <si>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</si>
  <si>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</si>
  <si>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</si>
  <si>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</si>
  <si>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</si>
  <si>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</si>
  <si>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</si>
  <si>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</si>
  <si>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</si>
  <si>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</si>
  <si>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</si>
  <si>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</si>
  <si>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</si>
  <si>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</si>
  <si>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</si>
  <si>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</si>
  <si>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</si>
  <si>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</si>
  <si>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</si>
  <si>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</si>
  <si>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</si>
  <si>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</si>
  <si>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</si>
  <si>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</si>
  <si>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</si>
  <si>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</si>
  <si>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</si>
  <si>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</si>
  <si>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</si>
  <si>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</si>
  <si>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</si>
  <si>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</si>
  <si>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</si>
  <si>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</si>
  <si>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</si>
  <si>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</si>
  <si>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</si>
  <si>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</si>
  <si>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</si>
  <si>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</si>
  <si>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</si>
  <si>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</si>
  <si>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</si>
  <si>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</si>
  <si>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</si>
  <si>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</si>
  <si>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</si>
  <si>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</si>
  <si>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</si>
  <si>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</si>
  <si>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</si>
  <si>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</si>
  <si>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</si>
  <si>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</si>
  <si>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</si>
  <si>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</si>
  <si>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</si>
  <si>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</si>
  <si>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</si>
  <si>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</si>
  <si>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</si>
  <si>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</si>
  <si>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</si>
  <si>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</si>
  <si>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</si>
  <si>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</si>
  <si>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</si>
  <si>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</si>
  <si>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</si>
  <si>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</si>
  <si>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</si>
  <si>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</si>
  <si>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</si>
  <si>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</si>
  <si>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</si>
  <si>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</si>
  <si>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</si>
  <si>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</si>
  <si>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</si>
  <si>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</si>
  <si>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</si>
  <si>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</si>
  <si>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</si>
  <si>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</si>
  <si>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</si>
  <si>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</si>
  <si>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</si>
  <si>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</si>
  <si>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</si>
  <si>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</si>
  <si>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</si>
  <si>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</si>
  <si>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</si>
  <si>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</si>
  <si>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</si>
  <si>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</si>
  <si>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</si>
  <si>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</si>
  <si>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</si>
  <si>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</si>
  <si>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</si>
  <si>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</si>
  <si>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</si>
  <si>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</si>
  <si>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</si>
  <si>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</si>
  <si>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</si>
  <si>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</si>
  <si>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</si>
  <si>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</si>
  <si>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</si>
  <si>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</si>
  <si>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</si>
  <si>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</si>
  <si>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</si>
  <si>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</si>
  <si>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</si>
  <si>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</si>
  <si>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</si>
  <si>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</si>
  <si>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</si>
  <si>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</si>
  <si>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</si>
  <si>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</si>
  <si>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</si>
  <si>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</si>
  <si>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</si>
  <si>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</si>
  <si>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</si>
  <si>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</si>
  <si>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</si>
  <si>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</si>
  <si>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</si>
  <si>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</si>
  <si>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</si>
  <si>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</si>
  <si>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</si>
  <si>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</si>
  <si>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</si>
  <si>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</si>
  <si>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</si>
  <si>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</si>
  <si>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</si>
  <si>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</si>
  <si>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</si>
  <si>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</si>
  <si>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</si>
  <si>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</si>
  <si>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</si>
  <si>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</si>
  <si>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</si>
  <si>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</si>
  <si>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</si>
  <si>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</si>
  <si>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</si>
  <si>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</si>
  <si>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</si>
  <si>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</si>
  <si>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</si>
  <si>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</si>
  <si>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</si>
  <si>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</si>
  <si>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</si>
  <si>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</si>
  <si>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</si>
  <si>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</si>
  <si>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</si>
  <si>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</si>
  <si>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</si>
  <si>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</si>
  <si>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</si>
  <si>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</si>
  <si>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</si>
  <si>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</si>
  <si>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</si>
  <si>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</si>
  <si>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</si>
  <si>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</si>
  <si>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</si>
  <si>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</si>
  <si>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</si>
  <si>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</si>
  <si>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</si>
  <si>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</si>
  <si>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</si>
  <si>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</si>
  <si>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</si>
  <si>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</si>
  <si>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</si>
  <si>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</si>
  <si>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</si>
  <si>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</si>
  <si>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</si>
  <si>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</si>
  <si>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</si>
  <si>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</si>
  <si>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</si>
  <si>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</si>
  <si>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</si>
  <si>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</si>
  <si>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</si>
  <si>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</si>
  <si>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</si>
  <si>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</si>
  <si>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</si>
  <si>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</si>
  <si>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</si>
  <si>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</si>
  <si>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</si>
  <si>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</si>
  <si>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</si>
  <si>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</si>
  <si>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</si>
  <si>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</si>
  <si>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</si>
  <si>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</si>
  <si>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</si>
  <si>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</si>
  <si>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</si>
  <si>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</si>
  <si>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</si>
  <si>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</si>
  <si>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</si>
  <si>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</si>
  <si>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</si>
  <si>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</si>
  <si>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</si>
  <si>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</si>
  <si>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</si>
  <si>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</si>
  <si>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</si>
  <si>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</si>
  <si>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</si>
  <si>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</si>
  <si>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</si>
  <si>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</si>
  <si>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</si>
  <si>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</si>
  <si>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</si>
  <si>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</si>
  <si>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</si>
  <si>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</si>
  <si>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</si>
  <si>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</si>
  <si>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</si>
  <si>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</si>
  <si>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</si>
  <si>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</si>
  <si>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</si>
  <si>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</si>
  <si>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</si>
  <si>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</si>
  <si>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</si>
  <si>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</si>
  <si>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</si>
  <si>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</si>
  <si>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</si>
  <si>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</si>
  <si>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</si>
  <si>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</si>
  <si>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</si>
  <si>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</si>
  <si>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</si>
  <si>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</si>
  <si>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</si>
  <si>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</si>
  <si>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</si>
  <si>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</si>
  <si>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</si>
  <si>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</si>
  <si>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</si>
  <si>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</si>
  <si>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</si>
  <si>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</si>
  <si>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</si>
  <si>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</si>
  <si>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</si>
  <si>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</si>
  <si>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</si>
  <si>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</si>
  <si>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</si>
  <si>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</si>
  <si>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</si>
  <si>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</si>
  <si>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</si>
  <si>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</si>
  <si>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</si>
  <si>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</si>
  <si>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</si>
  <si>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</si>
  <si>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</si>
  <si>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</si>
  <si>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</si>
  <si>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</si>
  <si>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</si>
  <si>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</si>
  <si>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</si>
  <si>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</si>
  <si>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</si>
  <si>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</si>
  <si>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</si>
  <si>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</si>
  <si>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</si>
  <si>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</si>
  <si>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</si>
  <si>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</si>
  <si>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</si>
  <si>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</si>
  <si>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</si>
  <si>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</si>
  <si>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</si>
  <si>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</si>
  <si>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</si>
  <si>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</si>
  <si>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</si>
  <si>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</si>
  <si>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</si>
  <si>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</si>
  <si>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</si>
  <si>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</si>
  <si>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</si>
  <si>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</si>
  <si>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</si>
  <si>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</si>
  <si>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</si>
  <si>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</si>
  <si>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</si>
  <si>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</si>
  <si>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</si>
  <si>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</si>
  <si>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</si>
  <si>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</si>
  <si>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</si>
  <si>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</si>
  <si>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</si>
  <si>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</si>
  <si>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</si>
  <si>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</si>
  <si>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</si>
  <si>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</si>
  <si>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</si>
  <si>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</si>
  <si>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</si>
  <si>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</si>
  <si>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</si>
  <si>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</si>
  <si>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</si>
  <si>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</si>
  <si>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</si>
  <si>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</si>
  <si>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</si>
  <si>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</si>
  <si>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</si>
  <si>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</si>
  <si>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</si>
  <si>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</si>
  <si>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</si>
  <si>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</si>
  <si>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</si>
  <si>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</si>
  <si>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</si>
  <si>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</si>
  <si>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</si>
  <si>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</si>
  <si>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</si>
  <si>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</si>
  <si>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</si>
  <si>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</si>
  <si>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</si>
  <si>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</si>
  <si>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</si>
  <si>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</si>
  <si>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</si>
  <si>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</si>
  <si>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</si>
  <si>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</si>
  <si>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</si>
  <si>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</si>
  <si>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</si>
  <si>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</si>
  <si>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</si>
  <si>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</si>
  <si>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</si>
  <si>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</si>
  <si>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</si>
  <si>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</si>
  <si>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</si>
  <si>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</si>
  <si>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</si>
  <si>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</si>
  <si>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</si>
  <si>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</si>
  <si>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</si>
  <si>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</si>
  <si>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</si>
  <si>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</si>
  <si>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</si>
  <si>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</si>
  <si>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</si>
  <si>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</si>
  <si>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</si>
  <si>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</si>
  <si>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</si>
  <si>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</si>
  <si>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</si>
  <si>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</si>
  <si>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</si>
  <si>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</si>
  <si>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</si>
  <si>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</si>
  <si>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</si>
  <si>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</si>
  <si>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</si>
  <si>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</si>
  <si>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</si>
  <si>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</si>
  <si>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</si>
  <si>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</si>
  <si>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</si>
  <si>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</si>
  <si>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</si>
  <si>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</si>
  <si>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</si>
  <si>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</si>
  <si>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</si>
  <si>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</si>
  <si>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</si>
  <si>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</si>
  <si>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</si>
  <si>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</si>
  <si>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</si>
  <si>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</si>
  <si>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</si>
  <si>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</si>
  <si>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</si>
  <si>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</si>
  <si>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</si>
  <si>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</si>
  <si>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</si>
  <si>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</si>
  <si>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</si>
  <si>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</si>
  <si>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</si>
  <si>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</si>
  <si>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</si>
  <si>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</si>
  <si>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</si>
  <si>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</si>
  <si>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</si>
  <si>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</si>
  <si>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</si>
  <si>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</si>
  <si>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</si>
  <si>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</si>
  <si>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</si>
  <si>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</si>
  <si>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</si>
  <si>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</si>
  <si>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</si>
  <si>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</si>
  <si>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</si>
  <si>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</si>
  <si>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</si>
  <si>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</si>
  <si>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</si>
  <si>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</si>
  <si>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</si>
  <si>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</si>
  <si>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</si>
  <si>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</si>
  <si>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</si>
  <si>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</si>
  <si>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</si>
  <si>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</si>
  <si>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</si>
  <si>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</si>
  <si>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</si>
  <si>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</si>
  <si>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</si>
  <si>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</si>
  <si>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</si>
  <si>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</si>
  <si>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</si>
  <si>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</si>
  <si>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</si>
  <si>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</si>
  <si>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</si>
  <si>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</si>
  <si>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</si>
  <si>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</si>
  <si>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</si>
  <si>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</si>
  <si>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</si>
  <si>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</si>
  <si>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</si>
  <si>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</si>
  <si>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tblPlanoQC_Sigma — plano de CQ recomendado por Sigma</t>
  </si>
  <si>
    <t>Fonte única. Estatística, Painel e Power BI leem daqui — mudar uma faixa é editar uma linha, e não reescrever fórmula em três abas.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</si>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</sst>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6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63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3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4" fillId="0" borderId="0" xfId="0" applyFont="1" applyAlignment="1">
      <alignment horizontal="left" vertical="center" wrapText="1"/>
    </xf>
    <xf numFmtId="0" fontId="65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4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6" fillId="0" borderId="0" xfId="1" applyFont="1" applyAlignment="1">
      <alignment horizontal="left" vertical="center"/>
    </xf>
    <xf numFmtId="0" fontId="67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left" vertical="center"/>
      <protection locked="0"/>
    </xf>
    <xf numFmtId="0" fontId="70" fillId="0" borderId="0" xfId="0" applyFont="1" applyProtection="1">
      <protection locked="0"/>
    </xf>
    <xf numFmtId="0" fontId="64" fillId="0" borderId="0" xfId="0" applyFont="1" applyAlignment="1">
      <alignment horizontal="left" vertical="center" wrapText="1"/>
    </xf>
    <xf numFmtId="0" fontId="68" fillId="3" borderId="18" xfId="0" applyFont="1" applyFill="1" applyBorder="1" applyAlignment="1" applyProtection="1">
      <alignment horizontal="left" vertical="center" indent="4"/>
      <protection locked="0"/>
    </xf>
    <xf numFmtId="0" fontId="68" fillId="3" borderId="19" xfId="0" applyFont="1" applyFill="1" applyBorder="1" applyAlignment="1" applyProtection="1">
      <alignment horizontal="left" vertical="center" indent="4"/>
      <protection locked="0"/>
    </xf>
    <xf numFmtId="0" fontId="68" fillId="3" borderId="20" xfId="0" applyFont="1" applyFill="1" applyBorder="1" applyAlignment="1" applyProtection="1">
      <alignment horizontal="left" vertical="center" indent="4"/>
      <protection locked="0"/>
    </xf>
    <xf numFmtId="0" fontId="69" fillId="2" borderId="17" xfId="0" applyFont="1" applyFill="1" applyBorder="1" applyAlignment="1" applyProtection="1">
      <alignment horizontal="left" vertical="center" indent="4"/>
      <protection locked="0"/>
    </xf>
    <xf numFmtId="0" fontId="69" fillId="2" borderId="0" xfId="0" applyFont="1" applyFill="1" applyAlignment="1" applyProtection="1">
      <alignment horizontal="left" vertical="center" indent="4"/>
      <protection locked="0"/>
    </xf>
    <xf numFmtId="0" fontId="67" fillId="6" borderId="16" xfId="0" applyFont="1" applyFill="1" applyBorder="1" applyAlignment="1" applyProtection="1">
      <alignment horizontal="center" vertical="center" wrapText="1"/>
      <protection locked="0"/>
    </xf>
    <xf numFmtId="0" fontId="67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50"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3.3899999999999997</c:v>
                </c:pt>
                <c:pt idx="1">
                  <c:v>3.3899999999999997</c:v>
                </c:pt>
                <c:pt idx="2">
                  <c:v>3.3899999999999997</c:v>
                </c:pt>
                <c:pt idx="3">
                  <c:v>3.3899999999999997</c:v>
                </c:pt>
                <c:pt idx="4">
                  <c:v>3.3899999999999997</c:v>
                </c:pt>
                <c:pt idx="5">
                  <c:v>3.3899999999999997</c:v>
                </c:pt>
                <c:pt idx="6">
                  <c:v>3.3899999999999997</c:v>
                </c:pt>
                <c:pt idx="7">
                  <c:v>3.3899999999999997</c:v>
                </c:pt>
                <c:pt idx="8">
                  <c:v>3.3899999999999997</c:v>
                </c:pt>
                <c:pt idx="9">
                  <c:v>3.3899999999999997</c:v>
                </c:pt>
                <c:pt idx="10">
                  <c:v>3.3899999999999997</c:v>
                </c:pt>
                <c:pt idx="11">
                  <c:v>3.3899999999999997</c:v>
                </c:pt>
                <c:pt idx="12">
                  <c:v>3.3899999999999997</c:v>
                </c:pt>
                <c:pt idx="13">
                  <c:v>3.3899999999999997</c:v>
                </c:pt>
                <c:pt idx="14">
                  <c:v>3.3899999999999997</c:v>
                </c:pt>
                <c:pt idx="15">
                  <c:v>3.3899999999999997</c:v>
                </c:pt>
                <c:pt idx="16">
                  <c:v>3.3899999999999997</c:v>
                </c:pt>
                <c:pt idx="17">
                  <c:v>3.3899999999999997</c:v>
                </c:pt>
                <c:pt idx="18">
                  <c:v>3.3899999999999997</c:v>
                </c:pt>
                <c:pt idx="19">
                  <c:v>3.3899999999999997</c:v>
                </c:pt>
                <c:pt idx="20">
                  <c:v>3.3899999999999997</c:v>
                </c:pt>
                <c:pt idx="21">
                  <c:v>3.3899999999999997</c:v>
                </c:pt>
                <c:pt idx="22">
                  <c:v>3.3899999999999997</c:v>
                </c:pt>
                <c:pt idx="23">
                  <c:v>3.3899999999999997</c:v>
                </c:pt>
                <c:pt idx="24">
                  <c:v>3.3899999999999997</c:v>
                </c:pt>
                <c:pt idx="25">
                  <c:v>3.3899999999999997</c:v>
                </c:pt>
                <c:pt idx="26">
                  <c:v>3.3899999999999997</c:v>
                </c:pt>
                <c:pt idx="27">
                  <c:v>3.3899999999999997</c:v>
                </c:pt>
                <c:pt idx="28">
                  <c:v>3.3899999999999997</c:v>
                </c:pt>
                <c:pt idx="29">
                  <c:v>3.3899999999999997</c:v>
                </c:pt>
                <c:pt idx="30">
                  <c:v>3.3899999999999997</c:v>
                </c:pt>
                <c:pt idx="31">
                  <c:v>3.3899999999999997</c:v>
                </c:pt>
                <c:pt idx="32">
                  <c:v>3.3899999999999997</c:v>
                </c:pt>
                <c:pt idx="33">
                  <c:v>3.3899999999999997</c:v>
                </c:pt>
                <c:pt idx="34">
                  <c:v>3.3899999999999997</c:v>
                </c:pt>
                <c:pt idx="35">
                  <c:v>3.3899999999999997</c:v>
                </c:pt>
                <c:pt idx="36">
                  <c:v>3.3899999999999997</c:v>
                </c:pt>
                <c:pt idx="37">
                  <c:v>3.3899999999999997</c:v>
                </c:pt>
                <c:pt idx="38">
                  <c:v>3.3899999999999997</c:v>
                </c:pt>
                <c:pt idx="39">
                  <c:v>3.3899999999999997</c:v>
                </c:pt>
                <c:pt idx="40">
                  <c:v>3.3899999999999997</c:v>
                </c:pt>
                <c:pt idx="41">
                  <c:v>3.3899999999999997</c:v>
                </c:pt>
                <c:pt idx="42">
                  <c:v>3.3899999999999997</c:v>
                </c:pt>
                <c:pt idx="43">
                  <c:v>3.3899999999999997</c:v>
                </c:pt>
                <c:pt idx="44">
                  <c:v>3.3899999999999997</c:v>
                </c:pt>
                <c:pt idx="45">
                  <c:v>3.3899999999999997</c:v>
                </c:pt>
                <c:pt idx="46">
                  <c:v>3.3899999999999997</c:v>
                </c:pt>
                <c:pt idx="47">
                  <c:v>3.3899999999999997</c:v>
                </c:pt>
                <c:pt idx="48">
                  <c:v>3.3899999999999997</c:v>
                </c:pt>
                <c:pt idx="49">
                  <c:v>3.3899999999999997</c:v>
                </c:pt>
                <c:pt idx="50">
                  <c:v>3.3899999999999997</c:v>
                </c:pt>
                <c:pt idx="51">
                  <c:v>3.3899999999999997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3.56</c:v>
                </c:pt>
                <c:pt idx="1">
                  <c:v>3.56</c:v>
                </c:pt>
                <c:pt idx="2">
                  <c:v>3.56</c:v>
                </c:pt>
                <c:pt idx="3">
                  <c:v>3.56</c:v>
                </c:pt>
                <c:pt idx="4">
                  <c:v>3.56</c:v>
                </c:pt>
                <c:pt idx="5">
                  <c:v>3.56</c:v>
                </c:pt>
                <c:pt idx="6">
                  <c:v>3.56</c:v>
                </c:pt>
                <c:pt idx="7">
                  <c:v>3.56</c:v>
                </c:pt>
                <c:pt idx="8">
                  <c:v>3.56</c:v>
                </c:pt>
                <c:pt idx="9">
                  <c:v>3.56</c:v>
                </c:pt>
                <c:pt idx="10">
                  <c:v>3.56</c:v>
                </c:pt>
                <c:pt idx="11">
                  <c:v>3.56</c:v>
                </c:pt>
                <c:pt idx="12">
                  <c:v>3.56</c:v>
                </c:pt>
                <c:pt idx="13">
                  <c:v>3.56</c:v>
                </c:pt>
                <c:pt idx="14">
                  <c:v>3.56</c:v>
                </c:pt>
                <c:pt idx="15">
                  <c:v>3.56</c:v>
                </c:pt>
                <c:pt idx="16">
                  <c:v>3.56</c:v>
                </c:pt>
                <c:pt idx="17">
                  <c:v>3.56</c:v>
                </c:pt>
                <c:pt idx="18">
                  <c:v>3.56</c:v>
                </c:pt>
                <c:pt idx="19">
                  <c:v>3.56</c:v>
                </c:pt>
                <c:pt idx="20">
                  <c:v>3.56</c:v>
                </c:pt>
                <c:pt idx="21">
                  <c:v>3.56</c:v>
                </c:pt>
                <c:pt idx="22">
                  <c:v>3.56</c:v>
                </c:pt>
                <c:pt idx="23">
                  <c:v>3.56</c:v>
                </c:pt>
                <c:pt idx="24">
                  <c:v>3.56</c:v>
                </c:pt>
                <c:pt idx="25">
                  <c:v>3.56</c:v>
                </c:pt>
                <c:pt idx="26">
                  <c:v>3.56</c:v>
                </c:pt>
                <c:pt idx="27">
                  <c:v>3.56</c:v>
                </c:pt>
                <c:pt idx="28">
                  <c:v>3.56</c:v>
                </c:pt>
                <c:pt idx="29">
                  <c:v>3.56</c:v>
                </c:pt>
                <c:pt idx="30">
                  <c:v>3.56</c:v>
                </c:pt>
                <c:pt idx="31">
                  <c:v>3.56</c:v>
                </c:pt>
                <c:pt idx="32">
                  <c:v>3.56</c:v>
                </c:pt>
                <c:pt idx="33">
                  <c:v>3.56</c:v>
                </c:pt>
                <c:pt idx="34">
                  <c:v>3.56</c:v>
                </c:pt>
                <c:pt idx="35">
                  <c:v>3.56</c:v>
                </c:pt>
                <c:pt idx="36">
                  <c:v>3.56</c:v>
                </c:pt>
                <c:pt idx="37">
                  <c:v>3.56</c:v>
                </c:pt>
                <c:pt idx="38">
                  <c:v>3.56</c:v>
                </c:pt>
                <c:pt idx="39">
                  <c:v>3.56</c:v>
                </c:pt>
                <c:pt idx="40">
                  <c:v>3.56</c:v>
                </c:pt>
                <c:pt idx="41">
                  <c:v>3.56</c:v>
                </c:pt>
                <c:pt idx="42">
                  <c:v>3.56</c:v>
                </c:pt>
                <c:pt idx="43">
                  <c:v>3.56</c:v>
                </c:pt>
                <c:pt idx="44">
                  <c:v>3.56</c:v>
                </c:pt>
                <c:pt idx="45">
                  <c:v>3.56</c:v>
                </c:pt>
                <c:pt idx="46">
                  <c:v>3.56</c:v>
                </c:pt>
                <c:pt idx="47">
                  <c:v>3.56</c:v>
                </c:pt>
                <c:pt idx="48">
                  <c:v>3.56</c:v>
                </c:pt>
                <c:pt idx="49">
                  <c:v>3.56</c:v>
                </c:pt>
                <c:pt idx="50">
                  <c:v>3.56</c:v>
                </c:pt>
                <c:pt idx="51">
                  <c:v>3.56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3.73</c:v>
                </c:pt>
                <c:pt idx="1">
                  <c:v>3.73</c:v>
                </c:pt>
                <c:pt idx="2">
                  <c:v>3.73</c:v>
                </c:pt>
                <c:pt idx="3">
                  <c:v>3.73</c:v>
                </c:pt>
                <c:pt idx="4">
                  <c:v>3.73</c:v>
                </c:pt>
                <c:pt idx="5">
                  <c:v>3.73</c:v>
                </c:pt>
                <c:pt idx="6">
                  <c:v>3.73</c:v>
                </c:pt>
                <c:pt idx="7">
                  <c:v>3.73</c:v>
                </c:pt>
                <c:pt idx="8">
                  <c:v>3.73</c:v>
                </c:pt>
                <c:pt idx="9">
                  <c:v>3.73</c:v>
                </c:pt>
                <c:pt idx="10">
                  <c:v>3.73</c:v>
                </c:pt>
                <c:pt idx="11">
                  <c:v>3.73</c:v>
                </c:pt>
                <c:pt idx="12">
                  <c:v>3.73</c:v>
                </c:pt>
                <c:pt idx="13">
                  <c:v>3.73</c:v>
                </c:pt>
                <c:pt idx="14">
                  <c:v>3.73</c:v>
                </c:pt>
                <c:pt idx="15">
                  <c:v>3.73</c:v>
                </c:pt>
                <c:pt idx="16">
                  <c:v>3.73</c:v>
                </c:pt>
                <c:pt idx="17">
                  <c:v>3.73</c:v>
                </c:pt>
                <c:pt idx="18">
                  <c:v>3.73</c:v>
                </c:pt>
                <c:pt idx="19">
                  <c:v>3.73</c:v>
                </c:pt>
                <c:pt idx="20">
                  <c:v>3.73</c:v>
                </c:pt>
                <c:pt idx="21">
                  <c:v>3.73</c:v>
                </c:pt>
                <c:pt idx="22">
                  <c:v>3.73</c:v>
                </c:pt>
                <c:pt idx="23">
                  <c:v>3.73</c:v>
                </c:pt>
                <c:pt idx="24">
                  <c:v>3.73</c:v>
                </c:pt>
                <c:pt idx="25">
                  <c:v>3.73</c:v>
                </c:pt>
                <c:pt idx="26">
                  <c:v>3.73</c:v>
                </c:pt>
                <c:pt idx="27">
                  <c:v>3.73</c:v>
                </c:pt>
                <c:pt idx="28">
                  <c:v>3.73</c:v>
                </c:pt>
                <c:pt idx="29">
                  <c:v>3.73</c:v>
                </c:pt>
                <c:pt idx="30">
                  <c:v>3.73</c:v>
                </c:pt>
                <c:pt idx="31">
                  <c:v>3.73</c:v>
                </c:pt>
                <c:pt idx="32">
                  <c:v>3.73</c:v>
                </c:pt>
                <c:pt idx="33">
                  <c:v>3.73</c:v>
                </c:pt>
                <c:pt idx="34">
                  <c:v>3.73</c:v>
                </c:pt>
                <c:pt idx="35">
                  <c:v>3.73</c:v>
                </c:pt>
                <c:pt idx="36">
                  <c:v>3.73</c:v>
                </c:pt>
                <c:pt idx="37">
                  <c:v>3.73</c:v>
                </c:pt>
                <c:pt idx="38">
                  <c:v>3.73</c:v>
                </c:pt>
                <c:pt idx="39">
                  <c:v>3.73</c:v>
                </c:pt>
                <c:pt idx="40">
                  <c:v>3.73</c:v>
                </c:pt>
                <c:pt idx="41">
                  <c:v>3.73</c:v>
                </c:pt>
                <c:pt idx="42">
                  <c:v>3.73</c:v>
                </c:pt>
                <c:pt idx="43">
                  <c:v>3.73</c:v>
                </c:pt>
                <c:pt idx="44">
                  <c:v>3.73</c:v>
                </c:pt>
                <c:pt idx="45">
                  <c:v>3.73</c:v>
                </c:pt>
                <c:pt idx="46">
                  <c:v>3.73</c:v>
                </c:pt>
                <c:pt idx="47">
                  <c:v>3.73</c:v>
                </c:pt>
                <c:pt idx="48">
                  <c:v>3.73</c:v>
                </c:pt>
                <c:pt idx="49">
                  <c:v>3.73</c:v>
                </c:pt>
                <c:pt idx="50">
                  <c:v>3.73</c:v>
                </c:pt>
                <c:pt idx="51">
                  <c:v>3.73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3.9</c:v>
                </c:pt>
                <c:pt idx="1">
                  <c:v>3.9</c:v>
                </c:pt>
                <c:pt idx="2">
                  <c:v>3.9</c:v>
                </c:pt>
                <c:pt idx="3">
                  <c:v>3.9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3.9</c:v>
                </c:pt>
                <c:pt idx="13">
                  <c:v>3.9</c:v>
                </c:pt>
                <c:pt idx="14">
                  <c:v>3.9</c:v>
                </c:pt>
                <c:pt idx="15">
                  <c:v>3.9</c:v>
                </c:pt>
                <c:pt idx="16">
                  <c:v>3.9</c:v>
                </c:pt>
                <c:pt idx="17">
                  <c:v>3.9</c:v>
                </c:pt>
                <c:pt idx="18">
                  <c:v>3.9</c:v>
                </c:pt>
                <c:pt idx="19">
                  <c:v>3.9</c:v>
                </c:pt>
                <c:pt idx="20">
                  <c:v>3.9</c:v>
                </c:pt>
                <c:pt idx="21">
                  <c:v>3.9</c:v>
                </c:pt>
                <c:pt idx="22">
                  <c:v>3.9</c:v>
                </c:pt>
                <c:pt idx="23">
                  <c:v>3.9</c:v>
                </c:pt>
                <c:pt idx="24">
                  <c:v>3.9</c:v>
                </c:pt>
                <c:pt idx="25">
                  <c:v>3.9</c:v>
                </c:pt>
                <c:pt idx="26">
                  <c:v>3.9</c:v>
                </c:pt>
                <c:pt idx="27">
                  <c:v>3.9</c:v>
                </c:pt>
                <c:pt idx="28">
                  <c:v>3.9</c:v>
                </c:pt>
                <c:pt idx="29">
                  <c:v>3.9</c:v>
                </c:pt>
                <c:pt idx="30">
                  <c:v>3.9</c:v>
                </c:pt>
                <c:pt idx="31">
                  <c:v>3.9</c:v>
                </c:pt>
                <c:pt idx="32">
                  <c:v>3.9</c:v>
                </c:pt>
                <c:pt idx="33">
                  <c:v>3.9</c:v>
                </c:pt>
                <c:pt idx="34">
                  <c:v>3.9</c:v>
                </c:pt>
                <c:pt idx="35">
                  <c:v>3.9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3.9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4.07</c:v>
                </c:pt>
                <c:pt idx="1">
                  <c:v>4.07</c:v>
                </c:pt>
                <c:pt idx="2">
                  <c:v>4.07</c:v>
                </c:pt>
                <c:pt idx="3">
                  <c:v>4.07</c:v>
                </c:pt>
                <c:pt idx="4">
                  <c:v>4.07</c:v>
                </c:pt>
                <c:pt idx="5">
                  <c:v>4.07</c:v>
                </c:pt>
                <c:pt idx="6">
                  <c:v>4.07</c:v>
                </c:pt>
                <c:pt idx="7">
                  <c:v>4.07</c:v>
                </c:pt>
                <c:pt idx="8">
                  <c:v>4.07</c:v>
                </c:pt>
                <c:pt idx="9">
                  <c:v>4.07</c:v>
                </c:pt>
                <c:pt idx="10">
                  <c:v>4.07</c:v>
                </c:pt>
                <c:pt idx="11">
                  <c:v>4.07</c:v>
                </c:pt>
                <c:pt idx="12">
                  <c:v>4.07</c:v>
                </c:pt>
                <c:pt idx="13">
                  <c:v>4.07</c:v>
                </c:pt>
                <c:pt idx="14">
                  <c:v>4.07</c:v>
                </c:pt>
                <c:pt idx="15">
                  <c:v>4.07</c:v>
                </c:pt>
                <c:pt idx="16">
                  <c:v>4.07</c:v>
                </c:pt>
                <c:pt idx="17">
                  <c:v>4.07</c:v>
                </c:pt>
                <c:pt idx="18">
                  <c:v>4.07</c:v>
                </c:pt>
                <c:pt idx="19">
                  <c:v>4.07</c:v>
                </c:pt>
                <c:pt idx="20">
                  <c:v>4.07</c:v>
                </c:pt>
                <c:pt idx="21">
                  <c:v>4.07</c:v>
                </c:pt>
                <c:pt idx="22">
                  <c:v>4.07</c:v>
                </c:pt>
                <c:pt idx="23">
                  <c:v>4.07</c:v>
                </c:pt>
                <c:pt idx="24">
                  <c:v>4.07</c:v>
                </c:pt>
                <c:pt idx="25">
                  <c:v>4.07</c:v>
                </c:pt>
                <c:pt idx="26">
                  <c:v>4.07</c:v>
                </c:pt>
                <c:pt idx="27">
                  <c:v>4.07</c:v>
                </c:pt>
                <c:pt idx="28">
                  <c:v>4.07</c:v>
                </c:pt>
                <c:pt idx="29">
                  <c:v>4.07</c:v>
                </c:pt>
                <c:pt idx="30">
                  <c:v>4.07</c:v>
                </c:pt>
                <c:pt idx="31">
                  <c:v>4.07</c:v>
                </c:pt>
                <c:pt idx="32">
                  <c:v>4.07</c:v>
                </c:pt>
                <c:pt idx="33">
                  <c:v>4.07</c:v>
                </c:pt>
                <c:pt idx="34">
                  <c:v>4.07</c:v>
                </c:pt>
                <c:pt idx="35">
                  <c:v>4.07</c:v>
                </c:pt>
                <c:pt idx="36">
                  <c:v>4.07</c:v>
                </c:pt>
                <c:pt idx="37">
                  <c:v>4.07</c:v>
                </c:pt>
                <c:pt idx="38">
                  <c:v>4.07</c:v>
                </c:pt>
                <c:pt idx="39">
                  <c:v>4.07</c:v>
                </c:pt>
                <c:pt idx="40">
                  <c:v>4.07</c:v>
                </c:pt>
                <c:pt idx="41">
                  <c:v>4.07</c:v>
                </c:pt>
                <c:pt idx="42">
                  <c:v>4.07</c:v>
                </c:pt>
                <c:pt idx="43">
                  <c:v>4.07</c:v>
                </c:pt>
                <c:pt idx="44">
                  <c:v>4.07</c:v>
                </c:pt>
                <c:pt idx="45">
                  <c:v>4.07</c:v>
                </c:pt>
                <c:pt idx="46">
                  <c:v>4.07</c:v>
                </c:pt>
                <c:pt idx="47">
                  <c:v>4.07</c:v>
                </c:pt>
                <c:pt idx="48">
                  <c:v>4.07</c:v>
                </c:pt>
                <c:pt idx="49">
                  <c:v>4.07</c:v>
                </c:pt>
                <c:pt idx="50">
                  <c:v>4.07</c:v>
                </c:pt>
                <c:pt idx="51">
                  <c:v>4.07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4.24</c:v>
                </c:pt>
                <c:pt idx="1">
                  <c:v>4.24</c:v>
                </c:pt>
                <c:pt idx="2">
                  <c:v>4.24</c:v>
                </c:pt>
                <c:pt idx="3">
                  <c:v>4.24</c:v>
                </c:pt>
                <c:pt idx="4">
                  <c:v>4.24</c:v>
                </c:pt>
                <c:pt idx="5">
                  <c:v>4.24</c:v>
                </c:pt>
                <c:pt idx="6">
                  <c:v>4.24</c:v>
                </c:pt>
                <c:pt idx="7">
                  <c:v>4.24</c:v>
                </c:pt>
                <c:pt idx="8">
                  <c:v>4.24</c:v>
                </c:pt>
                <c:pt idx="9">
                  <c:v>4.24</c:v>
                </c:pt>
                <c:pt idx="10">
                  <c:v>4.24</c:v>
                </c:pt>
                <c:pt idx="11">
                  <c:v>4.24</c:v>
                </c:pt>
                <c:pt idx="12">
                  <c:v>4.24</c:v>
                </c:pt>
                <c:pt idx="13">
                  <c:v>4.24</c:v>
                </c:pt>
                <c:pt idx="14">
                  <c:v>4.24</c:v>
                </c:pt>
                <c:pt idx="15">
                  <c:v>4.24</c:v>
                </c:pt>
                <c:pt idx="16">
                  <c:v>4.24</c:v>
                </c:pt>
                <c:pt idx="17">
                  <c:v>4.24</c:v>
                </c:pt>
                <c:pt idx="18">
                  <c:v>4.24</c:v>
                </c:pt>
                <c:pt idx="19">
                  <c:v>4.24</c:v>
                </c:pt>
                <c:pt idx="20">
                  <c:v>4.24</c:v>
                </c:pt>
                <c:pt idx="21">
                  <c:v>4.24</c:v>
                </c:pt>
                <c:pt idx="22">
                  <c:v>4.24</c:v>
                </c:pt>
                <c:pt idx="23">
                  <c:v>4.24</c:v>
                </c:pt>
                <c:pt idx="24">
                  <c:v>4.24</c:v>
                </c:pt>
                <c:pt idx="25">
                  <c:v>4.24</c:v>
                </c:pt>
                <c:pt idx="26">
                  <c:v>4.24</c:v>
                </c:pt>
                <c:pt idx="27">
                  <c:v>4.24</c:v>
                </c:pt>
                <c:pt idx="28">
                  <c:v>4.24</c:v>
                </c:pt>
                <c:pt idx="29">
                  <c:v>4.24</c:v>
                </c:pt>
                <c:pt idx="30">
                  <c:v>4.24</c:v>
                </c:pt>
                <c:pt idx="31">
                  <c:v>4.24</c:v>
                </c:pt>
                <c:pt idx="32">
                  <c:v>4.24</c:v>
                </c:pt>
                <c:pt idx="33">
                  <c:v>4.24</c:v>
                </c:pt>
                <c:pt idx="34">
                  <c:v>4.24</c:v>
                </c:pt>
                <c:pt idx="35">
                  <c:v>4.24</c:v>
                </c:pt>
                <c:pt idx="36">
                  <c:v>4.24</c:v>
                </c:pt>
                <c:pt idx="37">
                  <c:v>4.24</c:v>
                </c:pt>
                <c:pt idx="38">
                  <c:v>4.24</c:v>
                </c:pt>
                <c:pt idx="39">
                  <c:v>4.24</c:v>
                </c:pt>
                <c:pt idx="40">
                  <c:v>4.24</c:v>
                </c:pt>
                <c:pt idx="41">
                  <c:v>4.24</c:v>
                </c:pt>
                <c:pt idx="42">
                  <c:v>4.24</c:v>
                </c:pt>
                <c:pt idx="43">
                  <c:v>4.24</c:v>
                </c:pt>
                <c:pt idx="44">
                  <c:v>4.24</c:v>
                </c:pt>
                <c:pt idx="45">
                  <c:v>4.24</c:v>
                </c:pt>
                <c:pt idx="46">
                  <c:v>4.24</c:v>
                </c:pt>
                <c:pt idx="47">
                  <c:v>4.24</c:v>
                </c:pt>
                <c:pt idx="48">
                  <c:v>4.24</c:v>
                </c:pt>
                <c:pt idx="49">
                  <c:v>4.24</c:v>
                </c:pt>
                <c:pt idx="50">
                  <c:v>4.24</c:v>
                </c:pt>
                <c:pt idx="51">
                  <c:v>4.24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4.41</c:v>
                </c:pt>
                <c:pt idx="1">
                  <c:v>4.41</c:v>
                </c:pt>
                <c:pt idx="2">
                  <c:v>4.41</c:v>
                </c:pt>
                <c:pt idx="3">
                  <c:v>4.41</c:v>
                </c:pt>
                <c:pt idx="4">
                  <c:v>4.41</c:v>
                </c:pt>
                <c:pt idx="5">
                  <c:v>4.41</c:v>
                </c:pt>
                <c:pt idx="6">
                  <c:v>4.41</c:v>
                </c:pt>
                <c:pt idx="7">
                  <c:v>4.41</c:v>
                </c:pt>
                <c:pt idx="8">
                  <c:v>4.41</c:v>
                </c:pt>
                <c:pt idx="9">
                  <c:v>4.41</c:v>
                </c:pt>
                <c:pt idx="10">
                  <c:v>4.41</c:v>
                </c:pt>
                <c:pt idx="11">
                  <c:v>4.41</c:v>
                </c:pt>
                <c:pt idx="12">
                  <c:v>4.41</c:v>
                </c:pt>
                <c:pt idx="13">
                  <c:v>4.41</c:v>
                </c:pt>
                <c:pt idx="14">
                  <c:v>4.41</c:v>
                </c:pt>
                <c:pt idx="15">
                  <c:v>4.41</c:v>
                </c:pt>
                <c:pt idx="16">
                  <c:v>4.41</c:v>
                </c:pt>
                <c:pt idx="17">
                  <c:v>4.41</c:v>
                </c:pt>
                <c:pt idx="18">
                  <c:v>4.41</c:v>
                </c:pt>
                <c:pt idx="19">
                  <c:v>4.41</c:v>
                </c:pt>
                <c:pt idx="20">
                  <c:v>4.41</c:v>
                </c:pt>
                <c:pt idx="21">
                  <c:v>4.41</c:v>
                </c:pt>
                <c:pt idx="22">
                  <c:v>4.41</c:v>
                </c:pt>
                <c:pt idx="23">
                  <c:v>4.41</c:v>
                </c:pt>
                <c:pt idx="24">
                  <c:v>4.41</c:v>
                </c:pt>
                <c:pt idx="25">
                  <c:v>4.41</c:v>
                </c:pt>
                <c:pt idx="26">
                  <c:v>4.41</c:v>
                </c:pt>
                <c:pt idx="27">
                  <c:v>4.41</c:v>
                </c:pt>
                <c:pt idx="28">
                  <c:v>4.41</c:v>
                </c:pt>
                <c:pt idx="29">
                  <c:v>4.41</c:v>
                </c:pt>
                <c:pt idx="30">
                  <c:v>4.41</c:v>
                </c:pt>
                <c:pt idx="31">
                  <c:v>4.41</c:v>
                </c:pt>
                <c:pt idx="32">
                  <c:v>4.41</c:v>
                </c:pt>
                <c:pt idx="33">
                  <c:v>4.41</c:v>
                </c:pt>
                <c:pt idx="34">
                  <c:v>4.41</c:v>
                </c:pt>
                <c:pt idx="35">
                  <c:v>4.41</c:v>
                </c:pt>
                <c:pt idx="36">
                  <c:v>4.41</c:v>
                </c:pt>
                <c:pt idx="37">
                  <c:v>4.41</c:v>
                </c:pt>
                <c:pt idx="38">
                  <c:v>4.41</c:v>
                </c:pt>
                <c:pt idx="39">
                  <c:v>4.41</c:v>
                </c:pt>
                <c:pt idx="40">
                  <c:v>4.41</c:v>
                </c:pt>
                <c:pt idx="41">
                  <c:v>4.41</c:v>
                </c:pt>
                <c:pt idx="42">
                  <c:v>4.41</c:v>
                </c:pt>
                <c:pt idx="43">
                  <c:v>4.41</c:v>
                </c:pt>
                <c:pt idx="44">
                  <c:v>4.41</c:v>
                </c:pt>
                <c:pt idx="45">
                  <c:v>4.41</c:v>
                </c:pt>
                <c:pt idx="46">
                  <c:v>4.41</c:v>
                </c:pt>
                <c:pt idx="47">
                  <c:v>4.41</c:v>
                </c:pt>
                <c:pt idx="48">
                  <c:v>4.41</c:v>
                </c:pt>
                <c:pt idx="49">
                  <c:v>4.41</c:v>
                </c:pt>
                <c:pt idx="50">
                  <c:v>4.41</c:v>
                </c:pt>
                <c:pt idx="51">
                  <c:v>4.41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3.83</c:v>
                </c:pt>
                <c:pt idx="1">
                  <c:v>3.92</c:v>
                </c:pt>
                <c:pt idx="2">
                  <c:v>3.96</c:v>
                </c:pt>
                <c:pt idx="3">
                  <c:v>3.92</c:v>
                </c:pt>
                <c:pt idx="4">
                  <c:v>4.016</c:v>
                </c:pt>
                <c:pt idx="5">
                  <c:v>4.1029999999999998</c:v>
                </c:pt>
                <c:pt idx="6">
                  <c:v>4.1189999999999998</c:v>
                </c:pt>
                <c:pt idx="7">
                  <c:v>4.03</c:v>
                </c:pt>
                <c:pt idx="8">
                  <c:v>4.0650000000000004</c:v>
                </c:pt>
                <c:pt idx="9">
                  <c:v>4.0330000000000004</c:v>
                </c:pt>
                <c:pt idx="10">
                  <c:v>4.0430000000000001</c:v>
                </c:pt>
                <c:pt idx="11">
                  <c:v>4.0439999999999996</c:v>
                </c:pt>
                <c:pt idx="12">
                  <c:v>4.1070000000000002</c:v>
                </c:pt>
                <c:pt idx="13">
                  <c:v>4.0919999999999996</c:v>
                </c:pt>
                <c:pt idx="14">
                  <c:v>4.0949999999999998</c:v>
                </c:pt>
                <c:pt idx="15">
                  <c:v>3.7829999999999999</c:v>
                </c:pt>
                <c:pt idx="16">
                  <c:v>3.89</c:v>
                </c:pt>
                <c:pt idx="17">
                  <c:v>3.8860000000000001</c:v>
                </c:pt>
                <c:pt idx="18">
                  <c:v>3.83</c:v>
                </c:pt>
                <c:pt idx="19">
                  <c:v>3.859</c:v>
                </c:pt>
                <c:pt idx="20">
                  <c:v>3.76</c:v>
                </c:pt>
                <c:pt idx="21">
                  <c:v>3.76</c:v>
                </c:pt>
                <c:pt idx="22">
                  <c:v>3.82</c:v>
                </c:pt>
                <c:pt idx="23">
                  <c:v>3.8</c:v>
                </c:pt>
                <c:pt idx="24">
                  <c:v>3.81</c:v>
                </c:pt>
                <c:pt idx="25">
                  <c:v>3.8</c:v>
                </c:pt>
                <c:pt idx="26">
                  <c:v>3.83</c:v>
                </c:pt>
                <c:pt idx="27">
                  <c:v>3.85</c:v>
                </c:pt>
                <c:pt idx="28">
                  <c:v>3.83</c:v>
                </c:pt>
                <c:pt idx="29">
                  <c:v>3.82</c:v>
                </c:pt>
                <c:pt idx="30">
                  <c:v>3.81</c:v>
                </c:pt>
                <c:pt idx="31">
                  <c:v>3.81</c:v>
                </c:pt>
                <c:pt idx="32">
                  <c:v>3.79</c:v>
                </c:pt>
                <c:pt idx="33">
                  <c:v>3.78</c:v>
                </c:pt>
                <c:pt idx="34">
                  <c:v>3.75</c:v>
                </c:pt>
                <c:pt idx="35">
                  <c:v>3.86</c:v>
                </c:pt>
                <c:pt idx="36">
                  <c:v>3.73</c:v>
                </c:pt>
                <c:pt idx="37">
                  <c:v>3.8</c:v>
                </c:pt>
                <c:pt idx="38">
                  <c:v>3.77</c:v>
                </c:pt>
                <c:pt idx="39">
                  <c:v>3.78</c:v>
                </c:pt>
                <c:pt idx="40">
                  <c:v>3.76</c:v>
                </c:pt>
                <c:pt idx="41">
                  <c:v>3.85</c:v>
                </c:pt>
                <c:pt idx="42">
                  <c:v>3.84</c:v>
                </c:pt>
                <c:pt idx="43">
                  <c:v>3.9</c:v>
                </c:pt>
                <c:pt idx="44">
                  <c:v>3.86</c:v>
                </c:pt>
                <c:pt idx="45">
                  <c:v>3.76</c:v>
                </c:pt>
                <c:pt idx="46">
                  <c:v>3.69</c:v>
                </c:pt>
                <c:pt idx="47">
                  <c:v>3.79</c:v>
                </c:pt>
                <c:pt idx="48">
                  <c:v>3.74</c:v>
                </c:pt>
                <c:pt idx="49">
                  <c:v>3.82</c:v>
                </c:pt>
                <c:pt idx="50">
                  <c:v>3.82</c:v>
                </c:pt>
                <c:pt idx="51">
                  <c:v>3.93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3.83</c:v>
                </c:pt>
                <c:pt idx="1">
                  <c:v>3.92</c:v>
                </c:pt>
                <c:pt idx="2">
                  <c:v>3.96</c:v>
                </c:pt>
                <c:pt idx="3">
                  <c:v>3.92</c:v>
                </c:pt>
                <c:pt idx="4">
                  <c:v>4.016</c:v>
                </c:pt>
                <c:pt idx="5">
                  <c:v>4.1029999999999998</c:v>
                </c:pt>
                <c:pt idx="6">
                  <c:v>4.1189999999999998</c:v>
                </c:pt>
                <c:pt idx="7">
                  <c:v>4.03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3.7829999999999999</c:v>
                </c:pt>
                <c:pt idx="16">
                  <c:v>3.89</c:v>
                </c:pt>
                <c:pt idx="17">
                  <c:v>3.8860000000000001</c:v>
                </c:pt>
                <c:pt idx="18">
                  <c:v>3.83</c:v>
                </c:pt>
                <c:pt idx="19">
                  <c:v>3.859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3.9</c:v>
                </c:pt>
                <c:pt idx="44">
                  <c:v>3.86</c:v>
                </c:pt>
                <c:pt idx="45">
                  <c:v>3.76</c:v>
                </c:pt>
                <c:pt idx="46">
                  <c:v>3.69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3.93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4.0650000000000004</c:v>
                </c:pt>
                <c:pt idx="9">
                  <c:v>4.0330000000000004</c:v>
                </c:pt>
                <c:pt idx="10">
                  <c:v>4.0430000000000001</c:v>
                </c:pt>
                <c:pt idx="11">
                  <c:v>4.0439999999999996</c:v>
                </c:pt>
                <c:pt idx="12">
                  <c:v>4.1070000000000002</c:v>
                </c:pt>
                <c:pt idx="13">
                  <c:v>4.0919999999999996</c:v>
                </c:pt>
                <c:pt idx="14">
                  <c:v>4.0949999999999998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3.76</c:v>
                </c:pt>
                <c:pt idx="21">
                  <c:v>3.76</c:v>
                </c:pt>
                <c:pt idx="22">
                  <c:v>3.82</c:v>
                </c:pt>
                <c:pt idx="23">
                  <c:v>3.8</c:v>
                </c:pt>
                <c:pt idx="24">
                  <c:v>3.81</c:v>
                </c:pt>
                <c:pt idx="25">
                  <c:v>3.8</c:v>
                </c:pt>
                <c:pt idx="26">
                  <c:v>3.83</c:v>
                </c:pt>
                <c:pt idx="27">
                  <c:v>3.85</c:v>
                </c:pt>
                <c:pt idx="28">
                  <c:v>3.83</c:v>
                </c:pt>
                <c:pt idx="29">
                  <c:v>3.82</c:v>
                </c:pt>
                <c:pt idx="30">
                  <c:v>3.81</c:v>
                </c:pt>
                <c:pt idx="31">
                  <c:v>3.81</c:v>
                </c:pt>
                <c:pt idx="32">
                  <c:v>3.79</c:v>
                </c:pt>
                <c:pt idx="33">
                  <c:v>3.78</c:v>
                </c:pt>
                <c:pt idx="34">
                  <c:v>3.75</c:v>
                </c:pt>
                <c:pt idx="35">
                  <c:v>3.86</c:v>
                </c:pt>
                <c:pt idx="36">
                  <c:v>3.73</c:v>
                </c:pt>
                <c:pt idx="37">
                  <c:v>3.8</c:v>
                </c:pt>
                <c:pt idx="38">
                  <c:v>3.77</c:v>
                </c:pt>
                <c:pt idx="39">
                  <c:v>3.78</c:v>
                </c:pt>
                <c:pt idx="40">
                  <c:v>3.76</c:v>
                </c:pt>
                <c:pt idx="41">
                  <c:v>3.85</c:v>
                </c:pt>
                <c:pt idx="42">
                  <c:v>3.84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3.79</c:v>
                </c:pt>
                <c:pt idx="48">
                  <c:v>3.74</c:v>
                </c:pt>
                <c:pt idx="49">
                  <c:v>3.82</c:v>
                </c:pt>
                <c:pt idx="50">
                  <c:v>3.82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610000000000003"/>
          <c:min val="3.338999999999999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2.1399999999999997</c:v>
                </c:pt>
                <c:pt idx="1">
                  <c:v>2.1399999999999997</c:v>
                </c:pt>
                <c:pt idx="2">
                  <c:v>2.1399999999999997</c:v>
                </c:pt>
                <c:pt idx="3">
                  <c:v>2.1399999999999997</c:v>
                </c:pt>
                <c:pt idx="4">
                  <c:v>2.1399999999999997</c:v>
                </c:pt>
                <c:pt idx="5">
                  <c:v>2.1399999999999997</c:v>
                </c:pt>
                <c:pt idx="6">
                  <c:v>2.1399999999999997</c:v>
                </c:pt>
                <c:pt idx="7">
                  <c:v>2.1399999999999997</c:v>
                </c:pt>
                <c:pt idx="8">
                  <c:v>2.1399999999999997</c:v>
                </c:pt>
                <c:pt idx="9">
                  <c:v>2.1399999999999997</c:v>
                </c:pt>
                <c:pt idx="10">
                  <c:v>2.1399999999999997</c:v>
                </c:pt>
                <c:pt idx="11">
                  <c:v>2.1399999999999997</c:v>
                </c:pt>
                <c:pt idx="12">
                  <c:v>2.1399999999999997</c:v>
                </c:pt>
                <c:pt idx="13">
                  <c:v>2.1399999999999997</c:v>
                </c:pt>
                <c:pt idx="14">
                  <c:v>2.1399999999999997</c:v>
                </c:pt>
                <c:pt idx="15">
                  <c:v>2.1399999999999997</c:v>
                </c:pt>
                <c:pt idx="16">
                  <c:v>2.1399999999999997</c:v>
                </c:pt>
                <c:pt idx="17">
                  <c:v>2.1399999999999997</c:v>
                </c:pt>
                <c:pt idx="18">
                  <c:v>2.1399999999999997</c:v>
                </c:pt>
                <c:pt idx="19">
                  <c:v>2.1399999999999997</c:v>
                </c:pt>
                <c:pt idx="20">
                  <c:v>2.1399999999999997</c:v>
                </c:pt>
                <c:pt idx="21">
                  <c:v>2.1399999999999997</c:v>
                </c:pt>
                <c:pt idx="22">
                  <c:v>2.1399999999999997</c:v>
                </c:pt>
                <c:pt idx="23">
                  <c:v>2.1399999999999997</c:v>
                </c:pt>
                <c:pt idx="24">
                  <c:v>2.1399999999999997</c:v>
                </c:pt>
                <c:pt idx="25">
                  <c:v>2.1399999999999997</c:v>
                </c:pt>
                <c:pt idx="26">
                  <c:v>2.1399999999999997</c:v>
                </c:pt>
                <c:pt idx="27">
                  <c:v>2.1399999999999997</c:v>
                </c:pt>
                <c:pt idx="28">
                  <c:v>2.1399999999999997</c:v>
                </c:pt>
                <c:pt idx="29">
                  <c:v>2.1399999999999997</c:v>
                </c:pt>
                <c:pt idx="30">
                  <c:v>2.1399999999999997</c:v>
                </c:pt>
                <c:pt idx="31">
                  <c:v>2.1399999999999997</c:v>
                </c:pt>
                <c:pt idx="32">
                  <c:v>2.1399999999999997</c:v>
                </c:pt>
                <c:pt idx="33">
                  <c:v>2.1399999999999997</c:v>
                </c:pt>
                <c:pt idx="34">
                  <c:v>2.1399999999999997</c:v>
                </c:pt>
                <c:pt idx="35">
                  <c:v>2.1399999999999997</c:v>
                </c:pt>
                <c:pt idx="36">
                  <c:v>2.1399999999999997</c:v>
                </c:pt>
                <c:pt idx="37">
                  <c:v>2.1399999999999997</c:v>
                </c:pt>
                <c:pt idx="38">
                  <c:v>2.1399999999999997</c:v>
                </c:pt>
                <c:pt idx="39">
                  <c:v>2.1399999999999997</c:v>
                </c:pt>
                <c:pt idx="40">
                  <c:v>2.1399999999999997</c:v>
                </c:pt>
                <c:pt idx="41">
                  <c:v>2.1399999999999997</c:v>
                </c:pt>
                <c:pt idx="42">
                  <c:v>2.1399999999999997</c:v>
                </c:pt>
                <c:pt idx="43">
                  <c:v>2.1399999999999997</c:v>
                </c:pt>
                <c:pt idx="44">
                  <c:v>2.1399999999999997</c:v>
                </c:pt>
                <c:pt idx="45">
                  <c:v>2.1399999999999997</c:v>
                </c:pt>
                <c:pt idx="46">
                  <c:v>2.1399999999999997</c:v>
                </c:pt>
                <c:pt idx="47">
                  <c:v>2.1399999999999997</c:v>
                </c:pt>
                <c:pt idx="48">
                  <c:v>2.1399999999999997</c:v>
                </c:pt>
                <c:pt idx="49">
                  <c:v>2.1399999999999997</c:v>
                </c:pt>
                <c:pt idx="50">
                  <c:v>2.1399999999999997</c:v>
                </c:pt>
                <c:pt idx="51">
                  <c:v>2.1399999999999997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2.2699999999999996</c:v>
                </c:pt>
                <c:pt idx="1">
                  <c:v>2.2699999999999996</c:v>
                </c:pt>
                <c:pt idx="2">
                  <c:v>2.2699999999999996</c:v>
                </c:pt>
                <c:pt idx="3">
                  <c:v>2.2699999999999996</c:v>
                </c:pt>
                <c:pt idx="4">
                  <c:v>2.2699999999999996</c:v>
                </c:pt>
                <c:pt idx="5">
                  <c:v>2.2699999999999996</c:v>
                </c:pt>
                <c:pt idx="6">
                  <c:v>2.2699999999999996</c:v>
                </c:pt>
                <c:pt idx="7">
                  <c:v>2.2699999999999996</c:v>
                </c:pt>
                <c:pt idx="8">
                  <c:v>2.2699999999999996</c:v>
                </c:pt>
                <c:pt idx="9">
                  <c:v>2.2699999999999996</c:v>
                </c:pt>
                <c:pt idx="10">
                  <c:v>2.2699999999999996</c:v>
                </c:pt>
                <c:pt idx="11">
                  <c:v>2.2699999999999996</c:v>
                </c:pt>
                <c:pt idx="12">
                  <c:v>2.2699999999999996</c:v>
                </c:pt>
                <c:pt idx="13">
                  <c:v>2.2699999999999996</c:v>
                </c:pt>
                <c:pt idx="14">
                  <c:v>2.2699999999999996</c:v>
                </c:pt>
                <c:pt idx="15">
                  <c:v>2.2699999999999996</c:v>
                </c:pt>
                <c:pt idx="16">
                  <c:v>2.2699999999999996</c:v>
                </c:pt>
                <c:pt idx="17">
                  <c:v>2.2699999999999996</c:v>
                </c:pt>
                <c:pt idx="18">
                  <c:v>2.2699999999999996</c:v>
                </c:pt>
                <c:pt idx="19">
                  <c:v>2.2699999999999996</c:v>
                </c:pt>
                <c:pt idx="20">
                  <c:v>2.2699999999999996</c:v>
                </c:pt>
                <c:pt idx="21">
                  <c:v>2.2699999999999996</c:v>
                </c:pt>
                <c:pt idx="22">
                  <c:v>2.2699999999999996</c:v>
                </c:pt>
                <c:pt idx="23">
                  <c:v>2.2699999999999996</c:v>
                </c:pt>
                <c:pt idx="24">
                  <c:v>2.2699999999999996</c:v>
                </c:pt>
                <c:pt idx="25">
                  <c:v>2.2699999999999996</c:v>
                </c:pt>
                <c:pt idx="26">
                  <c:v>2.2699999999999996</c:v>
                </c:pt>
                <c:pt idx="27">
                  <c:v>2.2699999999999996</c:v>
                </c:pt>
                <c:pt idx="28">
                  <c:v>2.2699999999999996</c:v>
                </c:pt>
                <c:pt idx="29">
                  <c:v>2.2699999999999996</c:v>
                </c:pt>
                <c:pt idx="30">
                  <c:v>2.2699999999999996</c:v>
                </c:pt>
                <c:pt idx="31">
                  <c:v>2.2699999999999996</c:v>
                </c:pt>
                <c:pt idx="32">
                  <c:v>2.2699999999999996</c:v>
                </c:pt>
                <c:pt idx="33">
                  <c:v>2.2699999999999996</c:v>
                </c:pt>
                <c:pt idx="34">
                  <c:v>2.2699999999999996</c:v>
                </c:pt>
                <c:pt idx="35">
                  <c:v>2.2699999999999996</c:v>
                </c:pt>
                <c:pt idx="36">
                  <c:v>2.2699999999999996</c:v>
                </c:pt>
                <c:pt idx="37">
                  <c:v>2.2699999999999996</c:v>
                </c:pt>
                <c:pt idx="38">
                  <c:v>2.2699999999999996</c:v>
                </c:pt>
                <c:pt idx="39">
                  <c:v>2.2699999999999996</c:v>
                </c:pt>
                <c:pt idx="40">
                  <c:v>2.2699999999999996</c:v>
                </c:pt>
                <c:pt idx="41">
                  <c:v>2.2699999999999996</c:v>
                </c:pt>
                <c:pt idx="42">
                  <c:v>2.2699999999999996</c:v>
                </c:pt>
                <c:pt idx="43">
                  <c:v>2.2699999999999996</c:v>
                </c:pt>
                <c:pt idx="44">
                  <c:v>2.2699999999999996</c:v>
                </c:pt>
                <c:pt idx="45">
                  <c:v>2.2699999999999996</c:v>
                </c:pt>
                <c:pt idx="46">
                  <c:v>2.2699999999999996</c:v>
                </c:pt>
                <c:pt idx="47">
                  <c:v>2.2699999999999996</c:v>
                </c:pt>
                <c:pt idx="48">
                  <c:v>2.2699999999999996</c:v>
                </c:pt>
                <c:pt idx="49">
                  <c:v>2.2699999999999996</c:v>
                </c:pt>
                <c:pt idx="50">
                  <c:v>2.2699999999999996</c:v>
                </c:pt>
                <c:pt idx="51">
                  <c:v>2.2699999999999996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2.4</c:v>
                </c:pt>
                <c:pt idx="17">
                  <c:v>2.4</c:v>
                </c:pt>
                <c:pt idx="18">
                  <c:v>2.4</c:v>
                </c:pt>
                <c:pt idx="19">
                  <c:v>2.4</c:v>
                </c:pt>
                <c:pt idx="20">
                  <c:v>2.4</c:v>
                </c:pt>
                <c:pt idx="21">
                  <c:v>2.4</c:v>
                </c:pt>
                <c:pt idx="22">
                  <c:v>2.4</c:v>
                </c:pt>
                <c:pt idx="23">
                  <c:v>2.4</c:v>
                </c:pt>
                <c:pt idx="24">
                  <c:v>2.4</c:v>
                </c:pt>
                <c:pt idx="25">
                  <c:v>2.4</c:v>
                </c:pt>
                <c:pt idx="26">
                  <c:v>2.4</c:v>
                </c:pt>
                <c:pt idx="27">
                  <c:v>2.4</c:v>
                </c:pt>
                <c:pt idx="28">
                  <c:v>2.4</c:v>
                </c:pt>
                <c:pt idx="29">
                  <c:v>2.4</c:v>
                </c:pt>
                <c:pt idx="30">
                  <c:v>2.4</c:v>
                </c:pt>
                <c:pt idx="31">
                  <c:v>2.4</c:v>
                </c:pt>
                <c:pt idx="32">
                  <c:v>2.4</c:v>
                </c:pt>
                <c:pt idx="33">
                  <c:v>2.4</c:v>
                </c:pt>
                <c:pt idx="34">
                  <c:v>2.4</c:v>
                </c:pt>
                <c:pt idx="35">
                  <c:v>2.4</c:v>
                </c:pt>
                <c:pt idx="36">
                  <c:v>2.4</c:v>
                </c:pt>
                <c:pt idx="37">
                  <c:v>2.4</c:v>
                </c:pt>
                <c:pt idx="38">
                  <c:v>2.4</c:v>
                </c:pt>
                <c:pt idx="39">
                  <c:v>2.4</c:v>
                </c:pt>
                <c:pt idx="40">
                  <c:v>2.4</c:v>
                </c:pt>
                <c:pt idx="41">
                  <c:v>2.4</c:v>
                </c:pt>
                <c:pt idx="42">
                  <c:v>2.4</c:v>
                </c:pt>
                <c:pt idx="43">
                  <c:v>2.4</c:v>
                </c:pt>
                <c:pt idx="44">
                  <c:v>2.4</c:v>
                </c:pt>
                <c:pt idx="45">
                  <c:v>2.4</c:v>
                </c:pt>
                <c:pt idx="46">
                  <c:v>2.4</c:v>
                </c:pt>
                <c:pt idx="47">
                  <c:v>2.4</c:v>
                </c:pt>
                <c:pt idx="48">
                  <c:v>2.4</c:v>
                </c:pt>
                <c:pt idx="49">
                  <c:v>2.4</c:v>
                </c:pt>
                <c:pt idx="50">
                  <c:v>2.4</c:v>
                </c:pt>
                <c:pt idx="51">
                  <c:v>2.4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2.5299999999999998</c:v>
                </c:pt>
                <c:pt idx="1">
                  <c:v>2.5299999999999998</c:v>
                </c:pt>
                <c:pt idx="2">
                  <c:v>2.5299999999999998</c:v>
                </c:pt>
                <c:pt idx="3">
                  <c:v>2.5299999999999998</c:v>
                </c:pt>
                <c:pt idx="4">
                  <c:v>2.5299999999999998</c:v>
                </c:pt>
                <c:pt idx="5">
                  <c:v>2.5299999999999998</c:v>
                </c:pt>
                <c:pt idx="6">
                  <c:v>2.5299999999999998</c:v>
                </c:pt>
                <c:pt idx="7">
                  <c:v>2.5299999999999998</c:v>
                </c:pt>
                <c:pt idx="8">
                  <c:v>2.5299999999999998</c:v>
                </c:pt>
                <c:pt idx="9">
                  <c:v>2.5299999999999998</c:v>
                </c:pt>
                <c:pt idx="10">
                  <c:v>2.5299999999999998</c:v>
                </c:pt>
                <c:pt idx="11">
                  <c:v>2.5299999999999998</c:v>
                </c:pt>
                <c:pt idx="12">
                  <c:v>2.5299999999999998</c:v>
                </c:pt>
                <c:pt idx="13">
                  <c:v>2.5299999999999998</c:v>
                </c:pt>
                <c:pt idx="14">
                  <c:v>2.5299999999999998</c:v>
                </c:pt>
                <c:pt idx="15">
                  <c:v>2.5299999999999998</c:v>
                </c:pt>
                <c:pt idx="16">
                  <c:v>2.5299999999999998</c:v>
                </c:pt>
                <c:pt idx="17">
                  <c:v>2.5299999999999998</c:v>
                </c:pt>
                <c:pt idx="18">
                  <c:v>2.5299999999999998</c:v>
                </c:pt>
                <c:pt idx="19">
                  <c:v>2.5299999999999998</c:v>
                </c:pt>
                <c:pt idx="20">
                  <c:v>2.5299999999999998</c:v>
                </c:pt>
                <c:pt idx="21">
                  <c:v>2.5299999999999998</c:v>
                </c:pt>
                <c:pt idx="22">
                  <c:v>2.5299999999999998</c:v>
                </c:pt>
                <c:pt idx="23">
                  <c:v>2.5299999999999998</c:v>
                </c:pt>
                <c:pt idx="24">
                  <c:v>2.5299999999999998</c:v>
                </c:pt>
                <c:pt idx="25">
                  <c:v>2.5299999999999998</c:v>
                </c:pt>
                <c:pt idx="26">
                  <c:v>2.5299999999999998</c:v>
                </c:pt>
                <c:pt idx="27">
                  <c:v>2.5299999999999998</c:v>
                </c:pt>
                <c:pt idx="28">
                  <c:v>2.5299999999999998</c:v>
                </c:pt>
                <c:pt idx="29">
                  <c:v>2.5299999999999998</c:v>
                </c:pt>
                <c:pt idx="30">
                  <c:v>2.5299999999999998</c:v>
                </c:pt>
                <c:pt idx="31">
                  <c:v>2.5299999999999998</c:v>
                </c:pt>
                <c:pt idx="32">
                  <c:v>2.5299999999999998</c:v>
                </c:pt>
                <c:pt idx="33">
                  <c:v>2.5299999999999998</c:v>
                </c:pt>
                <c:pt idx="34">
                  <c:v>2.5299999999999998</c:v>
                </c:pt>
                <c:pt idx="35">
                  <c:v>2.5299999999999998</c:v>
                </c:pt>
                <c:pt idx="36">
                  <c:v>2.5299999999999998</c:v>
                </c:pt>
                <c:pt idx="37">
                  <c:v>2.5299999999999998</c:v>
                </c:pt>
                <c:pt idx="38">
                  <c:v>2.5299999999999998</c:v>
                </c:pt>
                <c:pt idx="39">
                  <c:v>2.5299999999999998</c:v>
                </c:pt>
                <c:pt idx="40">
                  <c:v>2.5299999999999998</c:v>
                </c:pt>
                <c:pt idx="41">
                  <c:v>2.5299999999999998</c:v>
                </c:pt>
                <c:pt idx="42">
                  <c:v>2.5299999999999998</c:v>
                </c:pt>
                <c:pt idx="43">
                  <c:v>2.5299999999999998</c:v>
                </c:pt>
                <c:pt idx="44">
                  <c:v>2.5299999999999998</c:v>
                </c:pt>
                <c:pt idx="45">
                  <c:v>2.5299999999999998</c:v>
                </c:pt>
                <c:pt idx="46">
                  <c:v>2.5299999999999998</c:v>
                </c:pt>
                <c:pt idx="47">
                  <c:v>2.5299999999999998</c:v>
                </c:pt>
                <c:pt idx="48">
                  <c:v>2.5299999999999998</c:v>
                </c:pt>
                <c:pt idx="49">
                  <c:v>2.5299999999999998</c:v>
                </c:pt>
                <c:pt idx="50">
                  <c:v>2.5299999999999998</c:v>
                </c:pt>
                <c:pt idx="51">
                  <c:v>2.5299999999999998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2.6599999999999997</c:v>
                </c:pt>
                <c:pt idx="1">
                  <c:v>2.6599999999999997</c:v>
                </c:pt>
                <c:pt idx="2">
                  <c:v>2.6599999999999997</c:v>
                </c:pt>
                <c:pt idx="3">
                  <c:v>2.6599999999999997</c:v>
                </c:pt>
                <c:pt idx="4">
                  <c:v>2.6599999999999997</c:v>
                </c:pt>
                <c:pt idx="5">
                  <c:v>2.6599999999999997</c:v>
                </c:pt>
                <c:pt idx="6">
                  <c:v>2.6599999999999997</c:v>
                </c:pt>
                <c:pt idx="7">
                  <c:v>2.6599999999999997</c:v>
                </c:pt>
                <c:pt idx="8">
                  <c:v>2.6599999999999997</c:v>
                </c:pt>
                <c:pt idx="9">
                  <c:v>2.6599999999999997</c:v>
                </c:pt>
                <c:pt idx="10">
                  <c:v>2.6599999999999997</c:v>
                </c:pt>
                <c:pt idx="11">
                  <c:v>2.6599999999999997</c:v>
                </c:pt>
                <c:pt idx="12">
                  <c:v>2.6599999999999997</c:v>
                </c:pt>
                <c:pt idx="13">
                  <c:v>2.6599999999999997</c:v>
                </c:pt>
                <c:pt idx="14">
                  <c:v>2.6599999999999997</c:v>
                </c:pt>
                <c:pt idx="15">
                  <c:v>2.6599999999999997</c:v>
                </c:pt>
                <c:pt idx="16">
                  <c:v>2.6599999999999997</c:v>
                </c:pt>
                <c:pt idx="17">
                  <c:v>2.6599999999999997</c:v>
                </c:pt>
                <c:pt idx="18">
                  <c:v>2.6599999999999997</c:v>
                </c:pt>
                <c:pt idx="19">
                  <c:v>2.6599999999999997</c:v>
                </c:pt>
                <c:pt idx="20">
                  <c:v>2.6599999999999997</c:v>
                </c:pt>
                <c:pt idx="21">
                  <c:v>2.6599999999999997</c:v>
                </c:pt>
                <c:pt idx="22">
                  <c:v>2.6599999999999997</c:v>
                </c:pt>
                <c:pt idx="23">
                  <c:v>2.6599999999999997</c:v>
                </c:pt>
                <c:pt idx="24">
                  <c:v>2.6599999999999997</c:v>
                </c:pt>
                <c:pt idx="25">
                  <c:v>2.6599999999999997</c:v>
                </c:pt>
                <c:pt idx="26">
                  <c:v>2.6599999999999997</c:v>
                </c:pt>
                <c:pt idx="27">
                  <c:v>2.6599999999999997</c:v>
                </c:pt>
                <c:pt idx="28">
                  <c:v>2.6599999999999997</c:v>
                </c:pt>
                <c:pt idx="29">
                  <c:v>2.6599999999999997</c:v>
                </c:pt>
                <c:pt idx="30">
                  <c:v>2.6599999999999997</c:v>
                </c:pt>
                <c:pt idx="31">
                  <c:v>2.6599999999999997</c:v>
                </c:pt>
                <c:pt idx="32">
                  <c:v>2.6599999999999997</c:v>
                </c:pt>
                <c:pt idx="33">
                  <c:v>2.6599999999999997</c:v>
                </c:pt>
                <c:pt idx="34">
                  <c:v>2.6599999999999997</c:v>
                </c:pt>
                <c:pt idx="35">
                  <c:v>2.6599999999999997</c:v>
                </c:pt>
                <c:pt idx="36">
                  <c:v>2.6599999999999997</c:v>
                </c:pt>
                <c:pt idx="37">
                  <c:v>2.6599999999999997</c:v>
                </c:pt>
                <c:pt idx="38">
                  <c:v>2.6599999999999997</c:v>
                </c:pt>
                <c:pt idx="39">
                  <c:v>2.6599999999999997</c:v>
                </c:pt>
                <c:pt idx="40">
                  <c:v>2.6599999999999997</c:v>
                </c:pt>
                <c:pt idx="41">
                  <c:v>2.6599999999999997</c:v>
                </c:pt>
                <c:pt idx="42">
                  <c:v>2.6599999999999997</c:v>
                </c:pt>
                <c:pt idx="43">
                  <c:v>2.6599999999999997</c:v>
                </c:pt>
                <c:pt idx="44">
                  <c:v>2.6599999999999997</c:v>
                </c:pt>
                <c:pt idx="45">
                  <c:v>2.6599999999999997</c:v>
                </c:pt>
                <c:pt idx="46">
                  <c:v>2.6599999999999997</c:v>
                </c:pt>
                <c:pt idx="47">
                  <c:v>2.6599999999999997</c:v>
                </c:pt>
                <c:pt idx="48">
                  <c:v>2.6599999999999997</c:v>
                </c:pt>
                <c:pt idx="49">
                  <c:v>2.6599999999999997</c:v>
                </c:pt>
                <c:pt idx="50">
                  <c:v>2.6599999999999997</c:v>
                </c:pt>
                <c:pt idx="51">
                  <c:v>2.6599999999999997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2.79</c:v>
                </c:pt>
                <c:pt idx="1">
                  <c:v>2.79</c:v>
                </c:pt>
                <c:pt idx="2">
                  <c:v>2.79</c:v>
                </c:pt>
                <c:pt idx="3">
                  <c:v>2.79</c:v>
                </c:pt>
                <c:pt idx="4">
                  <c:v>2.79</c:v>
                </c:pt>
                <c:pt idx="5">
                  <c:v>2.79</c:v>
                </c:pt>
                <c:pt idx="6">
                  <c:v>2.79</c:v>
                </c:pt>
                <c:pt idx="7">
                  <c:v>2.79</c:v>
                </c:pt>
                <c:pt idx="8">
                  <c:v>2.79</c:v>
                </c:pt>
                <c:pt idx="9">
                  <c:v>2.79</c:v>
                </c:pt>
                <c:pt idx="10">
                  <c:v>2.79</c:v>
                </c:pt>
                <c:pt idx="11">
                  <c:v>2.79</c:v>
                </c:pt>
                <c:pt idx="12">
                  <c:v>2.79</c:v>
                </c:pt>
                <c:pt idx="13">
                  <c:v>2.79</c:v>
                </c:pt>
                <c:pt idx="14">
                  <c:v>2.79</c:v>
                </c:pt>
                <c:pt idx="15">
                  <c:v>2.79</c:v>
                </c:pt>
                <c:pt idx="16">
                  <c:v>2.79</c:v>
                </c:pt>
                <c:pt idx="17">
                  <c:v>2.79</c:v>
                </c:pt>
                <c:pt idx="18">
                  <c:v>2.79</c:v>
                </c:pt>
                <c:pt idx="19">
                  <c:v>2.79</c:v>
                </c:pt>
                <c:pt idx="20">
                  <c:v>2.79</c:v>
                </c:pt>
                <c:pt idx="21">
                  <c:v>2.79</c:v>
                </c:pt>
                <c:pt idx="22">
                  <c:v>2.79</c:v>
                </c:pt>
                <c:pt idx="23">
                  <c:v>2.79</c:v>
                </c:pt>
                <c:pt idx="24">
                  <c:v>2.79</c:v>
                </c:pt>
                <c:pt idx="25">
                  <c:v>2.79</c:v>
                </c:pt>
                <c:pt idx="26">
                  <c:v>2.79</c:v>
                </c:pt>
                <c:pt idx="27">
                  <c:v>2.79</c:v>
                </c:pt>
                <c:pt idx="28">
                  <c:v>2.79</c:v>
                </c:pt>
                <c:pt idx="29">
                  <c:v>2.79</c:v>
                </c:pt>
                <c:pt idx="30">
                  <c:v>2.79</c:v>
                </c:pt>
                <c:pt idx="31">
                  <c:v>2.79</c:v>
                </c:pt>
                <c:pt idx="32">
                  <c:v>2.79</c:v>
                </c:pt>
                <c:pt idx="33">
                  <c:v>2.79</c:v>
                </c:pt>
                <c:pt idx="34">
                  <c:v>2.79</c:v>
                </c:pt>
                <c:pt idx="35">
                  <c:v>2.79</c:v>
                </c:pt>
                <c:pt idx="36">
                  <c:v>2.79</c:v>
                </c:pt>
                <c:pt idx="37">
                  <c:v>2.79</c:v>
                </c:pt>
                <c:pt idx="38">
                  <c:v>2.79</c:v>
                </c:pt>
                <c:pt idx="39">
                  <c:v>2.79</c:v>
                </c:pt>
                <c:pt idx="40">
                  <c:v>2.79</c:v>
                </c:pt>
                <c:pt idx="41">
                  <c:v>2.79</c:v>
                </c:pt>
                <c:pt idx="42">
                  <c:v>2.79</c:v>
                </c:pt>
                <c:pt idx="43">
                  <c:v>2.79</c:v>
                </c:pt>
                <c:pt idx="44">
                  <c:v>2.79</c:v>
                </c:pt>
                <c:pt idx="45">
                  <c:v>2.79</c:v>
                </c:pt>
                <c:pt idx="46">
                  <c:v>2.79</c:v>
                </c:pt>
                <c:pt idx="47">
                  <c:v>2.79</c:v>
                </c:pt>
                <c:pt idx="48">
                  <c:v>2.79</c:v>
                </c:pt>
                <c:pt idx="49">
                  <c:v>2.79</c:v>
                </c:pt>
                <c:pt idx="50">
                  <c:v>2.79</c:v>
                </c:pt>
                <c:pt idx="51">
                  <c:v>2.79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2.92</c:v>
                </c:pt>
                <c:pt idx="1">
                  <c:v>2.92</c:v>
                </c:pt>
                <c:pt idx="2">
                  <c:v>2.92</c:v>
                </c:pt>
                <c:pt idx="3">
                  <c:v>2.92</c:v>
                </c:pt>
                <c:pt idx="4">
                  <c:v>2.92</c:v>
                </c:pt>
                <c:pt idx="5">
                  <c:v>2.92</c:v>
                </c:pt>
                <c:pt idx="6">
                  <c:v>2.92</c:v>
                </c:pt>
                <c:pt idx="7">
                  <c:v>2.92</c:v>
                </c:pt>
                <c:pt idx="8">
                  <c:v>2.92</c:v>
                </c:pt>
                <c:pt idx="9">
                  <c:v>2.92</c:v>
                </c:pt>
                <c:pt idx="10">
                  <c:v>2.92</c:v>
                </c:pt>
                <c:pt idx="11">
                  <c:v>2.92</c:v>
                </c:pt>
                <c:pt idx="12">
                  <c:v>2.92</c:v>
                </c:pt>
                <c:pt idx="13">
                  <c:v>2.92</c:v>
                </c:pt>
                <c:pt idx="14">
                  <c:v>2.92</c:v>
                </c:pt>
                <c:pt idx="15">
                  <c:v>2.92</c:v>
                </c:pt>
                <c:pt idx="16">
                  <c:v>2.92</c:v>
                </c:pt>
                <c:pt idx="17">
                  <c:v>2.92</c:v>
                </c:pt>
                <c:pt idx="18">
                  <c:v>2.92</c:v>
                </c:pt>
                <c:pt idx="19">
                  <c:v>2.92</c:v>
                </c:pt>
                <c:pt idx="20">
                  <c:v>2.92</c:v>
                </c:pt>
                <c:pt idx="21">
                  <c:v>2.92</c:v>
                </c:pt>
                <c:pt idx="22">
                  <c:v>2.92</c:v>
                </c:pt>
                <c:pt idx="23">
                  <c:v>2.92</c:v>
                </c:pt>
                <c:pt idx="24">
                  <c:v>2.92</c:v>
                </c:pt>
                <c:pt idx="25">
                  <c:v>2.92</c:v>
                </c:pt>
                <c:pt idx="26">
                  <c:v>2.92</c:v>
                </c:pt>
                <c:pt idx="27">
                  <c:v>2.92</c:v>
                </c:pt>
                <c:pt idx="28">
                  <c:v>2.92</c:v>
                </c:pt>
                <c:pt idx="29">
                  <c:v>2.92</c:v>
                </c:pt>
                <c:pt idx="30">
                  <c:v>2.92</c:v>
                </c:pt>
                <c:pt idx="31">
                  <c:v>2.92</c:v>
                </c:pt>
                <c:pt idx="32">
                  <c:v>2.92</c:v>
                </c:pt>
                <c:pt idx="33">
                  <c:v>2.92</c:v>
                </c:pt>
                <c:pt idx="34">
                  <c:v>2.92</c:v>
                </c:pt>
                <c:pt idx="35">
                  <c:v>2.92</c:v>
                </c:pt>
                <c:pt idx="36">
                  <c:v>2.92</c:v>
                </c:pt>
                <c:pt idx="37">
                  <c:v>2.92</c:v>
                </c:pt>
                <c:pt idx="38">
                  <c:v>2.92</c:v>
                </c:pt>
                <c:pt idx="39">
                  <c:v>2.92</c:v>
                </c:pt>
                <c:pt idx="40">
                  <c:v>2.92</c:v>
                </c:pt>
                <c:pt idx="41">
                  <c:v>2.92</c:v>
                </c:pt>
                <c:pt idx="42">
                  <c:v>2.92</c:v>
                </c:pt>
                <c:pt idx="43">
                  <c:v>2.92</c:v>
                </c:pt>
                <c:pt idx="44">
                  <c:v>2.92</c:v>
                </c:pt>
                <c:pt idx="45">
                  <c:v>2.92</c:v>
                </c:pt>
                <c:pt idx="46">
                  <c:v>2.92</c:v>
                </c:pt>
                <c:pt idx="47">
                  <c:v>2.92</c:v>
                </c:pt>
                <c:pt idx="48">
                  <c:v>2.92</c:v>
                </c:pt>
                <c:pt idx="49">
                  <c:v>2.92</c:v>
                </c:pt>
                <c:pt idx="50">
                  <c:v>2.92</c:v>
                </c:pt>
                <c:pt idx="51">
                  <c:v>2.92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2.4900000000000002</c:v>
                </c:pt>
                <c:pt idx="1">
                  <c:v>2.4220000000000002</c:v>
                </c:pt>
                <c:pt idx="2">
                  <c:v>2.54</c:v>
                </c:pt>
                <c:pt idx="3">
                  <c:v>2.4350000000000001</c:v>
                </c:pt>
                <c:pt idx="4">
                  <c:v>2.4969999999999999</c:v>
                </c:pt>
                <c:pt idx="5">
                  <c:v>2.6110000000000002</c:v>
                </c:pt>
                <c:pt idx="6">
                  <c:v>2.63</c:v>
                </c:pt>
                <c:pt idx="7">
                  <c:v>2.57</c:v>
                </c:pt>
                <c:pt idx="8">
                  <c:v>2.6179999999999999</c:v>
                </c:pt>
                <c:pt idx="9">
                  <c:v>2.5139999999999998</c:v>
                </c:pt>
                <c:pt idx="10">
                  <c:v>2.5219999999999998</c:v>
                </c:pt>
                <c:pt idx="11">
                  <c:v>2.5459999999999998</c:v>
                </c:pt>
                <c:pt idx="12">
                  <c:v>2.5979999999999999</c:v>
                </c:pt>
                <c:pt idx="13">
                  <c:v>2.6080000000000001</c:v>
                </c:pt>
                <c:pt idx="14">
                  <c:v>2.57</c:v>
                </c:pt>
                <c:pt idx="15">
                  <c:v>2.5030000000000001</c:v>
                </c:pt>
                <c:pt idx="16">
                  <c:v>2.6</c:v>
                </c:pt>
                <c:pt idx="17">
                  <c:v>2.5</c:v>
                </c:pt>
                <c:pt idx="18">
                  <c:v>2.46</c:v>
                </c:pt>
                <c:pt idx="19">
                  <c:v>2.395</c:v>
                </c:pt>
                <c:pt idx="20">
                  <c:v>2.38</c:v>
                </c:pt>
                <c:pt idx="21">
                  <c:v>2.48</c:v>
                </c:pt>
                <c:pt idx="22">
                  <c:v>2.4700000000000002</c:v>
                </c:pt>
                <c:pt idx="23">
                  <c:v>2.4500000000000002</c:v>
                </c:pt>
                <c:pt idx="24">
                  <c:v>2.46</c:v>
                </c:pt>
                <c:pt idx="25">
                  <c:v>2.5</c:v>
                </c:pt>
                <c:pt idx="26">
                  <c:v>2.41</c:v>
                </c:pt>
                <c:pt idx="27">
                  <c:v>2.4700000000000002</c:v>
                </c:pt>
                <c:pt idx="28">
                  <c:v>2.48</c:v>
                </c:pt>
                <c:pt idx="29">
                  <c:v>2.4500000000000002</c:v>
                </c:pt>
                <c:pt idx="30">
                  <c:v>2.39</c:v>
                </c:pt>
                <c:pt idx="31">
                  <c:v>2.4</c:v>
                </c:pt>
                <c:pt idx="32">
                  <c:v>2.38</c:v>
                </c:pt>
                <c:pt idx="33">
                  <c:v>2.4</c:v>
                </c:pt>
                <c:pt idx="34">
                  <c:v>2.4700000000000002</c:v>
                </c:pt>
                <c:pt idx="35">
                  <c:v>2.4500000000000002</c:v>
                </c:pt>
                <c:pt idx="36">
                  <c:v>2.44</c:v>
                </c:pt>
                <c:pt idx="37">
                  <c:v>2.42</c:v>
                </c:pt>
                <c:pt idx="38">
                  <c:v>2.36</c:v>
                </c:pt>
                <c:pt idx="39">
                  <c:v>2.4</c:v>
                </c:pt>
                <c:pt idx="40">
                  <c:v>2.41</c:v>
                </c:pt>
                <c:pt idx="41">
                  <c:v>2.4900000000000002</c:v>
                </c:pt>
                <c:pt idx="42">
                  <c:v>2.39</c:v>
                </c:pt>
                <c:pt idx="43">
                  <c:v>2.46</c:v>
                </c:pt>
                <c:pt idx="44">
                  <c:v>2.42</c:v>
                </c:pt>
                <c:pt idx="45">
                  <c:v>2.41</c:v>
                </c:pt>
                <c:pt idx="46">
                  <c:v>2.35</c:v>
                </c:pt>
                <c:pt idx="47">
                  <c:v>2.42</c:v>
                </c:pt>
                <c:pt idx="48">
                  <c:v>2.4</c:v>
                </c:pt>
                <c:pt idx="49">
                  <c:v>2.4</c:v>
                </c:pt>
                <c:pt idx="50">
                  <c:v>2.39</c:v>
                </c:pt>
                <c:pt idx="51">
                  <c:v>2.41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2.4900000000000002</c:v>
                </c:pt>
                <c:pt idx="1">
                  <c:v>2.4220000000000002</c:v>
                </c:pt>
                <c:pt idx="2">
                  <c:v>2.54</c:v>
                </c:pt>
                <c:pt idx="3">
                  <c:v>2.4350000000000001</c:v>
                </c:pt>
                <c:pt idx="4">
                  <c:v>2.4969999999999999</c:v>
                </c:pt>
                <c:pt idx="5">
                  <c:v>2.6110000000000002</c:v>
                </c:pt>
                <c:pt idx="6">
                  <c:v>2.63</c:v>
                </c:pt>
                <c:pt idx="7">
                  <c:v>2.57</c:v>
                </c:pt>
                <c:pt idx="8">
                  <c:v>#N/A</c:v>
                </c:pt>
                <c:pt idx="9">
                  <c:v>2.5139999999999998</c:v>
                </c:pt>
                <c:pt idx="10">
                  <c:v>2.5219999999999998</c:v>
                </c:pt>
                <c:pt idx="11">
                  <c:v>2.5459999999999998</c:v>
                </c:pt>
                <c:pt idx="12">
                  <c:v>2.5979999999999999</c:v>
                </c:pt>
                <c:pt idx="13">
                  <c:v>2.6080000000000001</c:v>
                </c:pt>
                <c:pt idx="14">
                  <c:v>#N/A</c:v>
                </c:pt>
                <c:pt idx="15">
                  <c:v>2.5030000000000001</c:v>
                </c:pt>
                <c:pt idx="16">
                  <c:v>2.6</c:v>
                </c:pt>
                <c:pt idx="17">
                  <c:v>2.5</c:v>
                </c:pt>
                <c:pt idx="18">
                  <c:v>2.46</c:v>
                </c:pt>
                <c:pt idx="19">
                  <c:v>2.395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2.6179999999999999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2.57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2.38</c:v>
                </c:pt>
                <c:pt idx="21">
                  <c:v>2.48</c:v>
                </c:pt>
                <c:pt idx="22">
                  <c:v>2.4700000000000002</c:v>
                </c:pt>
                <c:pt idx="23">
                  <c:v>2.4500000000000002</c:v>
                </c:pt>
                <c:pt idx="24">
                  <c:v>2.46</c:v>
                </c:pt>
                <c:pt idx="25">
                  <c:v>2.5</c:v>
                </c:pt>
                <c:pt idx="26">
                  <c:v>2.41</c:v>
                </c:pt>
                <c:pt idx="27">
                  <c:v>2.4700000000000002</c:v>
                </c:pt>
                <c:pt idx="28">
                  <c:v>2.48</c:v>
                </c:pt>
                <c:pt idx="29">
                  <c:v>2.4500000000000002</c:v>
                </c:pt>
                <c:pt idx="30">
                  <c:v>2.39</c:v>
                </c:pt>
                <c:pt idx="31">
                  <c:v>2.4</c:v>
                </c:pt>
                <c:pt idx="32">
                  <c:v>2.38</c:v>
                </c:pt>
                <c:pt idx="33">
                  <c:v>2.4</c:v>
                </c:pt>
                <c:pt idx="34">
                  <c:v>2.4700000000000002</c:v>
                </c:pt>
                <c:pt idx="35">
                  <c:v>2.4500000000000002</c:v>
                </c:pt>
                <c:pt idx="36">
                  <c:v>2.44</c:v>
                </c:pt>
                <c:pt idx="37">
                  <c:v>2.42</c:v>
                </c:pt>
                <c:pt idx="38">
                  <c:v>2.36</c:v>
                </c:pt>
                <c:pt idx="39">
                  <c:v>2.4</c:v>
                </c:pt>
                <c:pt idx="40">
                  <c:v>2.41</c:v>
                </c:pt>
                <c:pt idx="41">
                  <c:v>2.4900000000000002</c:v>
                </c:pt>
                <c:pt idx="42">
                  <c:v>2.39</c:v>
                </c:pt>
                <c:pt idx="43">
                  <c:v>2.46</c:v>
                </c:pt>
                <c:pt idx="44">
                  <c:v>2.42</c:v>
                </c:pt>
                <c:pt idx="45">
                  <c:v>2.41</c:v>
                </c:pt>
                <c:pt idx="46">
                  <c:v>2.35</c:v>
                </c:pt>
                <c:pt idx="47">
                  <c:v>2.42</c:v>
                </c:pt>
                <c:pt idx="48">
                  <c:v>2.4</c:v>
                </c:pt>
                <c:pt idx="49">
                  <c:v>2.4</c:v>
                </c:pt>
                <c:pt idx="50">
                  <c:v>2.39</c:v>
                </c:pt>
                <c:pt idx="51">
                  <c:v>2.41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9590000000000001"/>
          <c:min val="2.100999999999999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3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H8" totalsRowShown="0" headerRowDxfId="39">
  <autoFilter ref="A3:H8" xr:uid="{4DA8CE48-B02D-48F0-A061-E4BFF75D7B9E}"/>
  <tableColumns count="8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36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5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4"/>
    <tableColumn id="7" xr3:uid="{B5443819-85E6-4D9F-B28C-935FC48DAD5E}" name="Média / Valor-alvo" dataDxfId="33"/>
    <tableColumn id="8" xr3:uid="{A6657194-F7CC-47EF-BC27-6C810F51CE65}" name="SD" dataDxfId="32"/>
    <tableColumn id="9" xr3:uid="{596AC75B-FAA7-46B5-B380-4365E70629C5}" name="SDI" dataDxfId="31"/>
    <tableColumn id="10" xr3:uid="{D66143EA-F447-4DBF-8E14-D30D7DC3B35C}" name="Limite Inferior" dataDxfId="30"/>
    <tableColumn id="11" xr3:uid="{A96D81ED-0348-439D-9FBC-98833CACCE16}" name="Limite Superior" dataDxfId="29"/>
    <tableColumn id="12" xr3:uid="{0D7A1913-E4C7-4AD8-8FDD-DC9572F7B7AC}" name="Avaliação"/>
    <tableColumn id="13" xr3:uid="{C367B19C-616C-432B-BCC0-5CD1B6C7BCEE}" name="Nº Laboratórios" dataDxfId="28"/>
    <tableColumn id="14" xr3:uid="{5368E93D-B01E-43D5-BB94-7340E32432EB}" name="Unidade"/>
    <tableColumn id="15" xr3:uid="{6F736B7C-9DAC-4450-A419-D23D096B1CD3}" name="Bias (%)" dataDxfId="27">
      <calculatedColumnFormula>IFERROR((F2-G2)/G2*100,"")</calculatedColumnFormula>
    </tableColumn>
    <tableColumn id="16" xr3:uid="{C42F9D4F-FA86-4FF6-B997-10830806330E}" name="|Bias| (%)" dataDxfId="26">
      <calculatedColumnFormula>IF(O2="","",ABS(O2))</calculatedColumnFormula>
    </tableColumn>
    <tableColumn id="17" xr3:uid="{D51016CD-DF40-4804-915D-A18AD886C48B}" name="Página Fonte" dataDxfId="25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2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1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0"/>
    <tableColumn id="7" xr3:uid="{5646589E-35F3-4695-B39F-D54CB9E2265E}" name="Média / Valor-alvo" dataDxfId="19"/>
    <tableColumn id="8" xr3:uid="{AA9C7866-86E3-4B46-BCEB-0F69172D03FE}" name="SD" dataDxfId="18"/>
    <tableColumn id="9" xr3:uid="{0D364887-E614-4989-BA78-BCA0A0CAA0D2}" name="SDI" dataDxfId="17"/>
    <tableColumn id="10" xr3:uid="{7ABDA41F-CD92-40B4-B9F7-A19ADBEC6A16}" name="Limite Inferior" dataDxfId="16"/>
    <tableColumn id="11" xr3:uid="{47F9F0B3-FAC3-473F-982C-EDF9CD5991FE}" name="Limite Superior" dataDxfId="15"/>
    <tableColumn id="12" xr3:uid="{A9B5C076-DEDE-427F-B7D1-A72717ABA563}" name="Avaliação"/>
    <tableColumn id="13" xr3:uid="{B519E452-BBD1-4EA1-9351-9E39849AAFD2}" name="Nº Laboratórios" dataDxfId="14"/>
    <tableColumn id="14" xr3:uid="{3AF4133D-AD01-44C0-9BA4-77423A2E45A8}" name="Unidade"/>
    <tableColumn id="15" xr3:uid="{F0AF0F60-BDC3-4CF3-BCA2-1B9F4E133EB7}" name="Bias (%)" dataDxfId="13">
      <calculatedColumnFormula>IFERROR((F2-G2)/G2*100,"")</calculatedColumnFormula>
    </tableColumn>
    <tableColumn id="16" xr3:uid="{69F336E6-2757-4EAD-8B27-DBC84D2B0550}" name="|Bias| (%)" dataDxfId="12">
      <calculatedColumnFormula>IF(O2="","",ABS(O2))</calculatedColumnFormula>
    </tableColumn>
    <tableColumn id="17" xr3:uid="{8C852A12-82F1-4436-A6C6-CFA816B1B248}" name="Página Fonte" dataDxfId="11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0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9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8"/>
    <tableColumn id="8" xr3:uid="{95229B7F-9466-459D-A79E-30A7437163BC}" name="Valor_Alvo" dataDxfId="7"/>
    <tableColumn id="9" xr3:uid="{388D6F10-F2AA-4CA3-929D-48DE0733EBE5}" name="SD" dataDxfId="6"/>
    <tableColumn id="10" xr3:uid="{3226F260-EBC6-4654-AA42-3C83FFB66D78}" name="SDI" dataDxfId="5"/>
    <tableColumn id="11" xr3:uid="{25D00A69-7389-41C6-BBAF-060326AE20B2}" name="Limite_Inferior" dataDxfId="4"/>
    <tableColumn id="12" xr3:uid="{9E2C7B37-3DF0-45D2-8F47-426A909EB9E6}" name="Limite_Superior" dataDxfId="3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2"/>
    <tableColumn id="17" xr3:uid="{CC0CE357-ABDE-41A8-9832-5182273C89C9}" name="Bias_Abs" dataDxfId="1"/>
    <tableColumn id="18" xr3:uid="{EBBC2C36-0907-4180-96B7-8A4DA52FA03F}" name="Pagina_Fonte" dataDxfId="0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04" t="s">
        <v>0</v>
      </c>
      <c r="B1" s="200"/>
      <c r="C1" s="200"/>
      <c r="D1" s="200"/>
      <c r="E1" s="200"/>
      <c r="F1" s="200"/>
      <c r="G1" s="200"/>
      <c r="H1" s="200"/>
    </row>
    <row r="2" spans="1:8" ht="19.95" customHeight="1" x14ac:dyDescent="0.3">
      <c r="A2" s="205" t="s">
        <v>1</v>
      </c>
      <c r="B2" s="200"/>
      <c r="C2" s="200"/>
      <c r="D2" s="200"/>
      <c r="E2" s="200"/>
      <c r="F2" s="200"/>
      <c r="G2" s="200"/>
      <c r="H2" s="200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201" t="s">
        <v>15</v>
      </c>
      <c r="D12" s="202"/>
      <c r="E12" s="202"/>
      <c r="F12" s="202"/>
      <c r="G12" s="203"/>
    </row>
    <row r="13" spans="1:8" x14ac:dyDescent="0.3">
      <c r="B13" s="47" t="s">
        <v>16</v>
      </c>
      <c r="C13" s="201" t="s">
        <v>17</v>
      </c>
      <c r="D13" s="202"/>
      <c r="E13" s="202"/>
      <c r="F13" s="202"/>
      <c r="G13" s="203"/>
    </row>
    <row r="14" spans="1:8" x14ac:dyDescent="0.3">
      <c r="B14" s="47" t="s">
        <v>18</v>
      </c>
      <c r="C14" s="201" t="s">
        <v>19</v>
      </c>
      <c r="D14" s="202"/>
      <c r="E14" s="202"/>
      <c r="F14" s="202"/>
      <c r="G14" s="203"/>
    </row>
    <row r="15" spans="1:8" x14ac:dyDescent="0.3">
      <c r="B15" s="47" t="s">
        <v>20</v>
      </c>
      <c r="C15" s="201" t="s">
        <v>21</v>
      </c>
      <c r="D15" s="202"/>
      <c r="E15" s="202"/>
      <c r="F15" s="202"/>
      <c r="G15" s="203"/>
    </row>
    <row r="16" spans="1:8" x14ac:dyDescent="0.3">
      <c r="B16" s="47" t="s">
        <v>22</v>
      </c>
      <c r="C16" s="201" t="s">
        <v>23</v>
      </c>
      <c r="D16" s="202"/>
      <c r="E16" s="202"/>
      <c r="F16" s="202"/>
      <c r="G16" s="203"/>
    </row>
    <row r="17" spans="2:7" x14ac:dyDescent="0.3">
      <c r="B17" s="47" t="s">
        <v>24</v>
      </c>
      <c r="C17" s="201" t="s">
        <v>25</v>
      </c>
      <c r="D17" s="202"/>
      <c r="E17" s="202"/>
      <c r="F17" s="202"/>
      <c r="G17" s="203"/>
    </row>
    <row r="18" spans="2:7" x14ac:dyDescent="0.3">
      <c r="B18" s="47" t="s">
        <v>26</v>
      </c>
      <c r="C18" s="201" t="s">
        <v>27</v>
      </c>
      <c r="D18" s="202"/>
      <c r="E18" s="202"/>
      <c r="F18" s="202"/>
      <c r="G18" s="203"/>
    </row>
    <row r="19" spans="2:7" x14ac:dyDescent="0.3">
      <c r="B19" s="47" t="s">
        <v>28</v>
      </c>
      <c r="C19" s="201" t="s">
        <v>29</v>
      </c>
      <c r="D19" s="202"/>
      <c r="E19" s="202"/>
      <c r="F19" s="202"/>
      <c r="G19" s="203"/>
    </row>
    <row r="20" spans="2:7" x14ac:dyDescent="0.3">
      <c r="B20" s="47" t="s">
        <v>30</v>
      </c>
      <c r="C20" s="201" t="s">
        <v>31</v>
      </c>
      <c r="D20" s="202"/>
      <c r="E20" s="202"/>
      <c r="F20" s="202"/>
      <c r="G20" s="203"/>
    </row>
    <row r="22" spans="2:7" ht="15.6" x14ac:dyDescent="0.3">
      <c r="B22" s="44" t="s">
        <v>32</v>
      </c>
    </row>
    <row r="23" spans="2:7" x14ac:dyDescent="0.3">
      <c r="B23" s="199" t="s">
        <v>33</v>
      </c>
      <c r="C23" s="200"/>
      <c r="D23" s="200"/>
      <c r="E23" s="200"/>
      <c r="F23" s="200"/>
      <c r="G23" s="200"/>
    </row>
    <row r="24" spans="2:7" x14ac:dyDescent="0.3">
      <c r="B24" s="199" t="s">
        <v>34</v>
      </c>
      <c r="C24" s="200"/>
      <c r="D24" s="200"/>
      <c r="E24" s="200"/>
      <c r="F24" s="200"/>
      <c r="G24" s="200"/>
    </row>
    <row r="25" spans="2:7" x14ac:dyDescent="0.3">
      <c r="B25" s="199" t="s">
        <v>35</v>
      </c>
      <c r="C25" s="200"/>
      <c r="D25" s="200"/>
      <c r="E25" s="200"/>
      <c r="F25" s="200"/>
      <c r="G25" s="200"/>
    </row>
    <row r="26" spans="2:7" x14ac:dyDescent="0.3">
      <c r="B26" s="199" t="s">
        <v>36</v>
      </c>
      <c r="C26" s="200"/>
      <c r="D26" s="200"/>
      <c r="E26" s="200"/>
      <c r="F26" s="200"/>
      <c r="G26" s="200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04" t="s">
        <v>37</v>
      </c>
      <c r="B1" s="200"/>
      <c r="C1" s="200"/>
      <c r="D1" s="200"/>
      <c r="E1" s="200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206" t="s">
        <v>53</v>
      </c>
      <c r="C19" s="200"/>
      <c r="D19" s="200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206" t="s">
        <v>57</v>
      </c>
      <c r="C24" s="200"/>
      <c r="D24" s="200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04" t="s">
        <v>85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</row>
    <row r="2" spans="1:34" ht="19.95" customHeight="1" x14ac:dyDescent="0.3">
      <c r="A2" s="207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09" t="s">
        <v>152</v>
      </c>
      <c r="B1" s="209"/>
      <c r="C1" s="209"/>
      <c r="D1" s="209"/>
      <c r="E1" s="209"/>
      <c r="F1" s="209"/>
      <c r="G1" s="209"/>
      <c r="H1" s="71"/>
      <c r="BD1" s="72" t="s">
        <v>153</v>
      </c>
    </row>
    <row r="2" spans="1:56" ht="19.95" customHeight="1" x14ac:dyDescent="0.3">
      <c r="A2" s="210" t="s">
        <v>154</v>
      </c>
      <c r="B2" s="210"/>
      <c r="C2" s="210"/>
      <c r="D2" s="210"/>
      <c r="E2" s="210"/>
      <c r="F2" s="210"/>
      <c r="G2" s="210"/>
      <c r="H2" s="208" t="s">
        <v>155</v>
      </c>
      <c r="I2" s="200"/>
      <c r="J2" s="200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3.9</v>
      </c>
      <c r="AY1" s="69">
        <f>IFERROR(INDEX(Analitos!$F$4:$F$43,MATCH(selAnalito,Analitos!$A$4:$A$43,0)),"")</f>
        <v>0.17</v>
      </c>
      <c r="AZ1" s="69">
        <f>IFERROR(INDEX(Analitos!$G$4:$G$43,MATCH(selAnalito,Analitos!$A$4:$A$43,0)),"")</f>
        <v>2.5299999999999998</v>
      </c>
      <c r="BA1" s="69">
        <f>IFERROR(INDEX(Analitos!$H$4:$H$43,MATCH(selAnalito,Analitos!$A$4:$A$43,0)),"")</f>
        <v>0.13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3.3389999999999995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4.4610000000000003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2.1009999999999995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2.9590000000000001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3.83</v>
      </c>
      <c r="G3" s="69">
        <f t="shared" ref="G3:G34" si="5">IF(OR($F3="",$AY$1=""),"",($F3-$AX$1)/$AY$1)</f>
        <v>-0.41176470588235198</v>
      </c>
      <c r="H3" s="69">
        <f t="shared" ref="H3:H34" si="6">IF(AND($F3&lt;&gt;"",$D3=1),$F3,NA())</f>
        <v>3.83</v>
      </c>
      <c r="I3" s="69">
        <f t="shared" ref="I3:I34" si="7">IF(AND($F3&lt;&gt;"",$D3=1,$P3="OK"),$F3,NA())</f>
        <v>3.83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3.3899999999999997</v>
      </c>
      <c r="R3" s="69">
        <f t="shared" ref="R3:R34" si="13">IF(AND($D3=1,$AX$1&lt;&gt;""),$AX$1+(-2)*$AY$1,NA())</f>
        <v>3.56</v>
      </c>
      <c r="S3" s="69">
        <f t="shared" ref="S3:S34" si="14">IF(AND($D3=1,$AX$1&lt;&gt;""),$AX$1+(-1)*$AY$1,NA())</f>
        <v>3.73</v>
      </c>
      <c r="T3" s="69">
        <f t="shared" ref="T3:T34" si="15">IF(AND($D3=1,$AX$1&lt;&gt;""),$AX$1,NA())</f>
        <v>3.9</v>
      </c>
      <c r="U3" s="69">
        <f t="shared" ref="U3:U34" si="16">IF(AND($D3=1,$AX$1&lt;&gt;""),$AX$1+(1)*$AY$1,NA())</f>
        <v>4.07</v>
      </c>
      <c r="V3" s="69">
        <f t="shared" ref="V3:V34" si="17">IF(AND($D3=1,$AX$1&lt;&gt;""),$AX$1+(2)*$AY$1,NA())</f>
        <v>4.24</v>
      </c>
      <c r="W3" s="69">
        <f t="shared" ref="W3:W34" si="18">IF(AND($D3=1,$AX$1&lt;&gt;""),$AX$1+(3)*$AY$1,NA())</f>
        <v>4.41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2.4900000000000002</v>
      </c>
      <c r="AC3" s="69">
        <f t="shared" ref="AC3:AC34" si="24">IF(OR($AB3="",$BA$1=""),"",($AB3-$AZ$1)/$BA$1)</f>
        <v>-0.30769230769230455</v>
      </c>
      <c r="AD3" s="69">
        <f t="shared" ref="AD3:AD34" si="25">IF(AND($AB3&lt;&gt;"",$D3=1),$AB3,NA())</f>
        <v>2.4900000000000002</v>
      </c>
      <c r="AE3" s="69">
        <f t="shared" ref="AE3:AE34" si="26">IF(AND($AB3&lt;&gt;"",$D3=1,$AL3="OK"),$AB3,NA())</f>
        <v>2.4900000000000002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2.1399999999999997</v>
      </c>
      <c r="AN3" s="69">
        <f t="shared" ref="AN3:AN34" si="32">IF(AND($D3=1,$AZ$1&lt;&gt;""),$AZ$1+(-2)*$BA$1,NA())</f>
        <v>2.2699999999999996</v>
      </c>
      <c r="AO3" s="69">
        <f t="shared" ref="AO3:AO34" si="33">IF(AND($D3=1,$AZ$1&lt;&gt;""),$AZ$1+(-1)*$BA$1,NA())</f>
        <v>2.4</v>
      </c>
      <c r="AP3" s="69">
        <f t="shared" ref="AP3:AP34" si="34">IF(AND($D3=1,$AZ$1&lt;&gt;""),$AZ$1,NA())</f>
        <v>2.5299999999999998</v>
      </c>
      <c r="AQ3" s="69">
        <f t="shared" ref="AQ3:AQ34" si="35">IF(AND($D3=1,$AZ$1&lt;&gt;""),$AZ$1+(1)*$BA$1,NA())</f>
        <v>2.6599999999999997</v>
      </c>
      <c r="AR3" s="69">
        <f t="shared" ref="AR3:AR34" si="36">IF(AND($D3=1,$AZ$1&lt;&gt;""),$AZ$1+(2)*$BA$1,NA())</f>
        <v>2.79</v>
      </c>
      <c r="AS3" s="69">
        <f t="shared" ref="AS3:AS34" si="37">IF(AND($D3=1,$AZ$1&lt;&gt;""),$AZ$1+(3)*$BA$1,NA())</f>
        <v>2.92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3.92</v>
      </c>
      <c r="G4" s="69">
        <f t="shared" si="5"/>
        <v>0.11764705882352951</v>
      </c>
      <c r="H4" s="69">
        <f t="shared" si="6"/>
        <v>3.92</v>
      </c>
      <c r="I4" s="69">
        <f t="shared" si="7"/>
        <v>3.92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3.3899999999999997</v>
      </c>
      <c r="R4" s="69">
        <f t="shared" si="13"/>
        <v>3.56</v>
      </c>
      <c r="S4" s="69">
        <f t="shared" si="14"/>
        <v>3.73</v>
      </c>
      <c r="T4" s="69">
        <f t="shared" si="15"/>
        <v>3.9</v>
      </c>
      <c r="U4" s="69">
        <f t="shared" si="16"/>
        <v>4.07</v>
      </c>
      <c r="V4" s="69">
        <f t="shared" si="17"/>
        <v>4.24</v>
      </c>
      <c r="W4" s="69">
        <f t="shared" si="18"/>
        <v>4.41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2.4220000000000002</v>
      </c>
      <c r="AC4" s="69">
        <f t="shared" si="24"/>
        <v>-0.83076923076922804</v>
      </c>
      <c r="AD4" s="69">
        <f t="shared" si="25"/>
        <v>2.4220000000000002</v>
      </c>
      <c r="AE4" s="69">
        <f t="shared" si="26"/>
        <v>2.4220000000000002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2.1399999999999997</v>
      </c>
      <c r="AN4" s="69">
        <f t="shared" si="32"/>
        <v>2.2699999999999996</v>
      </c>
      <c r="AO4" s="69">
        <f t="shared" si="33"/>
        <v>2.4</v>
      </c>
      <c r="AP4" s="69">
        <f t="shared" si="34"/>
        <v>2.5299999999999998</v>
      </c>
      <c r="AQ4" s="69">
        <f t="shared" si="35"/>
        <v>2.6599999999999997</v>
      </c>
      <c r="AR4" s="69">
        <f t="shared" si="36"/>
        <v>2.79</v>
      </c>
      <c r="AS4" s="69">
        <f t="shared" si="37"/>
        <v>2.92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3.96</v>
      </c>
      <c r="G5" s="69">
        <f t="shared" si="5"/>
        <v>0.35294117647058854</v>
      </c>
      <c r="H5" s="69">
        <f t="shared" si="6"/>
        <v>3.96</v>
      </c>
      <c r="I5" s="69">
        <f t="shared" si="7"/>
        <v>3.96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3.3899999999999997</v>
      </c>
      <c r="R5" s="69">
        <f t="shared" si="13"/>
        <v>3.56</v>
      </c>
      <c r="S5" s="69">
        <f t="shared" si="14"/>
        <v>3.73</v>
      </c>
      <c r="T5" s="69">
        <f t="shared" si="15"/>
        <v>3.9</v>
      </c>
      <c r="U5" s="69">
        <f t="shared" si="16"/>
        <v>4.07</v>
      </c>
      <c r="V5" s="69">
        <f t="shared" si="17"/>
        <v>4.24</v>
      </c>
      <c r="W5" s="69">
        <f t="shared" si="18"/>
        <v>4.41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2.54</v>
      </c>
      <c r="AC5" s="69">
        <f t="shared" si="24"/>
        <v>7.6923076923078704E-2</v>
      </c>
      <c r="AD5" s="69">
        <f t="shared" si="25"/>
        <v>2.54</v>
      </c>
      <c r="AE5" s="69">
        <f t="shared" si="26"/>
        <v>2.54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2.1399999999999997</v>
      </c>
      <c r="AN5" s="69">
        <f t="shared" si="32"/>
        <v>2.2699999999999996</v>
      </c>
      <c r="AO5" s="69">
        <f t="shared" si="33"/>
        <v>2.4</v>
      </c>
      <c r="AP5" s="69">
        <f t="shared" si="34"/>
        <v>2.5299999999999998</v>
      </c>
      <c r="AQ5" s="69">
        <f t="shared" si="35"/>
        <v>2.6599999999999997</v>
      </c>
      <c r="AR5" s="69">
        <f t="shared" si="36"/>
        <v>2.79</v>
      </c>
      <c r="AS5" s="69">
        <f t="shared" si="37"/>
        <v>2.92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3.92</v>
      </c>
      <c r="G6" s="69">
        <f t="shared" si="5"/>
        <v>0.11764705882352951</v>
      </c>
      <c r="H6" s="69">
        <f t="shared" si="6"/>
        <v>3.92</v>
      </c>
      <c r="I6" s="69">
        <f t="shared" si="7"/>
        <v>3.92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3.3899999999999997</v>
      </c>
      <c r="R6" s="69">
        <f t="shared" si="13"/>
        <v>3.56</v>
      </c>
      <c r="S6" s="69">
        <f t="shared" si="14"/>
        <v>3.73</v>
      </c>
      <c r="T6" s="69">
        <f t="shared" si="15"/>
        <v>3.9</v>
      </c>
      <c r="U6" s="69">
        <f t="shared" si="16"/>
        <v>4.07</v>
      </c>
      <c r="V6" s="69">
        <f t="shared" si="17"/>
        <v>4.24</v>
      </c>
      <c r="W6" s="69">
        <f t="shared" si="18"/>
        <v>4.41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2.4350000000000001</v>
      </c>
      <c r="AC6" s="69">
        <f t="shared" si="24"/>
        <v>-0.73076923076922884</v>
      </c>
      <c r="AD6" s="69">
        <f t="shared" si="25"/>
        <v>2.4350000000000001</v>
      </c>
      <c r="AE6" s="69">
        <f t="shared" si="26"/>
        <v>2.4350000000000001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2.1399999999999997</v>
      </c>
      <c r="AN6" s="69">
        <f t="shared" si="32"/>
        <v>2.2699999999999996</v>
      </c>
      <c r="AO6" s="69">
        <f t="shared" si="33"/>
        <v>2.4</v>
      </c>
      <c r="AP6" s="69">
        <f t="shared" si="34"/>
        <v>2.5299999999999998</v>
      </c>
      <c r="AQ6" s="69">
        <f t="shared" si="35"/>
        <v>2.6599999999999997</v>
      </c>
      <c r="AR6" s="69">
        <f t="shared" si="36"/>
        <v>2.79</v>
      </c>
      <c r="AS6" s="69">
        <f t="shared" si="37"/>
        <v>2.92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4.016</v>
      </c>
      <c r="G7" s="69">
        <f t="shared" si="5"/>
        <v>0.68235294117647116</v>
      </c>
      <c r="H7" s="69">
        <f t="shared" si="6"/>
        <v>4.016</v>
      </c>
      <c r="I7" s="69">
        <f t="shared" si="7"/>
        <v>4.016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3.3899999999999997</v>
      </c>
      <c r="R7" s="69">
        <f t="shared" si="13"/>
        <v>3.56</v>
      </c>
      <c r="S7" s="69">
        <f t="shared" si="14"/>
        <v>3.73</v>
      </c>
      <c r="T7" s="69">
        <f t="shared" si="15"/>
        <v>3.9</v>
      </c>
      <c r="U7" s="69">
        <f t="shared" si="16"/>
        <v>4.07</v>
      </c>
      <c r="V7" s="69">
        <f t="shared" si="17"/>
        <v>4.24</v>
      </c>
      <c r="W7" s="69">
        <f t="shared" si="18"/>
        <v>4.41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2.4969999999999999</v>
      </c>
      <c r="AC7" s="69">
        <f t="shared" si="24"/>
        <v>-0.25384615384615322</v>
      </c>
      <c r="AD7" s="69">
        <f t="shared" si="25"/>
        <v>2.4969999999999999</v>
      </c>
      <c r="AE7" s="69">
        <f t="shared" si="26"/>
        <v>2.4969999999999999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2.1399999999999997</v>
      </c>
      <c r="AN7" s="69">
        <f t="shared" si="32"/>
        <v>2.2699999999999996</v>
      </c>
      <c r="AO7" s="69">
        <f t="shared" si="33"/>
        <v>2.4</v>
      </c>
      <c r="AP7" s="69">
        <f t="shared" si="34"/>
        <v>2.5299999999999998</v>
      </c>
      <c r="AQ7" s="69">
        <f t="shared" si="35"/>
        <v>2.6599999999999997</v>
      </c>
      <c r="AR7" s="69">
        <f t="shared" si="36"/>
        <v>2.79</v>
      </c>
      <c r="AS7" s="69">
        <f t="shared" si="37"/>
        <v>2.92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4.1029999999999998</v>
      </c>
      <c r="G8" s="69">
        <f t="shared" si="5"/>
        <v>1.1941176470588226</v>
      </c>
      <c r="H8" s="69">
        <f t="shared" si="6"/>
        <v>4.1029999999999998</v>
      </c>
      <c r="I8" s="69">
        <f t="shared" si="7"/>
        <v>4.1029999999999998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3.3899999999999997</v>
      </c>
      <c r="R8" s="69">
        <f t="shared" si="13"/>
        <v>3.56</v>
      </c>
      <c r="S8" s="69">
        <f t="shared" si="14"/>
        <v>3.73</v>
      </c>
      <c r="T8" s="69">
        <f t="shared" si="15"/>
        <v>3.9</v>
      </c>
      <c r="U8" s="69">
        <f t="shared" si="16"/>
        <v>4.07</v>
      </c>
      <c r="V8" s="69">
        <f t="shared" si="17"/>
        <v>4.24</v>
      </c>
      <c r="W8" s="69">
        <f t="shared" si="18"/>
        <v>4.41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2.6110000000000002</v>
      </c>
      <c r="AC8" s="69">
        <f t="shared" si="24"/>
        <v>0.62307692307692619</v>
      </c>
      <c r="AD8" s="69">
        <f t="shared" si="25"/>
        <v>2.6110000000000002</v>
      </c>
      <c r="AE8" s="69">
        <f t="shared" si="26"/>
        <v>2.6110000000000002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2.1399999999999997</v>
      </c>
      <c r="AN8" s="69">
        <f t="shared" si="32"/>
        <v>2.2699999999999996</v>
      </c>
      <c r="AO8" s="69">
        <f t="shared" si="33"/>
        <v>2.4</v>
      </c>
      <c r="AP8" s="69">
        <f t="shared" si="34"/>
        <v>2.5299999999999998</v>
      </c>
      <c r="AQ8" s="69">
        <f t="shared" si="35"/>
        <v>2.6599999999999997</v>
      </c>
      <c r="AR8" s="69">
        <f t="shared" si="36"/>
        <v>2.79</v>
      </c>
      <c r="AS8" s="69">
        <f t="shared" si="37"/>
        <v>2.92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4.1189999999999998</v>
      </c>
      <c r="G9" s="69">
        <f t="shared" si="5"/>
        <v>1.2882352941176463</v>
      </c>
      <c r="H9" s="69">
        <f t="shared" si="6"/>
        <v>4.1189999999999998</v>
      </c>
      <c r="I9" s="69">
        <f t="shared" si="7"/>
        <v>4.1189999999999998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3.3899999999999997</v>
      </c>
      <c r="R9" s="69">
        <f t="shared" si="13"/>
        <v>3.56</v>
      </c>
      <c r="S9" s="69">
        <f t="shared" si="14"/>
        <v>3.73</v>
      </c>
      <c r="T9" s="69">
        <f t="shared" si="15"/>
        <v>3.9</v>
      </c>
      <c r="U9" s="69">
        <f t="shared" si="16"/>
        <v>4.07</v>
      </c>
      <c r="V9" s="69">
        <f t="shared" si="17"/>
        <v>4.24</v>
      </c>
      <c r="W9" s="69">
        <f t="shared" si="18"/>
        <v>4.41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2.63</v>
      </c>
      <c r="AC9" s="69">
        <f t="shared" si="24"/>
        <v>0.76923076923076994</v>
      </c>
      <c r="AD9" s="69">
        <f t="shared" si="25"/>
        <v>2.63</v>
      </c>
      <c r="AE9" s="69">
        <f t="shared" si="26"/>
        <v>2.63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2.1399999999999997</v>
      </c>
      <c r="AN9" s="69">
        <f t="shared" si="32"/>
        <v>2.2699999999999996</v>
      </c>
      <c r="AO9" s="69">
        <f t="shared" si="33"/>
        <v>2.4</v>
      </c>
      <c r="AP9" s="69">
        <f t="shared" si="34"/>
        <v>2.5299999999999998</v>
      </c>
      <c r="AQ9" s="69">
        <f t="shared" si="35"/>
        <v>2.6599999999999997</v>
      </c>
      <c r="AR9" s="69">
        <f t="shared" si="36"/>
        <v>2.79</v>
      </c>
      <c r="AS9" s="69">
        <f t="shared" si="37"/>
        <v>2.92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4.03</v>
      </c>
      <c r="G10" s="69">
        <f t="shared" si="5"/>
        <v>0.76470588235294312</v>
      </c>
      <c r="H10" s="69">
        <f t="shared" si="6"/>
        <v>4.03</v>
      </c>
      <c r="I10" s="69">
        <f t="shared" si="7"/>
        <v>4.03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3.3899999999999997</v>
      </c>
      <c r="R10" s="69">
        <f t="shared" si="13"/>
        <v>3.56</v>
      </c>
      <c r="S10" s="69">
        <f t="shared" si="14"/>
        <v>3.73</v>
      </c>
      <c r="T10" s="69">
        <f t="shared" si="15"/>
        <v>3.9</v>
      </c>
      <c r="U10" s="69">
        <f t="shared" si="16"/>
        <v>4.07</v>
      </c>
      <c r="V10" s="69">
        <f t="shared" si="17"/>
        <v>4.24</v>
      </c>
      <c r="W10" s="69">
        <f t="shared" si="18"/>
        <v>4.41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2.57</v>
      </c>
      <c r="AC10" s="69">
        <f t="shared" si="24"/>
        <v>0.30769230769230793</v>
      </c>
      <c r="AD10" s="69">
        <f t="shared" si="25"/>
        <v>2.57</v>
      </c>
      <c r="AE10" s="69">
        <f t="shared" si="26"/>
        <v>2.57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2.1399999999999997</v>
      </c>
      <c r="AN10" s="69">
        <f t="shared" si="32"/>
        <v>2.2699999999999996</v>
      </c>
      <c r="AO10" s="69">
        <f t="shared" si="33"/>
        <v>2.4</v>
      </c>
      <c r="AP10" s="69">
        <f t="shared" si="34"/>
        <v>2.5299999999999998</v>
      </c>
      <c r="AQ10" s="69">
        <f t="shared" si="35"/>
        <v>2.6599999999999997</v>
      </c>
      <c r="AR10" s="69">
        <f t="shared" si="36"/>
        <v>2.79</v>
      </c>
      <c r="AS10" s="69">
        <f t="shared" si="37"/>
        <v>2.92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4.0650000000000004</v>
      </c>
      <c r="G11" s="69">
        <f t="shared" si="5"/>
        <v>0.97058823529412042</v>
      </c>
      <c r="H11" s="69">
        <f t="shared" si="6"/>
        <v>4.0650000000000004</v>
      </c>
      <c r="I11" s="69" t="e">
        <f t="shared" si="7"/>
        <v>#N/A</v>
      </c>
      <c r="J11" s="69">
        <f t="shared" si="8"/>
        <v>4.0650000000000004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1</v>
      </c>
      <c r="P11" s="69" t="str">
        <f t="shared" si="11"/>
        <v>REJEITADO</v>
      </c>
      <c r="Q11" s="69">
        <f t="shared" si="12"/>
        <v>3.3899999999999997</v>
      </c>
      <c r="R11" s="69">
        <f t="shared" si="13"/>
        <v>3.56</v>
      </c>
      <c r="S11" s="69">
        <f t="shared" si="14"/>
        <v>3.73</v>
      </c>
      <c r="T11" s="69">
        <f t="shared" si="15"/>
        <v>3.9</v>
      </c>
      <c r="U11" s="69">
        <f t="shared" si="16"/>
        <v>4.07</v>
      </c>
      <c r="V11" s="69">
        <f t="shared" si="17"/>
        <v>4.24</v>
      </c>
      <c r="W11" s="69">
        <f t="shared" si="18"/>
        <v>4.41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2.6179999999999999</v>
      </c>
      <c r="AC11" s="69">
        <f t="shared" si="24"/>
        <v>0.67692307692307752</v>
      </c>
      <c r="AD11" s="69">
        <f t="shared" si="25"/>
        <v>2.6179999999999999</v>
      </c>
      <c r="AE11" s="69" t="e">
        <f t="shared" si="26"/>
        <v>#N/A</v>
      </c>
      <c r="AF11" s="69">
        <f t="shared" si="27"/>
        <v>2.6179999999999999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1</v>
      </c>
      <c r="AL11" s="69" t="str">
        <f t="shared" si="30"/>
        <v>REJEITADO</v>
      </c>
      <c r="AM11" s="69">
        <f t="shared" si="31"/>
        <v>2.1399999999999997</v>
      </c>
      <c r="AN11" s="69">
        <f t="shared" si="32"/>
        <v>2.2699999999999996</v>
      </c>
      <c r="AO11" s="69">
        <f t="shared" si="33"/>
        <v>2.4</v>
      </c>
      <c r="AP11" s="69">
        <f t="shared" si="34"/>
        <v>2.5299999999999998</v>
      </c>
      <c r="AQ11" s="69">
        <f t="shared" si="35"/>
        <v>2.6599999999999997</v>
      </c>
      <c r="AR11" s="69">
        <f t="shared" si="36"/>
        <v>2.79</v>
      </c>
      <c r="AS11" s="69">
        <f t="shared" si="37"/>
        <v>2.92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4.0330000000000004</v>
      </c>
      <c r="G12" s="69">
        <f t="shared" si="5"/>
        <v>0.78235294117647314</v>
      </c>
      <c r="H12" s="69">
        <f t="shared" si="6"/>
        <v>4.0330000000000004</v>
      </c>
      <c r="I12" s="69" t="e">
        <f t="shared" si="7"/>
        <v>#N/A</v>
      </c>
      <c r="J12" s="69">
        <f t="shared" si="8"/>
        <v>4.0330000000000004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1</v>
      </c>
      <c r="P12" s="69" t="str">
        <f t="shared" si="11"/>
        <v>REJEITADO</v>
      </c>
      <c r="Q12" s="69">
        <f t="shared" si="12"/>
        <v>3.3899999999999997</v>
      </c>
      <c r="R12" s="69">
        <f t="shared" si="13"/>
        <v>3.56</v>
      </c>
      <c r="S12" s="69">
        <f t="shared" si="14"/>
        <v>3.73</v>
      </c>
      <c r="T12" s="69">
        <f t="shared" si="15"/>
        <v>3.9</v>
      </c>
      <c r="U12" s="69">
        <f t="shared" si="16"/>
        <v>4.07</v>
      </c>
      <c r="V12" s="69">
        <f t="shared" si="17"/>
        <v>4.24</v>
      </c>
      <c r="W12" s="69">
        <f t="shared" si="18"/>
        <v>4.41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2.5139999999999998</v>
      </c>
      <c r="AC12" s="69">
        <f t="shared" si="24"/>
        <v>-0.12307692307692318</v>
      </c>
      <c r="AD12" s="69">
        <f t="shared" si="25"/>
        <v>2.5139999999999998</v>
      </c>
      <c r="AE12" s="69">
        <f t="shared" si="26"/>
        <v>2.5139999999999998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2.1399999999999997</v>
      </c>
      <c r="AN12" s="69">
        <f t="shared" si="32"/>
        <v>2.2699999999999996</v>
      </c>
      <c r="AO12" s="69">
        <f t="shared" si="33"/>
        <v>2.4</v>
      </c>
      <c r="AP12" s="69">
        <f t="shared" si="34"/>
        <v>2.5299999999999998</v>
      </c>
      <c r="AQ12" s="69">
        <f t="shared" si="35"/>
        <v>2.6599999999999997</v>
      </c>
      <c r="AR12" s="69">
        <f t="shared" si="36"/>
        <v>2.79</v>
      </c>
      <c r="AS12" s="69">
        <f t="shared" si="37"/>
        <v>2.92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4.0430000000000001</v>
      </c>
      <c r="G13" s="69">
        <f t="shared" si="5"/>
        <v>0.84117647058823664</v>
      </c>
      <c r="H13" s="69">
        <f t="shared" si="6"/>
        <v>4.0430000000000001</v>
      </c>
      <c r="I13" s="69" t="e">
        <f t="shared" si="7"/>
        <v>#N/A</v>
      </c>
      <c r="J13" s="69">
        <f t="shared" si="8"/>
        <v>4.0430000000000001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1</v>
      </c>
      <c r="P13" s="69" t="str">
        <f t="shared" si="11"/>
        <v>REJEITADO</v>
      </c>
      <c r="Q13" s="69">
        <f t="shared" si="12"/>
        <v>3.3899999999999997</v>
      </c>
      <c r="R13" s="69">
        <f t="shared" si="13"/>
        <v>3.56</v>
      </c>
      <c r="S13" s="69">
        <f t="shared" si="14"/>
        <v>3.73</v>
      </c>
      <c r="T13" s="69">
        <f t="shared" si="15"/>
        <v>3.9</v>
      </c>
      <c r="U13" s="69">
        <f t="shared" si="16"/>
        <v>4.07</v>
      </c>
      <c r="V13" s="69">
        <f t="shared" si="17"/>
        <v>4.24</v>
      </c>
      <c r="W13" s="69">
        <f t="shared" si="18"/>
        <v>4.41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2.5219999999999998</v>
      </c>
      <c r="AC13" s="69">
        <f t="shared" si="24"/>
        <v>-6.153846153846159E-2</v>
      </c>
      <c r="AD13" s="69">
        <f t="shared" si="25"/>
        <v>2.5219999999999998</v>
      </c>
      <c r="AE13" s="69">
        <f t="shared" si="26"/>
        <v>2.5219999999999998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2.1399999999999997</v>
      </c>
      <c r="AN13" s="69">
        <f t="shared" si="32"/>
        <v>2.2699999999999996</v>
      </c>
      <c r="AO13" s="69">
        <f t="shared" si="33"/>
        <v>2.4</v>
      </c>
      <c r="AP13" s="69">
        <f t="shared" si="34"/>
        <v>2.5299999999999998</v>
      </c>
      <c r="AQ13" s="69">
        <f t="shared" si="35"/>
        <v>2.6599999999999997</v>
      </c>
      <c r="AR13" s="69">
        <f t="shared" si="36"/>
        <v>2.79</v>
      </c>
      <c r="AS13" s="69">
        <f t="shared" si="37"/>
        <v>2.92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4.0439999999999996</v>
      </c>
      <c r="G14" s="69">
        <f t="shared" si="5"/>
        <v>0.84705882352940987</v>
      </c>
      <c r="H14" s="69">
        <f t="shared" si="6"/>
        <v>4.0439999999999996</v>
      </c>
      <c r="I14" s="69" t="e">
        <f t="shared" si="7"/>
        <v>#N/A</v>
      </c>
      <c r="J14" s="69">
        <f t="shared" si="8"/>
        <v>4.0439999999999996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1</v>
      </c>
      <c r="P14" s="69" t="str">
        <f t="shared" si="11"/>
        <v>REJEITADO</v>
      </c>
      <c r="Q14" s="69">
        <f t="shared" si="12"/>
        <v>3.3899999999999997</v>
      </c>
      <c r="R14" s="69">
        <f t="shared" si="13"/>
        <v>3.56</v>
      </c>
      <c r="S14" s="69">
        <f t="shared" si="14"/>
        <v>3.73</v>
      </c>
      <c r="T14" s="69">
        <f t="shared" si="15"/>
        <v>3.9</v>
      </c>
      <c r="U14" s="69">
        <f t="shared" si="16"/>
        <v>4.07</v>
      </c>
      <c r="V14" s="69">
        <f t="shared" si="17"/>
        <v>4.24</v>
      </c>
      <c r="W14" s="69">
        <f t="shared" si="18"/>
        <v>4.41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2.5459999999999998</v>
      </c>
      <c r="AC14" s="69">
        <f t="shared" si="24"/>
        <v>0.12307692307692318</v>
      </c>
      <c r="AD14" s="69">
        <f t="shared" si="25"/>
        <v>2.5459999999999998</v>
      </c>
      <c r="AE14" s="69">
        <f t="shared" si="26"/>
        <v>2.5459999999999998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2.1399999999999997</v>
      </c>
      <c r="AN14" s="69">
        <f t="shared" si="32"/>
        <v>2.2699999999999996</v>
      </c>
      <c r="AO14" s="69">
        <f t="shared" si="33"/>
        <v>2.4</v>
      </c>
      <c r="AP14" s="69">
        <f t="shared" si="34"/>
        <v>2.5299999999999998</v>
      </c>
      <c r="AQ14" s="69">
        <f t="shared" si="35"/>
        <v>2.6599999999999997</v>
      </c>
      <c r="AR14" s="69">
        <f t="shared" si="36"/>
        <v>2.79</v>
      </c>
      <c r="AS14" s="69">
        <f t="shared" si="37"/>
        <v>2.92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4.1070000000000002</v>
      </c>
      <c r="G15" s="69">
        <f t="shared" si="5"/>
        <v>1.2176470588235311</v>
      </c>
      <c r="H15" s="69">
        <f t="shared" si="6"/>
        <v>4.1070000000000002</v>
      </c>
      <c r="I15" s="69" t="e">
        <f t="shared" si="7"/>
        <v>#N/A</v>
      </c>
      <c r="J15" s="69">
        <f t="shared" si="8"/>
        <v>4.1070000000000002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3.3899999999999997</v>
      </c>
      <c r="R15" s="69">
        <f t="shared" si="13"/>
        <v>3.56</v>
      </c>
      <c r="S15" s="69">
        <f t="shared" si="14"/>
        <v>3.73</v>
      </c>
      <c r="T15" s="69">
        <f t="shared" si="15"/>
        <v>3.9</v>
      </c>
      <c r="U15" s="69">
        <f t="shared" si="16"/>
        <v>4.07</v>
      </c>
      <c r="V15" s="69">
        <f t="shared" si="17"/>
        <v>4.24</v>
      </c>
      <c r="W15" s="69">
        <f t="shared" si="18"/>
        <v>4.41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2.5979999999999999</v>
      </c>
      <c r="AC15" s="69">
        <f t="shared" si="24"/>
        <v>0.52307692307692355</v>
      </c>
      <c r="AD15" s="69">
        <f t="shared" si="25"/>
        <v>2.5979999999999999</v>
      </c>
      <c r="AE15" s="69">
        <f t="shared" si="26"/>
        <v>2.5979999999999999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2.1399999999999997</v>
      </c>
      <c r="AN15" s="69">
        <f t="shared" si="32"/>
        <v>2.2699999999999996</v>
      </c>
      <c r="AO15" s="69">
        <f t="shared" si="33"/>
        <v>2.4</v>
      </c>
      <c r="AP15" s="69">
        <f t="shared" si="34"/>
        <v>2.5299999999999998</v>
      </c>
      <c r="AQ15" s="69">
        <f t="shared" si="35"/>
        <v>2.6599999999999997</v>
      </c>
      <c r="AR15" s="69">
        <f t="shared" si="36"/>
        <v>2.79</v>
      </c>
      <c r="AS15" s="69">
        <f t="shared" si="37"/>
        <v>2.92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4.0919999999999996</v>
      </c>
      <c r="G16" s="69">
        <f t="shared" si="5"/>
        <v>1.1294117647058806</v>
      </c>
      <c r="H16" s="69">
        <f t="shared" si="6"/>
        <v>4.0919999999999996</v>
      </c>
      <c r="I16" s="69" t="e">
        <f t="shared" si="7"/>
        <v>#N/A</v>
      </c>
      <c r="J16" s="69">
        <f t="shared" si="8"/>
        <v>4.0919999999999996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3.3899999999999997</v>
      </c>
      <c r="R16" s="69">
        <f t="shared" si="13"/>
        <v>3.56</v>
      </c>
      <c r="S16" s="69">
        <f t="shared" si="14"/>
        <v>3.73</v>
      </c>
      <c r="T16" s="69">
        <f t="shared" si="15"/>
        <v>3.9</v>
      </c>
      <c r="U16" s="69">
        <f t="shared" si="16"/>
        <v>4.07</v>
      </c>
      <c r="V16" s="69">
        <f t="shared" si="17"/>
        <v>4.24</v>
      </c>
      <c r="W16" s="69">
        <f t="shared" si="18"/>
        <v>4.41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2.6080000000000001</v>
      </c>
      <c r="AC16" s="69">
        <f t="shared" si="24"/>
        <v>0.6000000000000022</v>
      </c>
      <c r="AD16" s="69">
        <f t="shared" si="25"/>
        <v>2.6080000000000001</v>
      </c>
      <c r="AE16" s="69">
        <f t="shared" si="26"/>
        <v>2.6080000000000001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2.1399999999999997</v>
      </c>
      <c r="AN16" s="69">
        <f t="shared" si="32"/>
        <v>2.2699999999999996</v>
      </c>
      <c r="AO16" s="69">
        <f t="shared" si="33"/>
        <v>2.4</v>
      </c>
      <c r="AP16" s="69">
        <f t="shared" si="34"/>
        <v>2.5299999999999998</v>
      </c>
      <c r="AQ16" s="69">
        <f t="shared" si="35"/>
        <v>2.6599999999999997</v>
      </c>
      <c r="AR16" s="69">
        <f t="shared" si="36"/>
        <v>2.79</v>
      </c>
      <c r="AS16" s="69">
        <f t="shared" si="37"/>
        <v>2.92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4.0949999999999998</v>
      </c>
      <c r="G17" s="69">
        <f t="shared" si="5"/>
        <v>1.1470588235294108</v>
      </c>
      <c r="H17" s="69">
        <f t="shared" si="6"/>
        <v>4.0949999999999998</v>
      </c>
      <c r="I17" s="69" t="e">
        <f t="shared" si="7"/>
        <v>#N/A</v>
      </c>
      <c r="J17" s="69">
        <f t="shared" si="8"/>
        <v>4.0949999999999998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3.3899999999999997</v>
      </c>
      <c r="R17" s="69">
        <f t="shared" si="13"/>
        <v>3.56</v>
      </c>
      <c r="S17" s="69">
        <f t="shared" si="14"/>
        <v>3.73</v>
      </c>
      <c r="T17" s="69">
        <f t="shared" si="15"/>
        <v>3.9</v>
      </c>
      <c r="U17" s="69">
        <f t="shared" si="16"/>
        <v>4.07</v>
      </c>
      <c r="V17" s="69">
        <f t="shared" si="17"/>
        <v>4.24</v>
      </c>
      <c r="W17" s="69">
        <f t="shared" si="18"/>
        <v>4.41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2.57</v>
      </c>
      <c r="AC17" s="69">
        <f t="shared" si="24"/>
        <v>0.30769230769230793</v>
      </c>
      <c r="AD17" s="69">
        <f t="shared" si="25"/>
        <v>2.57</v>
      </c>
      <c r="AE17" s="69" t="e">
        <f t="shared" si="26"/>
        <v>#N/A</v>
      </c>
      <c r="AF17" s="69">
        <f t="shared" si="27"/>
        <v>2.57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1</v>
      </c>
      <c r="AL17" s="69" t="str">
        <f t="shared" si="30"/>
        <v>REJEITADO</v>
      </c>
      <c r="AM17" s="69">
        <f t="shared" si="31"/>
        <v>2.1399999999999997</v>
      </c>
      <c r="AN17" s="69">
        <f t="shared" si="32"/>
        <v>2.2699999999999996</v>
      </c>
      <c r="AO17" s="69">
        <f t="shared" si="33"/>
        <v>2.4</v>
      </c>
      <c r="AP17" s="69">
        <f t="shared" si="34"/>
        <v>2.5299999999999998</v>
      </c>
      <c r="AQ17" s="69">
        <f t="shared" si="35"/>
        <v>2.6599999999999997</v>
      </c>
      <c r="AR17" s="69">
        <f t="shared" si="36"/>
        <v>2.79</v>
      </c>
      <c r="AS17" s="69">
        <f t="shared" si="37"/>
        <v>2.92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3.7829999999999999</v>
      </c>
      <c r="G18" s="69">
        <f t="shared" si="5"/>
        <v>-0.68823529411764695</v>
      </c>
      <c r="H18" s="69">
        <f t="shared" si="6"/>
        <v>3.7829999999999999</v>
      </c>
      <c r="I18" s="69">
        <f t="shared" si="7"/>
        <v>3.7829999999999999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3.3899999999999997</v>
      </c>
      <c r="R18" s="69">
        <f t="shared" si="13"/>
        <v>3.56</v>
      </c>
      <c r="S18" s="69">
        <f t="shared" si="14"/>
        <v>3.73</v>
      </c>
      <c r="T18" s="69">
        <f t="shared" si="15"/>
        <v>3.9</v>
      </c>
      <c r="U18" s="69">
        <f t="shared" si="16"/>
        <v>4.07</v>
      </c>
      <c r="V18" s="69">
        <f t="shared" si="17"/>
        <v>4.24</v>
      </c>
      <c r="W18" s="69">
        <f t="shared" si="18"/>
        <v>4.41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2.5030000000000001</v>
      </c>
      <c r="AC18" s="69">
        <f t="shared" si="24"/>
        <v>-0.20769230769230532</v>
      </c>
      <c r="AD18" s="69">
        <f t="shared" si="25"/>
        <v>2.5030000000000001</v>
      </c>
      <c r="AE18" s="69">
        <f t="shared" si="26"/>
        <v>2.5030000000000001</v>
      </c>
      <c r="AF18" s="69" t="e">
        <f t="shared" si="27"/>
        <v>#N/A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0</v>
      </c>
      <c r="AK18" s="69">
        <f t="shared" si="47"/>
        <v>0</v>
      </c>
      <c r="AL18" s="69" t="str">
        <f t="shared" si="30"/>
        <v>OK</v>
      </c>
      <c r="AM18" s="69">
        <f t="shared" si="31"/>
        <v>2.1399999999999997</v>
      </c>
      <c r="AN18" s="69">
        <f t="shared" si="32"/>
        <v>2.2699999999999996</v>
      </c>
      <c r="AO18" s="69">
        <f t="shared" si="33"/>
        <v>2.4</v>
      </c>
      <c r="AP18" s="69">
        <f t="shared" si="34"/>
        <v>2.5299999999999998</v>
      </c>
      <c r="AQ18" s="69">
        <f t="shared" si="35"/>
        <v>2.6599999999999997</v>
      </c>
      <c r="AR18" s="69">
        <f t="shared" si="36"/>
        <v>2.79</v>
      </c>
      <c r="AS18" s="69">
        <f t="shared" si="37"/>
        <v>2.92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3.89</v>
      </c>
      <c r="G19" s="69">
        <f t="shared" si="5"/>
        <v>-5.8823529411763449E-2</v>
      </c>
      <c r="H19" s="69">
        <f t="shared" si="6"/>
        <v>3.89</v>
      </c>
      <c r="I19" s="69">
        <f t="shared" si="7"/>
        <v>3.89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3.3899999999999997</v>
      </c>
      <c r="R19" s="69">
        <f t="shared" si="13"/>
        <v>3.56</v>
      </c>
      <c r="S19" s="69">
        <f t="shared" si="14"/>
        <v>3.73</v>
      </c>
      <c r="T19" s="69">
        <f t="shared" si="15"/>
        <v>3.9</v>
      </c>
      <c r="U19" s="69">
        <f t="shared" si="16"/>
        <v>4.07</v>
      </c>
      <c r="V19" s="69">
        <f t="shared" si="17"/>
        <v>4.24</v>
      </c>
      <c r="W19" s="69">
        <f t="shared" si="18"/>
        <v>4.41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2.6</v>
      </c>
      <c r="AC19" s="69">
        <f t="shared" si="24"/>
        <v>0.53846153846154066</v>
      </c>
      <c r="AD19" s="69">
        <f t="shared" si="25"/>
        <v>2.6</v>
      </c>
      <c r="AE19" s="69">
        <f t="shared" si="26"/>
        <v>2.6</v>
      </c>
      <c r="AF19" s="69" t="e">
        <f t="shared" si="27"/>
        <v>#N/A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0</v>
      </c>
      <c r="AK19" s="69">
        <f t="shared" si="47"/>
        <v>0</v>
      </c>
      <c r="AL19" s="69" t="str">
        <f t="shared" si="30"/>
        <v>OK</v>
      </c>
      <c r="AM19" s="69">
        <f t="shared" si="31"/>
        <v>2.1399999999999997</v>
      </c>
      <c r="AN19" s="69">
        <f t="shared" si="32"/>
        <v>2.2699999999999996</v>
      </c>
      <c r="AO19" s="69">
        <f t="shared" si="33"/>
        <v>2.4</v>
      </c>
      <c r="AP19" s="69">
        <f t="shared" si="34"/>
        <v>2.5299999999999998</v>
      </c>
      <c r="AQ19" s="69">
        <f t="shared" si="35"/>
        <v>2.6599999999999997</v>
      </c>
      <c r="AR19" s="69">
        <f t="shared" si="36"/>
        <v>2.79</v>
      </c>
      <c r="AS19" s="69">
        <f t="shared" si="37"/>
        <v>2.92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3.8860000000000001</v>
      </c>
      <c r="G20" s="69">
        <f t="shared" si="5"/>
        <v>-8.2352941176469352E-2</v>
      </c>
      <c r="H20" s="69">
        <f t="shared" si="6"/>
        <v>3.8860000000000001</v>
      </c>
      <c r="I20" s="69">
        <f t="shared" si="7"/>
        <v>3.8860000000000001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3.3899999999999997</v>
      </c>
      <c r="R20" s="69">
        <f t="shared" si="13"/>
        <v>3.56</v>
      </c>
      <c r="S20" s="69">
        <f t="shared" si="14"/>
        <v>3.73</v>
      </c>
      <c r="T20" s="69">
        <f t="shared" si="15"/>
        <v>3.9</v>
      </c>
      <c r="U20" s="69">
        <f t="shared" si="16"/>
        <v>4.07</v>
      </c>
      <c r="V20" s="69">
        <f t="shared" si="17"/>
        <v>4.24</v>
      </c>
      <c r="W20" s="69">
        <f t="shared" si="18"/>
        <v>4.41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2.5</v>
      </c>
      <c r="AC20" s="69">
        <f t="shared" si="24"/>
        <v>-0.23076923076922926</v>
      </c>
      <c r="AD20" s="69">
        <f t="shared" si="25"/>
        <v>2.5</v>
      </c>
      <c r="AE20" s="69">
        <f t="shared" si="26"/>
        <v>2.5</v>
      </c>
      <c r="AF20" s="69" t="e">
        <f t="shared" si="27"/>
        <v>#N/A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0</v>
      </c>
      <c r="AK20" s="69">
        <f t="shared" si="47"/>
        <v>0</v>
      </c>
      <c r="AL20" s="69" t="str">
        <f t="shared" si="30"/>
        <v>OK</v>
      </c>
      <c r="AM20" s="69">
        <f t="shared" si="31"/>
        <v>2.1399999999999997</v>
      </c>
      <c r="AN20" s="69">
        <f t="shared" si="32"/>
        <v>2.2699999999999996</v>
      </c>
      <c r="AO20" s="69">
        <f t="shared" si="33"/>
        <v>2.4</v>
      </c>
      <c r="AP20" s="69">
        <f t="shared" si="34"/>
        <v>2.5299999999999998</v>
      </c>
      <c r="AQ20" s="69">
        <f t="shared" si="35"/>
        <v>2.6599999999999997</v>
      </c>
      <c r="AR20" s="69">
        <f t="shared" si="36"/>
        <v>2.79</v>
      </c>
      <c r="AS20" s="69">
        <f t="shared" si="37"/>
        <v>2.92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3.83</v>
      </c>
      <c r="G21" s="69">
        <f t="shared" si="5"/>
        <v>-0.41176470588235198</v>
      </c>
      <c r="H21" s="69">
        <f t="shared" si="6"/>
        <v>3.83</v>
      </c>
      <c r="I21" s="69">
        <f t="shared" si="7"/>
        <v>3.83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3.3899999999999997</v>
      </c>
      <c r="R21" s="69">
        <f t="shared" si="13"/>
        <v>3.56</v>
      </c>
      <c r="S21" s="69">
        <f t="shared" si="14"/>
        <v>3.73</v>
      </c>
      <c r="T21" s="69">
        <f t="shared" si="15"/>
        <v>3.9</v>
      </c>
      <c r="U21" s="69">
        <f t="shared" si="16"/>
        <v>4.07</v>
      </c>
      <c r="V21" s="69">
        <f t="shared" si="17"/>
        <v>4.24</v>
      </c>
      <c r="W21" s="69">
        <f t="shared" si="18"/>
        <v>4.41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2.46</v>
      </c>
      <c r="AC21" s="69">
        <f t="shared" si="24"/>
        <v>-0.53846153846153721</v>
      </c>
      <c r="AD21" s="69">
        <f t="shared" si="25"/>
        <v>2.46</v>
      </c>
      <c r="AE21" s="69">
        <f t="shared" si="26"/>
        <v>2.46</v>
      </c>
      <c r="AF21" s="69" t="e">
        <f t="shared" si="27"/>
        <v>#N/A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0</v>
      </c>
      <c r="AK21" s="69">
        <f t="shared" si="47"/>
        <v>0</v>
      </c>
      <c r="AL21" s="69" t="str">
        <f t="shared" si="30"/>
        <v>OK</v>
      </c>
      <c r="AM21" s="69">
        <f t="shared" si="31"/>
        <v>2.1399999999999997</v>
      </c>
      <c r="AN21" s="69">
        <f t="shared" si="32"/>
        <v>2.2699999999999996</v>
      </c>
      <c r="AO21" s="69">
        <f t="shared" si="33"/>
        <v>2.4</v>
      </c>
      <c r="AP21" s="69">
        <f t="shared" si="34"/>
        <v>2.5299999999999998</v>
      </c>
      <c r="AQ21" s="69">
        <f t="shared" si="35"/>
        <v>2.6599999999999997</v>
      </c>
      <c r="AR21" s="69">
        <f t="shared" si="36"/>
        <v>2.79</v>
      </c>
      <c r="AS21" s="69">
        <f t="shared" si="37"/>
        <v>2.92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3.859</v>
      </c>
      <c r="G22" s="69">
        <f t="shared" si="5"/>
        <v>-0.24117647058823483</v>
      </c>
      <c r="H22" s="69">
        <f t="shared" si="6"/>
        <v>3.859</v>
      </c>
      <c r="I22" s="69">
        <f t="shared" si="7"/>
        <v>3.859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3.3899999999999997</v>
      </c>
      <c r="R22" s="69">
        <f t="shared" si="13"/>
        <v>3.56</v>
      </c>
      <c r="S22" s="69">
        <f t="shared" si="14"/>
        <v>3.73</v>
      </c>
      <c r="T22" s="69">
        <f t="shared" si="15"/>
        <v>3.9</v>
      </c>
      <c r="U22" s="69">
        <f t="shared" si="16"/>
        <v>4.07</v>
      </c>
      <c r="V22" s="69">
        <f t="shared" si="17"/>
        <v>4.24</v>
      </c>
      <c r="W22" s="69">
        <f t="shared" si="18"/>
        <v>4.41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2.395</v>
      </c>
      <c r="AC22" s="69">
        <f t="shared" si="24"/>
        <v>-1.0384615384615368</v>
      </c>
      <c r="AD22" s="69">
        <f t="shared" si="25"/>
        <v>2.395</v>
      </c>
      <c r="AE22" s="69">
        <f t="shared" si="26"/>
        <v>2.395</v>
      </c>
      <c r="AF22" s="69" t="e">
        <f t="shared" si="27"/>
        <v>#N/A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0</v>
      </c>
      <c r="AK22" s="69">
        <f t="shared" si="47"/>
        <v>0</v>
      </c>
      <c r="AL22" s="69" t="str">
        <f t="shared" si="30"/>
        <v>OK</v>
      </c>
      <c r="AM22" s="69">
        <f t="shared" si="31"/>
        <v>2.1399999999999997</v>
      </c>
      <c r="AN22" s="69">
        <f t="shared" si="32"/>
        <v>2.2699999999999996</v>
      </c>
      <c r="AO22" s="69">
        <f t="shared" si="33"/>
        <v>2.4</v>
      </c>
      <c r="AP22" s="69">
        <f t="shared" si="34"/>
        <v>2.5299999999999998</v>
      </c>
      <c r="AQ22" s="69">
        <f t="shared" si="35"/>
        <v>2.6599999999999997</v>
      </c>
      <c r="AR22" s="69">
        <f t="shared" si="36"/>
        <v>2.79</v>
      </c>
      <c r="AS22" s="69">
        <f t="shared" si="37"/>
        <v>2.92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3.76</v>
      </c>
      <c r="G23" s="69">
        <f t="shared" si="5"/>
        <v>-0.82352941176470651</v>
      </c>
      <c r="H23" s="69">
        <f t="shared" si="6"/>
        <v>3.76</v>
      </c>
      <c r="I23" s="69" t="e">
        <f t="shared" si="7"/>
        <v>#N/A</v>
      </c>
      <c r="J23" s="69">
        <f t="shared" si="8"/>
        <v>3.76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1</v>
      </c>
      <c r="P23" s="69" t="str">
        <f t="shared" si="11"/>
        <v>REJEITADO</v>
      </c>
      <c r="Q23" s="69">
        <f t="shared" si="12"/>
        <v>3.3899999999999997</v>
      </c>
      <c r="R23" s="69">
        <f t="shared" si="13"/>
        <v>3.56</v>
      </c>
      <c r="S23" s="69">
        <f t="shared" si="14"/>
        <v>3.73</v>
      </c>
      <c r="T23" s="69">
        <f t="shared" si="15"/>
        <v>3.9</v>
      </c>
      <c r="U23" s="69">
        <f t="shared" si="16"/>
        <v>4.07</v>
      </c>
      <c r="V23" s="69">
        <f t="shared" si="17"/>
        <v>4.24</v>
      </c>
      <c r="W23" s="69">
        <f t="shared" si="18"/>
        <v>4.41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2.38</v>
      </c>
      <c r="AC23" s="69">
        <f t="shared" si="24"/>
        <v>-1.1538461538461531</v>
      </c>
      <c r="AD23" s="69">
        <f t="shared" si="25"/>
        <v>2.38</v>
      </c>
      <c r="AE23" s="69" t="e">
        <f t="shared" si="26"/>
        <v>#N/A</v>
      </c>
      <c r="AF23" s="69">
        <f t="shared" si="27"/>
        <v>2.38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0</v>
      </c>
      <c r="AK23" s="69">
        <f t="shared" si="47"/>
        <v>1</v>
      </c>
      <c r="AL23" s="69" t="str">
        <f t="shared" si="30"/>
        <v>REJEITADO</v>
      </c>
      <c r="AM23" s="69">
        <f t="shared" si="31"/>
        <v>2.1399999999999997</v>
      </c>
      <c r="AN23" s="69">
        <f t="shared" si="32"/>
        <v>2.2699999999999996</v>
      </c>
      <c r="AO23" s="69">
        <f t="shared" si="33"/>
        <v>2.4</v>
      </c>
      <c r="AP23" s="69">
        <f t="shared" si="34"/>
        <v>2.5299999999999998</v>
      </c>
      <c r="AQ23" s="69">
        <f t="shared" si="35"/>
        <v>2.6599999999999997</v>
      </c>
      <c r="AR23" s="69">
        <f t="shared" si="36"/>
        <v>2.79</v>
      </c>
      <c r="AS23" s="69">
        <f t="shared" si="37"/>
        <v>2.92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3.76</v>
      </c>
      <c r="G24" s="69">
        <f t="shared" si="5"/>
        <v>-0.82352941176470651</v>
      </c>
      <c r="H24" s="69">
        <f t="shared" si="6"/>
        <v>3.76</v>
      </c>
      <c r="I24" s="69" t="e">
        <f t="shared" si="7"/>
        <v>#N/A</v>
      </c>
      <c r="J24" s="69">
        <f t="shared" si="8"/>
        <v>3.76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3.3899999999999997</v>
      </c>
      <c r="R24" s="69">
        <f t="shared" si="13"/>
        <v>3.56</v>
      </c>
      <c r="S24" s="69">
        <f t="shared" si="14"/>
        <v>3.73</v>
      </c>
      <c r="T24" s="69">
        <f t="shared" si="15"/>
        <v>3.9</v>
      </c>
      <c r="U24" s="69">
        <f t="shared" si="16"/>
        <v>4.07</v>
      </c>
      <c r="V24" s="69">
        <f t="shared" si="17"/>
        <v>4.24</v>
      </c>
      <c r="W24" s="69">
        <f t="shared" si="18"/>
        <v>4.41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2.48</v>
      </c>
      <c r="AC24" s="69">
        <f t="shared" si="24"/>
        <v>-0.38461538461538325</v>
      </c>
      <c r="AD24" s="69">
        <f t="shared" si="25"/>
        <v>2.48</v>
      </c>
      <c r="AE24" s="69" t="e">
        <f t="shared" si="26"/>
        <v>#N/A</v>
      </c>
      <c r="AF24" s="69">
        <f t="shared" si="27"/>
        <v>2.48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0</v>
      </c>
      <c r="AK24" s="69">
        <f t="shared" si="47"/>
        <v>1</v>
      </c>
      <c r="AL24" s="69" t="str">
        <f t="shared" si="30"/>
        <v>REJEITADO</v>
      </c>
      <c r="AM24" s="69">
        <f t="shared" si="31"/>
        <v>2.1399999999999997</v>
      </c>
      <c r="AN24" s="69">
        <f t="shared" si="32"/>
        <v>2.2699999999999996</v>
      </c>
      <c r="AO24" s="69">
        <f t="shared" si="33"/>
        <v>2.4</v>
      </c>
      <c r="AP24" s="69">
        <f t="shared" si="34"/>
        <v>2.5299999999999998</v>
      </c>
      <c r="AQ24" s="69">
        <f t="shared" si="35"/>
        <v>2.6599999999999997</v>
      </c>
      <c r="AR24" s="69">
        <f t="shared" si="36"/>
        <v>2.79</v>
      </c>
      <c r="AS24" s="69">
        <f t="shared" si="37"/>
        <v>2.92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3.82</v>
      </c>
      <c r="G25" s="69">
        <f t="shared" si="5"/>
        <v>-0.47058823529411803</v>
      </c>
      <c r="H25" s="69">
        <f t="shared" si="6"/>
        <v>3.82</v>
      </c>
      <c r="I25" s="69" t="e">
        <f t="shared" si="7"/>
        <v>#N/A</v>
      </c>
      <c r="J25" s="69">
        <f t="shared" si="8"/>
        <v>3.82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3.3899999999999997</v>
      </c>
      <c r="R25" s="69">
        <f t="shared" si="13"/>
        <v>3.56</v>
      </c>
      <c r="S25" s="69">
        <f t="shared" si="14"/>
        <v>3.73</v>
      </c>
      <c r="T25" s="69">
        <f t="shared" si="15"/>
        <v>3.9</v>
      </c>
      <c r="U25" s="69">
        <f t="shared" si="16"/>
        <v>4.07</v>
      </c>
      <c r="V25" s="69">
        <f t="shared" si="17"/>
        <v>4.24</v>
      </c>
      <c r="W25" s="69">
        <f t="shared" si="18"/>
        <v>4.41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2.4700000000000002</v>
      </c>
      <c r="AC25" s="69">
        <f t="shared" si="24"/>
        <v>-0.46153846153845851</v>
      </c>
      <c r="AD25" s="69">
        <f t="shared" si="25"/>
        <v>2.4700000000000002</v>
      </c>
      <c r="AE25" s="69" t="e">
        <f t="shared" si="26"/>
        <v>#N/A</v>
      </c>
      <c r="AF25" s="69">
        <f t="shared" si="27"/>
        <v>2.4700000000000002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0</v>
      </c>
      <c r="AK25" s="69">
        <f t="shared" si="47"/>
        <v>1</v>
      </c>
      <c r="AL25" s="69" t="str">
        <f t="shared" si="30"/>
        <v>REJEITADO</v>
      </c>
      <c r="AM25" s="69">
        <f t="shared" si="31"/>
        <v>2.1399999999999997</v>
      </c>
      <c r="AN25" s="69">
        <f t="shared" si="32"/>
        <v>2.2699999999999996</v>
      </c>
      <c r="AO25" s="69">
        <f t="shared" si="33"/>
        <v>2.4</v>
      </c>
      <c r="AP25" s="69">
        <f t="shared" si="34"/>
        <v>2.5299999999999998</v>
      </c>
      <c r="AQ25" s="69">
        <f t="shared" si="35"/>
        <v>2.6599999999999997</v>
      </c>
      <c r="AR25" s="69">
        <f t="shared" si="36"/>
        <v>2.79</v>
      </c>
      <c r="AS25" s="69">
        <f t="shared" si="37"/>
        <v>2.92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3.8</v>
      </c>
      <c r="G26" s="69">
        <f t="shared" si="5"/>
        <v>-0.58823529411764752</v>
      </c>
      <c r="H26" s="69">
        <f t="shared" si="6"/>
        <v>3.8</v>
      </c>
      <c r="I26" s="69" t="e">
        <f t="shared" si="7"/>
        <v>#N/A</v>
      </c>
      <c r="J26" s="69">
        <f t="shared" si="8"/>
        <v>3.8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3.3899999999999997</v>
      </c>
      <c r="R26" s="69">
        <f t="shared" si="13"/>
        <v>3.56</v>
      </c>
      <c r="S26" s="69">
        <f t="shared" si="14"/>
        <v>3.73</v>
      </c>
      <c r="T26" s="69">
        <f t="shared" si="15"/>
        <v>3.9</v>
      </c>
      <c r="U26" s="69">
        <f t="shared" si="16"/>
        <v>4.07</v>
      </c>
      <c r="V26" s="69">
        <f t="shared" si="17"/>
        <v>4.24</v>
      </c>
      <c r="W26" s="69">
        <f t="shared" si="18"/>
        <v>4.41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2.4500000000000002</v>
      </c>
      <c r="AC26" s="69">
        <f t="shared" si="24"/>
        <v>-0.61538461538461253</v>
      </c>
      <c r="AD26" s="69">
        <f t="shared" si="25"/>
        <v>2.4500000000000002</v>
      </c>
      <c r="AE26" s="69" t="e">
        <f t="shared" si="26"/>
        <v>#N/A</v>
      </c>
      <c r="AF26" s="69">
        <f t="shared" si="27"/>
        <v>2.4500000000000002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0</v>
      </c>
      <c r="AK26" s="69">
        <f t="shared" si="47"/>
        <v>1</v>
      </c>
      <c r="AL26" s="69" t="str">
        <f t="shared" si="30"/>
        <v>REJEITADO</v>
      </c>
      <c r="AM26" s="69">
        <f t="shared" si="31"/>
        <v>2.1399999999999997</v>
      </c>
      <c r="AN26" s="69">
        <f t="shared" si="32"/>
        <v>2.2699999999999996</v>
      </c>
      <c r="AO26" s="69">
        <f t="shared" si="33"/>
        <v>2.4</v>
      </c>
      <c r="AP26" s="69">
        <f t="shared" si="34"/>
        <v>2.5299999999999998</v>
      </c>
      <c r="AQ26" s="69">
        <f t="shared" si="35"/>
        <v>2.6599999999999997</v>
      </c>
      <c r="AR26" s="69">
        <f t="shared" si="36"/>
        <v>2.79</v>
      </c>
      <c r="AS26" s="69">
        <f t="shared" si="37"/>
        <v>2.92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3.81</v>
      </c>
      <c r="G27" s="69">
        <f t="shared" si="5"/>
        <v>-0.52941176470588147</v>
      </c>
      <c r="H27" s="69">
        <f t="shared" si="6"/>
        <v>3.81</v>
      </c>
      <c r="I27" s="69" t="e">
        <f t="shared" si="7"/>
        <v>#N/A</v>
      </c>
      <c r="J27" s="69">
        <f t="shared" si="8"/>
        <v>3.81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3.3899999999999997</v>
      </c>
      <c r="R27" s="69">
        <f t="shared" si="13"/>
        <v>3.56</v>
      </c>
      <c r="S27" s="69">
        <f t="shared" si="14"/>
        <v>3.73</v>
      </c>
      <c r="T27" s="69">
        <f t="shared" si="15"/>
        <v>3.9</v>
      </c>
      <c r="U27" s="69">
        <f t="shared" si="16"/>
        <v>4.07</v>
      </c>
      <c r="V27" s="69">
        <f t="shared" si="17"/>
        <v>4.24</v>
      </c>
      <c r="W27" s="69">
        <f t="shared" si="18"/>
        <v>4.41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2.46</v>
      </c>
      <c r="AC27" s="69">
        <f t="shared" si="24"/>
        <v>-0.53846153846153721</v>
      </c>
      <c r="AD27" s="69">
        <f t="shared" si="25"/>
        <v>2.46</v>
      </c>
      <c r="AE27" s="69" t="e">
        <f t="shared" si="26"/>
        <v>#N/A</v>
      </c>
      <c r="AF27" s="69">
        <f t="shared" si="27"/>
        <v>2.46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0</v>
      </c>
      <c r="AK27" s="69">
        <f t="shared" si="47"/>
        <v>1</v>
      </c>
      <c r="AL27" s="69" t="str">
        <f t="shared" si="30"/>
        <v>REJEITADO</v>
      </c>
      <c r="AM27" s="69">
        <f t="shared" si="31"/>
        <v>2.1399999999999997</v>
      </c>
      <c r="AN27" s="69">
        <f t="shared" si="32"/>
        <v>2.2699999999999996</v>
      </c>
      <c r="AO27" s="69">
        <f t="shared" si="33"/>
        <v>2.4</v>
      </c>
      <c r="AP27" s="69">
        <f t="shared" si="34"/>
        <v>2.5299999999999998</v>
      </c>
      <c r="AQ27" s="69">
        <f t="shared" si="35"/>
        <v>2.6599999999999997</v>
      </c>
      <c r="AR27" s="69">
        <f t="shared" si="36"/>
        <v>2.79</v>
      </c>
      <c r="AS27" s="69">
        <f t="shared" si="37"/>
        <v>2.92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3.8</v>
      </c>
      <c r="G28" s="69">
        <f t="shared" si="5"/>
        <v>-0.58823529411764752</v>
      </c>
      <c r="H28" s="69">
        <f t="shared" si="6"/>
        <v>3.8</v>
      </c>
      <c r="I28" s="69" t="e">
        <f t="shared" si="7"/>
        <v>#N/A</v>
      </c>
      <c r="J28" s="69">
        <f t="shared" si="8"/>
        <v>3.8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3.3899999999999997</v>
      </c>
      <c r="R28" s="69">
        <f t="shared" si="13"/>
        <v>3.56</v>
      </c>
      <c r="S28" s="69">
        <f t="shared" si="14"/>
        <v>3.73</v>
      </c>
      <c r="T28" s="69">
        <f t="shared" si="15"/>
        <v>3.9</v>
      </c>
      <c r="U28" s="69">
        <f t="shared" si="16"/>
        <v>4.07</v>
      </c>
      <c r="V28" s="69">
        <f t="shared" si="17"/>
        <v>4.24</v>
      </c>
      <c r="W28" s="69">
        <f t="shared" si="18"/>
        <v>4.41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2.5</v>
      </c>
      <c r="AC28" s="69">
        <f t="shared" si="24"/>
        <v>-0.23076923076922926</v>
      </c>
      <c r="AD28" s="69">
        <f t="shared" si="25"/>
        <v>2.5</v>
      </c>
      <c r="AE28" s="69" t="e">
        <f t="shared" si="26"/>
        <v>#N/A</v>
      </c>
      <c r="AF28" s="69">
        <f t="shared" si="27"/>
        <v>2.5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0</v>
      </c>
      <c r="AK28" s="69">
        <f t="shared" si="47"/>
        <v>1</v>
      </c>
      <c r="AL28" s="69" t="str">
        <f t="shared" si="30"/>
        <v>REJEITADO</v>
      </c>
      <c r="AM28" s="69">
        <f t="shared" si="31"/>
        <v>2.1399999999999997</v>
      </c>
      <c r="AN28" s="69">
        <f t="shared" si="32"/>
        <v>2.2699999999999996</v>
      </c>
      <c r="AO28" s="69">
        <f t="shared" si="33"/>
        <v>2.4</v>
      </c>
      <c r="AP28" s="69">
        <f t="shared" si="34"/>
        <v>2.5299999999999998</v>
      </c>
      <c r="AQ28" s="69">
        <f t="shared" si="35"/>
        <v>2.6599999999999997</v>
      </c>
      <c r="AR28" s="69">
        <f t="shared" si="36"/>
        <v>2.79</v>
      </c>
      <c r="AS28" s="69">
        <f t="shared" si="37"/>
        <v>2.92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3.83</v>
      </c>
      <c r="G29" s="69">
        <f t="shared" si="5"/>
        <v>-0.41176470588235198</v>
      </c>
      <c r="H29" s="69">
        <f t="shared" si="6"/>
        <v>3.83</v>
      </c>
      <c r="I29" s="69" t="e">
        <f t="shared" si="7"/>
        <v>#N/A</v>
      </c>
      <c r="J29" s="69">
        <f t="shared" si="8"/>
        <v>3.83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3.3899999999999997</v>
      </c>
      <c r="R29" s="69">
        <f t="shared" si="13"/>
        <v>3.56</v>
      </c>
      <c r="S29" s="69">
        <f t="shared" si="14"/>
        <v>3.73</v>
      </c>
      <c r="T29" s="69">
        <f t="shared" si="15"/>
        <v>3.9</v>
      </c>
      <c r="U29" s="69">
        <f t="shared" si="16"/>
        <v>4.07</v>
      </c>
      <c r="V29" s="69">
        <f t="shared" si="17"/>
        <v>4.24</v>
      </c>
      <c r="W29" s="69">
        <f t="shared" si="18"/>
        <v>4.41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2.41</v>
      </c>
      <c r="AC29" s="69">
        <f t="shared" si="24"/>
        <v>-0.92307692307692046</v>
      </c>
      <c r="AD29" s="69">
        <f t="shared" si="25"/>
        <v>2.41</v>
      </c>
      <c r="AE29" s="69" t="e">
        <f t="shared" si="26"/>
        <v>#N/A</v>
      </c>
      <c r="AF29" s="69">
        <f t="shared" si="27"/>
        <v>2.41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0</v>
      </c>
      <c r="AK29" s="69">
        <f t="shared" si="47"/>
        <v>1</v>
      </c>
      <c r="AL29" s="69" t="str">
        <f t="shared" si="30"/>
        <v>REJEITADO</v>
      </c>
      <c r="AM29" s="69">
        <f t="shared" si="31"/>
        <v>2.1399999999999997</v>
      </c>
      <c r="AN29" s="69">
        <f t="shared" si="32"/>
        <v>2.2699999999999996</v>
      </c>
      <c r="AO29" s="69">
        <f t="shared" si="33"/>
        <v>2.4</v>
      </c>
      <c r="AP29" s="69">
        <f t="shared" si="34"/>
        <v>2.5299999999999998</v>
      </c>
      <c r="AQ29" s="69">
        <f t="shared" si="35"/>
        <v>2.6599999999999997</v>
      </c>
      <c r="AR29" s="69">
        <f t="shared" si="36"/>
        <v>2.79</v>
      </c>
      <c r="AS29" s="69">
        <f t="shared" si="37"/>
        <v>2.92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3.85</v>
      </c>
      <c r="G30" s="69">
        <f t="shared" si="5"/>
        <v>-0.29411764705882248</v>
      </c>
      <c r="H30" s="69">
        <f t="shared" si="6"/>
        <v>3.85</v>
      </c>
      <c r="I30" s="69" t="e">
        <f t="shared" si="7"/>
        <v>#N/A</v>
      </c>
      <c r="J30" s="69">
        <f t="shared" si="8"/>
        <v>3.85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3.3899999999999997</v>
      </c>
      <c r="R30" s="69">
        <f t="shared" si="13"/>
        <v>3.56</v>
      </c>
      <c r="S30" s="69">
        <f t="shared" si="14"/>
        <v>3.73</v>
      </c>
      <c r="T30" s="69">
        <f t="shared" si="15"/>
        <v>3.9</v>
      </c>
      <c r="U30" s="69">
        <f t="shared" si="16"/>
        <v>4.07</v>
      </c>
      <c r="V30" s="69">
        <f t="shared" si="17"/>
        <v>4.24</v>
      </c>
      <c r="W30" s="69">
        <f t="shared" si="18"/>
        <v>4.41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2.4700000000000002</v>
      </c>
      <c r="AC30" s="69">
        <f t="shared" si="24"/>
        <v>-0.46153846153845851</v>
      </c>
      <c r="AD30" s="69">
        <f t="shared" si="25"/>
        <v>2.4700000000000002</v>
      </c>
      <c r="AE30" s="69" t="e">
        <f t="shared" si="26"/>
        <v>#N/A</v>
      </c>
      <c r="AF30" s="69">
        <f t="shared" si="27"/>
        <v>2.4700000000000002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0</v>
      </c>
      <c r="AK30" s="69">
        <f t="shared" si="47"/>
        <v>1</v>
      </c>
      <c r="AL30" s="69" t="str">
        <f t="shared" si="30"/>
        <v>REJEITADO</v>
      </c>
      <c r="AM30" s="69">
        <f t="shared" si="31"/>
        <v>2.1399999999999997</v>
      </c>
      <c r="AN30" s="69">
        <f t="shared" si="32"/>
        <v>2.2699999999999996</v>
      </c>
      <c r="AO30" s="69">
        <f t="shared" si="33"/>
        <v>2.4</v>
      </c>
      <c r="AP30" s="69">
        <f t="shared" si="34"/>
        <v>2.5299999999999998</v>
      </c>
      <c r="AQ30" s="69">
        <f t="shared" si="35"/>
        <v>2.6599999999999997</v>
      </c>
      <c r="AR30" s="69">
        <f t="shared" si="36"/>
        <v>2.79</v>
      </c>
      <c r="AS30" s="69">
        <f t="shared" si="37"/>
        <v>2.92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3.83</v>
      </c>
      <c r="G31" s="69">
        <f t="shared" si="5"/>
        <v>-0.41176470588235198</v>
      </c>
      <c r="H31" s="69">
        <f t="shared" si="6"/>
        <v>3.83</v>
      </c>
      <c r="I31" s="69" t="e">
        <f t="shared" si="7"/>
        <v>#N/A</v>
      </c>
      <c r="J31" s="69">
        <f t="shared" si="8"/>
        <v>3.83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3.3899999999999997</v>
      </c>
      <c r="R31" s="69">
        <f t="shared" si="13"/>
        <v>3.56</v>
      </c>
      <c r="S31" s="69">
        <f t="shared" si="14"/>
        <v>3.73</v>
      </c>
      <c r="T31" s="69">
        <f t="shared" si="15"/>
        <v>3.9</v>
      </c>
      <c r="U31" s="69">
        <f t="shared" si="16"/>
        <v>4.07</v>
      </c>
      <c r="V31" s="69">
        <f t="shared" si="17"/>
        <v>4.24</v>
      </c>
      <c r="W31" s="69">
        <f t="shared" si="18"/>
        <v>4.41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2.48</v>
      </c>
      <c r="AC31" s="69">
        <f t="shared" si="24"/>
        <v>-0.38461538461538325</v>
      </c>
      <c r="AD31" s="69">
        <f t="shared" si="25"/>
        <v>2.48</v>
      </c>
      <c r="AE31" s="69" t="e">
        <f t="shared" si="26"/>
        <v>#N/A</v>
      </c>
      <c r="AF31" s="69">
        <f t="shared" si="27"/>
        <v>2.48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0</v>
      </c>
      <c r="AK31" s="69">
        <f t="shared" si="47"/>
        <v>1</v>
      </c>
      <c r="AL31" s="69" t="str">
        <f t="shared" si="30"/>
        <v>REJEITADO</v>
      </c>
      <c r="AM31" s="69">
        <f t="shared" si="31"/>
        <v>2.1399999999999997</v>
      </c>
      <c r="AN31" s="69">
        <f t="shared" si="32"/>
        <v>2.2699999999999996</v>
      </c>
      <c r="AO31" s="69">
        <f t="shared" si="33"/>
        <v>2.4</v>
      </c>
      <c r="AP31" s="69">
        <f t="shared" si="34"/>
        <v>2.5299999999999998</v>
      </c>
      <c r="AQ31" s="69">
        <f t="shared" si="35"/>
        <v>2.6599999999999997</v>
      </c>
      <c r="AR31" s="69">
        <f t="shared" si="36"/>
        <v>2.79</v>
      </c>
      <c r="AS31" s="69">
        <f t="shared" si="37"/>
        <v>2.92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3.82</v>
      </c>
      <c r="G32" s="69">
        <f t="shared" si="5"/>
        <v>-0.47058823529411803</v>
      </c>
      <c r="H32" s="69">
        <f t="shared" si="6"/>
        <v>3.82</v>
      </c>
      <c r="I32" s="69" t="e">
        <f t="shared" si="7"/>
        <v>#N/A</v>
      </c>
      <c r="J32" s="69">
        <f t="shared" si="8"/>
        <v>3.82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3.3899999999999997</v>
      </c>
      <c r="R32" s="69">
        <f t="shared" si="13"/>
        <v>3.56</v>
      </c>
      <c r="S32" s="69">
        <f t="shared" si="14"/>
        <v>3.73</v>
      </c>
      <c r="T32" s="69">
        <f t="shared" si="15"/>
        <v>3.9</v>
      </c>
      <c r="U32" s="69">
        <f t="shared" si="16"/>
        <v>4.07</v>
      </c>
      <c r="V32" s="69">
        <f t="shared" si="17"/>
        <v>4.24</v>
      </c>
      <c r="W32" s="69">
        <f t="shared" si="18"/>
        <v>4.41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2.4500000000000002</v>
      </c>
      <c r="AC32" s="69">
        <f t="shared" si="24"/>
        <v>-0.61538461538461253</v>
      </c>
      <c r="AD32" s="69">
        <f t="shared" si="25"/>
        <v>2.4500000000000002</v>
      </c>
      <c r="AE32" s="69" t="e">
        <f t="shared" si="26"/>
        <v>#N/A</v>
      </c>
      <c r="AF32" s="69">
        <f t="shared" si="27"/>
        <v>2.4500000000000002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0</v>
      </c>
      <c r="AK32" s="69">
        <f t="shared" si="47"/>
        <v>1</v>
      </c>
      <c r="AL32" s="69" t="str">
        <f t="shared" si="30"/>
        <v>REJEITADO</v>
      </c>
      <c r="AM32" s="69">
        <f t="shared" si="31"/>
        <v>2.1399999999999997</v>
      </c>
      <c r="AN32" s="69">
        <f t="shared" si="32"/>
        <v>2.2699999999999996</v>
      </c>
      <c r="AO32" s="69">
        <f t="shared" si="33"/>
        <v>2.4</v>
      </c>
      <c r="AP32" s="69">
        <f t="shared" si="34"/>
        <v>2.5299999999999998</v>
      </c>
      <c r="AQ32" s="69">
        <f t="shared" si="35"/>
        <v>2.6599999999999997</v>
      </c>
      <c r="AR32" s="69">
        <f t="shared" si="36"/>
        <v>2.79</v>
      </c>
      <c r="AS32" s="69">
        <f t="shared" si="37"/>
        <v>2.92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3.81</v>
      </c>
      <c r="G33" s="69">
        <f t="shared" si="5"/>
        <v>-0.52941176470588147</v>
      </c>
      <c r="H33" s="69">
        <f t="shared" si="6"/>
        <v>3.81</v>
      </c>
      <c r="I33" s="69" t="e">
        <f t="shared" si="7"/>
        <v>#N/A</v>
      </c>
      <c r="J33" s="69">
        <f t="shared" si="8"/>
        <v>3.81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3.3899999999999997</v>
      </c>
      <c r="R33" s="69">
        <f t="shared" si="13"/>
        <v>3.56</v>
      </c>
      <c r="S33" s="69">
        <f t="shared" si="14"/>
        <v>3.73</v>
      </c>
      <c r="T33" s="69">
        <f t="shared" si="15"/>
        <v>3.9</v>
      </c>
      <c r="U33" s="69">
        <f t="shared" si="16"/>
        <v>4.07</v>
      </c>
      <c r="V33" s="69">
        <f t="shared" si="17"/>
        <v>4.24</v>
      </c>
      <c r="W33" s="69">
        <f t="shared" si="18"/>
        <v>4.41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2.39</v>
      </c>
      <c r="AC33" s="69">
        <f t="shared" si="24"/>
        <v>-1.0769230769230744</v>
      </c>
      <c r="AD33" s="69">
        <f t="shared" si="25"/>
        <v>2.39</v>
      </c>
      <c r="AE33" s="69" t="e">
        <f t="shared" si="26"/>
        <v>#N/A</v>
      </c>
      <c r="AF33" s="69">
        <f t="shared" si="27"/>
        <v>2.39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0</v>
      </c>
      <c r="AK33" s="69">
        <f t="shared" si="47"/>
        <v>1</v>
      </c>
      <c r="AL33" s="69" t="str">
        <f t="shared" si="30"/>
        <v>REJEITADO</v>
      </c>
      <c r="AM33" s="69">
        <f t="shared" si="31"/>
        <v>2.1399999999999997</v>
      </c>
      <c r="AN33" s="69">
        <f t="shared" si="32"/>
        <v>2.2699999999999996</v>
      </c>
      <c r="AO33" s="69">
        <f t="shared" si="33"/>
        <v>2.4</v>
      </c>
      <c r="AP33" s="69">
        <f t="shared" si="34"/>
        <v>2.5299999999999998</v>
      </c>
      <c r="AQ33" s="69">
        <f t="shared" si="35"/>
        <v>2.6599999999999997</v>
      </c>
      <c r="AR33" s="69">
        <f t="shared" si="36"/>
        <v>2.79</v>
      </c>
      <c r="AS33" s="69">
        <f t="shared" si="37"/>
        <v>2.92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3.81</v>
      </c>
      <c r="G34" s="69">
        <f t="shared" si="5"/>
        <v>-0.52941176470588147</v>
      </c>
      <c r="H34" s="69">
        <f t="shared" si="6"/>
        <v>3.81</v>
      </c>
      <c r="I34" s="69" t="e">
        <f t="shared" si="7"/>
        <v>#N/A</v>
      </c>
      <c r="J34" s="69">
        <f t="shared" si="8"/>
        <v>3.81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3.3899999999999997</v>
      </c>
      <c r="R34" s="69">
        <f t="shared" si="13"/>
        <v>3.56</v>
      </c>
      <c r="S34" s="69">
        <f t="shared" si="14"/>
        <v>3.73</v>
      </c>
      <c r="T34" s="69">
        <f t="shared" si="15"/>
        <v>3.9</v>
      </c>
      <c r="U34" s="69">
        <f t="shared" si="16"/>
        <v>4.07</v>
      </c>
      <c r="V34" s="69">
        <f t="shared" si="17"/>
        <v>4.24</v>
      </c>
      <c r="W34" s="69">
        <f t="shared" si="18"/>
        <v>4.41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2.4</v>
      </c>
      <c r="AC34" s="69">
        <f t="shared" si="24"/>
        <v>-0.99999999999999911</v>
      </c>
      <c r="AD34" s="69">
        <f t="shared" si="25"/>
        <v>2.4</v>
      </c>
      <c r="AE34" s="69" t="e">
        <f t="shared" si="26"/>
        <v>#N/A</v>
      </c>
      <c r="AF34" s="69">
        <f t="shared" si="27"/>
        <v>2.4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0</v>
      </c>
      <c r="AK34" s="69">
        <f t="shared" si="47"/>
        <v>1</v>
      </c>
      <c r="AL34" s="69" t="str">
        <f t="shared" si="30"/>
        <v>REJEITADO</v>
      </c>
      <c r="AM34" s="69">
        <f t="shared" si="31"/>
        <v>2.1399999999999997</v>
      </c>
      <c r="AN34" s="69">
        <f t="shared" si="32"/>
        <v>2.2699999999999996</v>
      </c>
      <c r="AO34" s="69">
        <f t="shared" si="33"/>
        <v>2.4</v>
      </c>
      <c r="AP34" s="69">
        <f t="shared" si="34"/>
        <v>2.5299999999999998</v>
      </c>
      <c r="AQ34" s="69">
        <f t="shared" si="35"/>
        <v>2.6599999999999997</v>
      </c>
      <c r="AR34" s="69">
        <f t="shared" si="36"/>
        <v>2.79</v>
      </c>
      <c r="AS34" s="69">
        <f t="shared" si="37"/>
        <v>2.92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3.79</v>
      </c>
      <c r="G35" s="69">
        <f t="shared" ref="G35:G66" si="53">IF(OR($F35="",$AY$1=""),"",($F35-$AX$1)/$AY$1)</f>
        <v>-0.64705882352941102</v>
      </c>
      <c r="H35" s="69">
        <f t="shared" ref="H35:H66" si="54">IF(AND($F35&lt;&gt;"",$D35=1),$F35,NA())</f>
        <v>3.79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3.79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3.3899999999999997</v>
      </c>
      <c r="R35" s="69">
        <f t="shared" ref="R35:R66" si="61">IF(AND($D35=1,$AX$1&lt;&gt;""),$AX$1+(-2)*$AY$1,NA())</f>
        <v>3.56</v>
      </c>
      <c r="S35" s="69">
        <f t="shared" ref="S35:S66" si="62">IF(AND($D35=1,$AX$1&lt;&gt;""),$AX$1+(-1)*$AY$1,NA())</f>
        <v>3.73</v>
      </c>
      <c r="T35" s="69">
        <f t="shared" ref="T35:T66" si="63">IF(AND($D35=1,$AX$1&lt;&gt;""),$AX$1,NA())</f>
        <v>3.9</v>
      </c>
      <c r="U35" s="69">
        <f t="shared" ref="U35:U66" si="64">IF(AND($D35=1,$AX$1&lt;&gt;""),$AX$1+(1)*$AY$1,NA())</f>
        <v>4.07</v>
      </c>
      <c r="V35" s="69">
        <f t="shared" ref="V35:V66" si="65">IF(AND($D35=1,$AX$1&lt;&gt;""),$AX$1+(2)*$AY$1,NA())</f>
        <v>4.24</v>
      </c>
      <c r="W35" s="69">
        <f t="shared" ref="W35:W66" si="66">IF(AND($D35=1,$AX$1&lt;&gt;""),$AX$1+(3)*$AY$1,NA())</f>
        <v>4.41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2.38</v>
      </c>
      <c r="AC35" s="69">
        <f t="shared" ref="AC35:AC66" si="72">IF(OR($AB35="",$BA$1=""),"",($AB35-$AZ$1)/$BA$1)</f>
        <v>-1.1538461538461531</v>
      </c>
      <c r="AD35" s="69">
        <f t="shared" ref="AD35:AD66" si="73">IF(AND($AB35&lt;&gt;"",$D35=1),$AB35,NA())</f>
        <v>2.38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2.38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0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2.1399999999999997</v>
      </c>
      <c r="AN35" s="69">
        <f t="shared" ref="AN35:AN66" si="80">IF(AND($D35=1,$AZ$1&lt;&gt;""),$AZ$1+(-2)*$BA$1,NA())</f>
        <v>2.2699999999999996</v>
      </c>
      <c r="AO35" s="69">
        <f t="shared" ref="AO35:AO66" si="81">IF(AND($D35=1,$AZ$1&lt;&gt;""),$AZ$1+(-1)*$BA$1,NA())</f>
        <v>2.4</v>
      </c>
      <c r="AP35" s="69">
        <f t="shared" ref="AP35:AP66" si="82">IF(AND($D35=1,$AZ$1&lt;&gt;""),$AZ$1,NA())</f>
        <v>2.5299999999999998</v>
      </c>
      <c r="AQ35" s="69">
        <f t="shared" ref="AQ35:AQ66" si="83">IF(AND($D35=1,$AZ$1&lt;&gt;""),$AZ$1+(1)*$BA$1,NA())</f>
        <v>2.6599999999999997</v>
      </c>
      <c r="AR35" s="69">
        <f t="shared" ref="AR35:AR66" si="84">IF(AND($D35=1,$AZ$1&lt;&gt;""),$AZ$1+(2)*$BA$1,NA())</f>
        <v>2.79</v>
      </c>
      <c r="AS35" s="69">
        <f t="shared" ref="AS35:AS66" si="85">IF(AND($D35=1,$AZ$1&lt;&gt;""),$AZ$1+(3)*$BA$1,NA())</f>
        <v>2.92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3.78</v>
      </c>
      <c r="G36" s="69">
        <f t="shared" si="53"/>
        <v>-0.70588235294117707</v>
      </c>
      <c r="H36" s="69">
        <f t="shared" si="54"/>
        <v>3.78</v>
      </c>
      <c r="I36" s="69" t="e">
        <f t="shared" si="55"/>
        <v>#N/A</v>
      </c>
      <c r="J36" s="69">
        <f t="shared" si="56"/>
        <v>3.78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3.3899999999999997</v>
      </c>
      <c r="R36" s="69">
        <f t="shared" si="61"/>
        <v>3.56</v>
      </c>
      <c r="S36" s="69">
        <f t="shared" si="62"/>
        <v>3.73</v>
      </c>
      <c r="T36" s="69">
        <f t="shared" si="63"/>
        <v>3.9</v>
      </c>
      <c r="U36" s="69">
        <f t="shared" si="64"/>
        <v>4.07</v>
      </c>
      <c r="V36" s="69">
        <f t="shared" si="65"/>
        <v>4.24</v>
      </c>
      <c r="W36" s="69">
        <f t="shared" si="66"/>
        <v>4.41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2.4</v>
      </c>
      <c r="AC36" s="69">
        <f t="shared" si="72"/>
        <v>-0.99999999999999911</v>
      </c>
      <c r="AD36" s="69">
        <f t="shared" si="73"/>
        <v>2.4</v>
      </c>
      <c r="AE36" s="69" t="e">
        <f t="shared" si="74"/>
        <v>#N/A</v>
      </c>
      <c r="AF36" s="69">
        <f t="shared" si="75"/>
        <v>2.4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2.1399999999999997</v>
      </c>
      <c r="AN36" s="69">
        <f t="shared" si="80"/>
        <v>2.2699999999999996</v>
      </c>
      <c r="AO36" s="69">
        <f t="shared" si="81"/>
        <v>2.4</v>
      </c>
      <c r="AP36" s="69">
        <f t="shared" si="82"/>
        <v>2.5299999999999998</v>
      </c>
      <c r="AQ36" s="69">
        <f t="shared" si="83"/>
        <v>2.6599999999999997</v>
      </c>
      <c r="AR36" s="69">
        <f t="shared" si="84"/>
        <v>2.79</v>
      </c>
      <c r="AS36" s="69">
        <f t="shared" si="85"/>
        <v>2.92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3.75</v>
      </c>
      <c r="G37" s="69">
        <f t="shared" si="53"/>
        <v>-0.88235294117647001</v>
      </c>
      <c r="H37" s="69">
        <f t="shared" si="54"/>
        <v>3.75</v>
      </c>
      <c r="I37" s="69" t="e">
        <f t="shared" si="55"/>
        <v>#N/A</v>
      </c>
      <c r="J37" s="69">
        <f t="shared" si="56"/>
        <v>3.75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3.3899999999999997</v>
      </c>
      <c r="R37" s="69">
        <f t="shared" si="61"/>
        <v>3.56</v>
      </c>
      <c r="S37" s="69">
        <f t="shared" si="62"/>
        <v>3.73</v>
      </c>
      <c r="T37" s="69">
        <f t="shared" si="63"/>
        <v>3.9</v>
      </c>
      <c r="U37" s="69">
        <f t="shared" si="64"/>
        <v>4.07</v>
      </c>
      <c r="V37" s="69">
        <f t="shared" si="65"/>
        <v>4.24</v>
      </c>
      <c r="W37" s="69">
        <f t="shared" si="66"/>
        <v>4.41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2.4700000000000002</v>
      </c>
      <c r="AC37" s="69">
        <f t="shared" si="72"/>
        <v>-0.46153846153845851</v>
      </c>
      <c r="AD37" s="69">
        <f t="shared" si="73"/>
        <v>2.4700000000000002</v>
      </c>
      <c r="AE37" s="69" t="e">
        <f t="shared" si="74"/>
        <v>#N/A</v>
      </c>
      <c r="AF37" s="69">
        <f t="shared" si="75"/>
        <v>2.4700000000000002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2.1399999999999997</v>
      </c>
      <c r="AN37" s="69">
        <f t="shared" si="80"/>
        <v>2.2699999999999996</v>
      </c>
      <c r="AO37" s="69">
        <f t="shared" si="81"/>
        <v>2.4</v>
      </c>
      <c r="AP37" s="69">
        <f t="shared" si="82"/>
        <v>2.5299999999999998</v>
      </c>
      <c r="AQ37" s="69">
        <f t="shared" si="83"/>
        <v>2.6599999999999997</v>
      </c>
      <c r="AR37" s="69">
        <f t="shared" si="84"/>
        <v>2.79</v>
      </c>
      <c r="AS37" s="69">
        <f t="shared" si="85"/>
        <v>2.92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3.86</v>
      </c>
      <c r="G38" s="69">
        <f t="shared" si="53"/>
        <v>-0.23529411764705901</v>
      </c>
      <c r="H38" s="69">
        <f t="shared" si="54"/>
        <v>3.86</v>
      </c>
      <c r="I38" s="69" t="e">
        <f t="shared" si="55"/>
        <v>#N/A</v>
      </c>
      <c r="J38" s="69">
        <f t="shared" si="56"/>
        <v>3.86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1</v>
      </c>
      <c r="P38" s="69" t="str">
        <f t="shared" si="59"/>
        <v>REJEITADO</v>
      </c>
      <c r="Q38" s="69">
        <f t="shared" si="60"/>
        <v>3.3899999999999997</v>
      </c>
      <c r="R38" s="69">
        <f t="shared" si="61"/>
        <v>3.56</v>
      </c>
      <c r="S38" s="69">
        <f t="shared" si="62"/>
        <v>3.73</v>
      </c>
      <c r="T38" s="69">
        <f t="shared" si="63"/>
        <v>3.9</v>
      </c>
      <c r="U38" s="69">
        <f t="shared" si="64"/>
        <v>4.07</v>
      </c>
      <c r="V38" s="69">
        <f t="shared" si="65"/>
        <v>4.24</v>
      </c>
      <c r="W38" s="69">
        <f t="shared" si="66"/>
        <v>4.41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2.4500000000000002</v>
      </c>
      <c r="AC38" s="69">
        <f t="shared" si="72"/>
        <v>-0.61538461538461253</v>
      </c>
      <c r="AD38" s="69">
        <f t="shared" si="73"/>
        <v>2.4500000000000002</v>
      </c>
      <c r="AE38" s="69" t="e">
        <f t="shared" si="74"/>
        <v>#N/A</v>
      </c>
      <c r="AF38" s="69">
        <f t="shared" si="75"/>
        <v>2.4500000000000002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69">
        <f t="shared" si="47"/>
        <v>1</v>
      </c>
      <c r="AL38" s="69" t="str">
        <f t="shared" si="78"/>
        <v>REJEITADO</v>
      </c>
      <c r="AM38" s="69">
        <f t="shared" si="79"/>
        <v>2.1399999999999997</v>
      </c>
      <c r="AN38" s="69">
        <f t="shared" si="80"/>
        <v>2.2699999999999996</v>
      </c>
      <c r="AO38" s="69">
        <f t="shared" si="81"/>
        <v>2.4</v>
      </c>
      <c r="AP38" s="69">
        <f t="shared" si="82"/>
        <v>2.5299999999999998</v>
      </c>
      <c r="AQ38" s="69">
        <f t="shared" si="83"/>
        <v>2.6599999999999997</v>
      </c>
      <c r="AR38" s="69">
        <f t="shared" si="84"/>
        <v>2.79</v>
      </c>
      <c r="AS38" s="69">
        <f t="shared" si="85"/>
        <v>2.92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3.73</v>
      </c>
      <c r="G39" s="69">
        <f t="shared" si="53"/>
        <v>-0.99999999999999956</v>
      </c>
      <c r="H39" s="69">
        <f t="shared" si="54"/>
        <v>3.73</v>
      </c>
      <c r="I39" s="69" t="e">
        <f t="shared" si="55"/>
        <v>#N/A</v>
      </c>
      <c r="J39" s="69">
        <f t="shared" si="56"/>
        <v>3.73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1</v>
      </c>
      <c r="P39" s="69" t="str">
        <f t="shared" si="59"/>
        <v>REJEITADO</v>
      </c>
      <c r="Q39" s="69">
        <f t="shared" si="60"/>
        <v>3.3899999999999997</v>
      </c>
      <c r="R39" s="69">
        <f t="shared" si="61"/>
        <v>3.56</v>
      </c>
      <c r="S39" s="69">
        <f t="shared" si="62"/>
        <v>3.73</v>
      </c>
      <c r="T39" s="69">
        <f t="shared" si="63"/>
        <v>3.9</v>
      </c>
      <c r="U39" s="69">
        <f t="shared" si="64"/>
        <v>4.07</v>
      </c>
      <c r="V39" s="69">
        <f t="shared" si="65"/>
        <v>4.24</v>
      </c>
      <c r="W39" s="69">
        <f t="shared" si="66"/>
        <v>4.41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2.44</v>
      </c>
      <c r="AC39" s="69">
        <f t="shared" si="72"/>
        <v>-0.69230769230769118</v>
      </c>
      <c r="AD39" s="69">
        <f t="shared" si="73"/>
        <v>2.44</v>
      </c>
      <c r="AE39" s="69" t="e">
        <f t="shared" si="74"/>
        <v>#N/A</v>
      </c>
      <c r="AF39" s="69">
        <f t="shared" si="75"/>
        <v>2.44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2.1399999999999997</v>
      </c>
      <c r="AN39" s="69">
        <f t="shared" si="80"/>
        <v>2.2699999999999996</v>
      </c>
      <c r="AO39" s="69">
        <f t="shared" si="81"/>
        <v>2.4</v>
      </c>
      <c r="AP39" s="69">
        <f t="shared" si="82"/>
        <v>2.5299999999999998</v>
      </c>
      <c r="AQ39" s="69">
        <f t="shared" si="83"/>
        <v>2.6599999999999997</v>
      </c>
      <c r="AR39" s="69">
        <f t="shared" si="84"/>
        <v>2.79</v>
      </c>
      <c r="AS39" s="69">
        <f t="shared" si="85"/>
        <v>2.92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3.8</v>
      </c>
      <c r="G40" s="69">
        <f t="shared" si="53"/>
        <v>-0.58823529411764752</v>
      </c>
      <c r="H40" s="69">
        <f t="shared" si="54"/>
        <v>3.8</v>
      </c>
      <c r="I40" s="69" t="e">
        <f t="shared" si="55"/>
        <v>#N/A</v>
      </c>
      <c r="J40" s="69">
        <f t="shared" si="56"/>
        <v>3.8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1</v>
      </c>
      <c r="P40" s="69" t="str">
        <f t="shared" si="59"/>
        <v>REJEITADO</v>
      </c>
      <c r="Q40" s="69">
        <f t="shared" si="60"/>
        <v>3.3899999999999997</v>
      </c>
      <c r="R40" s="69">
        <f t="shared" si="61"/>
        <v>3.56</v>
      </c>
      <c r="S40" s="69">
        <f t="shared" si="62"/>
        <v>3.73</v>
      </c>
      <c r="T40" s="69">
        <f t="shared" si="63"/>
        <v>3.9</v>
      </c>
      <c r="U40" s="69">
        <f t="shared" si="64"/>
        <v>4.07</v>
      </c>
      <c r="V40" s="69">
        <f t="shared" si="65"/>
        <v>4.24</v>
      </c>
      <c r="W40" s="69">
        <f t="shared" si="66"/>
        <v>4.41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2.42</v>
      </c>
      <c r="AC40" s="69">
        <f t="shared" si="72"/>
        <v>-0.84615384615384515</v>
      </c>
      <c r="AD40" s="69">
        <f t="shared" si="73"/>
        <v>2.42</v>
      </c>
      <c r="AE40" s="69" t="e">
        <f t="shared" si="74"/>
        <v>#N/A</v>
      </c>
      <c r="AF40" s="69">
        <f t="shared" si="75"/>
        <v>2.42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0</v>
      </c>
      <c r="AK40" s="69">
        <f t="shared" si="47"/>
        <v>1</v>
      </c>
      <c r="AL40" s="69" t="str">
        <f t="shared" si="78"/>
        <v>REJEITADO</v>
      </c>
      <c r="AM40" s="69">
        <f t="shared" si="79"/>
        <v>2.1399999999999997</v>
      </c>
      <c r="AN40" s="69">
        <f t="shared" si="80"/>
        <v>2.2699999999999996</v>
      </c>
      <c r="AO40" s="69">
        <f t="shared" si="81"/>
        <v>2.4</v>
      </c>
      <c r="AP40" s="69">
        <f t="shared" si="82"/>
        <v>2.5299999999999998</v>
      </c>
      <c r="AQ40" s="69">
        <f t="shared" si="83"/>
        <v>2.6599999999999997</v>
      </c>
      <c r="AR40" s="69">
        <f t="shared" si="84"/>
        <v>2.79</v>
      </c>
      <c r="AS40" s="69">
        <f t="shared" si="85"/>
        <v>2.92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3.77</v>
      </c>
      <c r="G41" s="69">
        <f t="shared" si="53"/>
        <v>-0.76470588235294046</v>
      </c>
      <c r="H41" s="69">
        <f t="shared" si="54"/>
        <v>3.77</v>
      </c>
      <c r="I41" s="69" t="e">
        <f t="shared" si="55"/>
        <v>#N/A</v>
      </c>
      <c r="J41" s="69">
        <f t="shared" si="56"/>
        <v>3.77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1</v>
      </c>
      <c r="P41" s="69" t="str">
        <f t="shared" si="59"/>
        <v>REJEITADO</v>
      </c>
      <c r="Q41" s="69">
        <f t="shared" si="60"/>
        <v>3.3899999999999997</v>
      </c>
      <c r="R41" s="69">
        <f t="shared" si="61"/>
        <v>3.56</v>
      </c>
      <c r="S41" s="69">
        <f t="shared" si="62"/>
        <v>3.73</v>
      </c>
      <c r="T41" s="69">
        <f t="shared" si="63"/>
        <v>3.9</v>
      </c>
      <c r="U41" s="69">
        <f t="shared" si="64"/>
        <v>4.07</v>
      </c>
      <c r="V41" s="69">
        <f t="shared" si="65"/>
        <v>4.24</v>
      </c>
      <c r="W41" s="69">
        <f t="shared" si="66"/>
        <v>4.41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2.36</v>
      </c>
      <c r="AC41" s="69">
        <f t="shared" si="72"/>
        <v>-1.307692307692307</v>
      </c>
      <c r="AD41" s="69">
        <f t="shared" si="73"/>
        <v>2.36</v>
      </c>
      <c r="AE41" s="69" t="e">
        <f t="shared" si="74"/>
        <v>#N/A</v>
      </c>
      <c r="AF41" s="69">
        <f t="shared" si="75"/>
        <v>2.36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0</v>
      </c>
      <c r="AK41" s="69">
        <f t="shared" si="47"/>
        <v>1</v>
      </c>
      <c r="AL41" s="69" t="str">
        <f t="shared" si="78"/>
        <v>REJEITADO</v>
      </c>
      <c r="AM41" s="69">
        <f t="shared" si="79"/>
        <v>2.1399999999999997</v>
      </c>
      <c r="AN41" s="69">
        <f t="shared" si="80"/>
        <v>2.2699999999999996</v>
      </c>
      <c r="AO41" s="69">
        <f t="shared" si="81"/>
        <v>2.4</v>
      </c>
      <c r="AP41" s="69">
        <f t="shared" si="82"/>
        <v>2.5299999999999998</v>
      </c>
      <c r="AQ41" s="69">
        <f t="shared" si="83"/>
        <v>2.6599999999999997</v>
      </c>
      <c r="AR41" s="69">
        <f t="shared" si="84"/>
        <v>2.79</v>
      </c>
      <c r="AS41" s="69">
        <f t="shared" si="85"/>
        <v>2.92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3.78</v>
      </c>
      <c r="G42" s="69">
        <f t="shared" si="53"/>
        <v>-0.70588235294117707</v>
      </c>
      <c r="H42" s="69">
        <f t="shared" si="54"/>
        <v>3.78</v>
      </c>
      <c r="I42" s="69" t="e">
        <f t="shared" si="55"/>
        <v>#N/A</v>
      </c>
      <c r="J42" s="69">
        <f t="shared" si="56"/>
        <v>3.78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3.3899999999999997</v>
      </c>
      <c r="R42" s="69">
        <f t="shared" si="61"/>
        <v>3.56</v>
      </c>
      <c r="S42" s="69">
        <f t="shared" si="62"/>
        <v>3.73</v>
      </c>
      <c r="T42" s="69">
        <f t="shared" si="63"/>
        <v>3.9</v>
      </c>
      <c r="U42" s="69">
        <f t="shared" si="64"/>
        <v>4.07</v>
      </c>
      <c r="V42" s="69">
        <f t="shared" si="65"/>
        <v>4.24</v>
      </c>
      <c r="W42" s="69">
        <f t="shared" si="66"/>
        <v>4.41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2.4</v>
      </c>
      <c r="AC42" s="69">
        <f t="shared" si="72"/>
        <v>-0.99999999999999911</v>
      </c>
      <c r="AD42" s="69">
        <f t="shared" si="73"/>
        <v>2.4</v>
      </c>
      <c r="AE42" s="69" t="e">
        <f t="shared" si="74"/>
        <v>#N/A</v>
      </c>
      <c r="AF42" s="69">
        <f t="shared" si="75"/>
        <v>2.4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0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2.1399999999999997</v>
      </c>
      <c r="AN42" s="69">
        <f t="shared" si="80"/>
        <v>2.2699999999999996</v>
      </c>
      <c r="AO42" s="69">
        <f t="shared" si="81"/>
        <v>2.4</v>
      </c>
      <c r="AP42" s="69">
        <f t="shared" si="82"/>
        <v>2.5299999999999998</v>
      </c>
      <c r="AQ42" s="69">
        <f t="shared" si="83"/>
        <v>2.6599999999999997</v>
      </c>
      <c r="AR42" s="69">
        <f t="shared" si="84"/>
        <v>2.79</v>
      </c>
      <c r="AS42" s="69">
        <f t="shared" si="85"/>
        <v>2.92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3.76</v>
      </c>
      <c r="G43" s="69">
        <f t="shared" si="53"/>
        <v>-0.82352941176470651</v>
      </c>
      <c r="H43" s="69">
        <f t="shared" si="54"/>
        <v>3.76</v>
      </c>
      <c r="I43" s="69" t="e">
        <f t="shared" si="55"/>
        <v>#N/A</v>
      </c>
      <c r="J43" s="69">
        <f t="shared" si="56"/>
        <v>3.76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3.3899999999999997</v>
      </c>
      <c r="R43" s="69">
        <f t="shared" si="61"/>
        <v>3.56</v>
      </c>
      <c r="S43" s="69">
        <f t="shared" si="62"/>
        <v>3.73</v>
      </c>
      <c r="T43" s="69">
        <f t="shared" si="63"/>
        <v>3.9</v>
      </c>
      <c r="U43" s="69">
        <f t="shared" si="64"/>
        <v>4.07</v>
      </c>
      <c r="V43" s="69">
        <f t="shared" si="65"/>
        <v>4.24</v>
      </c>
      <c r="W43" s="69">
        <f t="shared" si="66"/>
        <v>4.41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2.41</v>
      </c>
      <c r="AC43" s="69">
        <f t="shared" si="72"/>
        <v>-0.92307692307692046</v>
      </c>
      <c r="AD43" s="69">
        <f t="shared" si="73"/>
        <v>2.41</v>
      </c>
      <c r="AE43" s="69" t="e">
        <f t="shared" si="74"/>
        <v>#N/A</v>
      </c>
      <c r="AF43" s="69">
        <f t="shared" si="75"/>
        <v>2.41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0</v>
      </c>
      <c r="AK43" s="69">
        <f t="shared" si="95"/>
        <v>1</v>
      </c>
      <c r="AL43" s="69" t="str">
        <f t="shared" si="78"/>
        <v>REJEITADO</v>
      </c>
      <c r="AM43" s="69">
        <f t="shared" si="79"/>
        <v>2.1399999999999997</v>
      </c>
      <c r="AN43" s="69">
        <f t="shared" si="80"/>
        <v>2.2699999999999996</v>
      </c>
      <c r="AO43" s="69">
        <f t="shared" si="81"/>
        <v>2.4</v>
      </c>
      <c r="AP43" s="69">
        <f t="shared" si="82"/>
        <v>2.5299999999999998</v>
      </c>
      <c r="AQ43" s="69">
        <f t="shared" si="83"/>
        <v>2.6599999999999997</v>
      </c>
      <c r="AR43" s="69">
        <f t="shared" si="84"/>
        <v>2.79</v>
      </c>
      <c r="AS43" s="69">
        <f t="shared" si="85"/>
        <v>2.92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3.85</v>
      </c>
      <c r="G44" s="69">
        <f t="shared" si="53"/>
        <v>-0.29411764705882248</v>
      </c>
      <c r="H44" s="69">
        <f t="shared" si="54"/>
        <v>3.85</v>
      </c>
      <c r="I44" s="69" t="e">
        <f t="shared" si="55"/>
        <v>#N/A</v>
      </c>
      <c r="J44" s="69">
        <f t="shared" si="56"/>
        <v>3.85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3.3899999999999997</v>
      </c>
      <c r="R44" s="69">
        <f t="shared" si="61"/>
        <v>3.56</v>
      </c>
      <c r="S44" s="69">
        <f t="shared" si="62"/>
        <v>3.73</v>
      </c>
      <c r="T44" s="69">
        <f t="shared" si="63"/>
        <v>3.9</v>
      </c>
      <c r="U44" s="69">
        <f t="shared" si="64"/>
        <v>4.07</v>
      </c>
      <c r="V44" s="69">
        <f t="shared" si="65"/>
        <v>4.24</v>
      </c>
      <c r="W44" s="69">
        <f t="shared" si="66"/>
        <v>4.41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2.4900000000000002</v>
      </c>
      <c r="AC44" s="69">
        <f t="shared" si="72"/>
        <v>-0.30769230769230455</v>
      </c>
      <c r="AD44" s="69">
        <f t="shared" si="73"/>
        <v>2.4900000000000002</v>
      </c>
      <c r="AE44" s="69" t="e">
        <f t="shared" si="74"/>
        <v>#N/A</v>
      </c>
      <c r="AF44" s="69">
        <f t="shared" si="75"/>
        <v>2.4900000000000002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0</v>
      </c>
      <c r="AK44" s="69">
        <f t="shared" si="95"/>
        <v>1</v>
      </c>
      <c r="AL44" s="69" t="str">
        <f t="shared" si="78"/>
        <v>REJEITADO</v>
      </c>
      <c r="AM44" s="69">
        <f t="shared" si="79"/>
        <v>2.1399999999999997</v>
      </c>
      <c r="AN44" s="69">
        <f t="shared" si="80"/>
        <v>2.2699999999999996</v>
      </c>
      <c r="AO44" s="69">
        <f t="shared" si="81"/>
        <v>2.4</v>
      </c>
      <c r="AP44" s="69">
        <f t="shared" si="82"/>
        <v>2.5299999999999998</v>
      </c>
      <c r="AQ44" s="69">
        <f t="shared" si="83"/>
        <v>2.6599999999999997</v>
      </c>
      <c r="AR44" s="69">
        <f t="shared" si="84"/>
        <v>2.79</v>
      </c>
      <c r="AS44" s="69">
        <f t="shared" si="85"/>
        <v>2.92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3.84</v>
      </c>
      <c r="G45" s="69">
        <f t="shared" si="53"/>
        <v>-0.35294117647058854</v>
      </c>
      <c r="H45" s="69">
        <f t="shared" si="54"/>
        <v>3.84</v>
      </c>
      <c r="I45" s="69" t="e">
        <f t="shared" si="55"/>
        <v>#N/A</v>
      </c>
      <c r="J45" s="69">
        <f t="shared" si="56"/>
        <v>3.84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3.3899999999999997</v>
      </c>
      <c r="R45" s="69">
        <f t="shared" si="61"/>
        <v>3.56</v>
      </c>
      <c r="S45" s="69">
        <f t="shared" si="62"/>
        <v>3.73</v>
      </c>
      <c r="T45" s="69">
        <f t="shared" si="63"/>
        <v>3.9</v>
      </c>
      <c r="U45" s="69">
        <f t="shared" si="64"/>
        <v>4.07</v>
      </c>
      <c r="V45" s="69">
        <f t="shared" si="65"/>
        <v>4.24</v>
      </c>
      <c r="W45" s="69">
        <f t="shared" si="66"/>
        <v>4.41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2.39</v>
      </c>
      <c r="AC45" s="69">
        <f t="shared" si="72"/>
        <v>-1.0769230769230744</v>
      </c>
      <c r="AD45" s="69">
        <f t="shared" si="73"/>
        <v>2.39</v>
      </c>
      <c r="AE45" s="69" t="e">
        <f t="shared" si="74"/>
        <v>#N/A</v>
      </c>
      <c r="AF45" s="69">
        <f t="shared" si="75"/>
        <v>2.39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0</v>
      </c>
      <c r="AK45" s="69">
        <f t="shared" si="95"/>
        <v>1</v>
      </c>
      <c r="AL45" s="69" t="str">
        <f t="shared" si="78"/>
        <v>REJEITADO</v>
      </c>
      <c r="AM45" s="69">
        <f t="shared" si="79"/>
        <v>2.1399999999999997</v>
      </c>
      <c r="AN45" s="69">
        <f t="shared" si="80"/>
        <v>2.2699999999999996</v>
      </c>
      <c r="AO45" s="69">
        <f t="shared" si="81"/>
        <v>2.4</v>
      </c>
      <c r="AP45" s="69">
        <f t="shared" si="82"/>
        <v>2.5299999999999998</v>
      </c>
      <c r="AQ45" s="69">
        <f t="shared" si="83"/>
        <v>2.6599999999999997</v>
      </c>
      <c r="AR45" s="69">
        <f t="shared" si="84"/>
        <v>2.79</v>
      </c>
      <c r="AS45" s="69">
        <f t="shared" si="85"/>
        <v>2.92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3.9</v>
      </c>
      <c r="G46" s="69">
        <f t="shared" si="53"/>
        <v>0</v>
      </c>
      <c r="H46" s="69">
        <f t="shared" si="54"/>
        <v>3.9</v>
      </c>
      <c r="I46" s="69">
        <f t="shared" si="55"/>
        <v>3.9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3.3899999999999997</v>
      </c>
      <c r="R46" s="69">
        <f t="shared" si="61"/>
        <v>3.56</v>
      </c>
      <c r="S46" s="69">
        <f t="shared" si="62"/>
        <v>3.73</v>
      </c>
      <c r="T46" s="69">
        <f t="shared" si="63"/>
        <v>3.9</v>
      </c>
      <c r="U46" s="69">
        <f t="shared" si="64"/>
        <v>4.07</v>
      </c>
      <c r="V46" s="69">
        <f t="shared" si="65"/>
        <v>4.24</v>
      </c>
      <c r="W46" s="69">
        <f t="shared" si="66"/>
        <v>4.41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2.46</v>
      </c>
      <c r="AC46" s="69">
        <f t="shared" si="72"/>
        <v>-0.53846153846153721</v>
      </c>
      <c r="AD46" s="69">
        <f t="shared" si="73"/>
        <v>2.46</v>
      </c>
      <c r="AE46" s="69" t="e">
        <f t="shared" si="74"/>
        <v>#N/A</v>
      </c>
      <c r="AF46" s="69">
        <f t="shared" si="75"/>
        <v>2.46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0</v>
      </c>
      <c r="AK46" s="69">
        <f t="shared" si="95"/>
        <v>1</v>
      </c>
      <c r="AL46" s="69" t="str">
        <f t="shared" si="78"/>
        <v>REJEITADO</v>
      </c>
      <c r="AM46" s="69">
        <f t="shared" si="79"/>
        <v>2.1399999999999997</v>
      </c>
      <c r="AN46" s="69">
        <f t="shared" si="80"/>
        <v>2.2699999999999996</v>
      </c>
      <c r="AO46" s="69">
        <f t="shared" si="81"/>
        <v>2.4</v>
      </c>
      <c r="AP46" s="69">
        <f t="shared" si="82"/>
        <v>2.5299999999999998</v>
      </c>
      <c r="AQ46" s="69">
        <f t="shared" si="83"/>
        <v>2.6599999999999997</v>
      </c>
      <c r="AR46" s="69">
        <f t="shared" si="84"/>
        <v>2.79</v>
      </c>
      <c r="AS46" s="69">
        <f t="shared" si="85"/>
        <v>2.92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3.86</v>
      </c>
      <c r="G47" s="69">
        <f t="shared" si="53"/>
        <v>-0.23529411764705901</v>
      </c>
      <c r="H47" s="69">
        <f t="shared" si="54"/>
        <v>3.86</v>
      </c>
      <c r="I47" s="69">
        <f t="shared" si="55"/>
        <v>3.86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3.3899999999999997</v>
      </c>
      <c r="R47" s="69">
        <f t="shared" si="61"/>
        <v>3.56</v>
      </c>
      <c r="S47" s="69">
        <f t="shared" si="62"/>
        <v>3.73</v>
      </c>
      <c r="T47" s="69">
        <f t="shared" si="63"/>
        <v>3.9</v>
      </c>
      <c r="U47" s="69">
        <f t="shared" si="64"/>
        <v>4.07</v>
      </c>
      <c r="V47" s="69">
        <f t="shared" si="65"/>
        <v>4.24</v>
      </c>
      <c r="W47" s="69">
        <f t="shared" si="66"/>
        <v>4.41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2.42</v>
      </c>
      <c r="AC47" s="69">
        <f t="shared" si="72"/>
        <v>-0.84615384615384515</v>
      </c>
      <c r="AD47" s="69">
        <f t="shared" si="73"/>
        <v>2.42</v>
      </c>
      <c r="AE47" s="69" t="e">
        <f t="shared" si="74"/>
        <v>#N/A</v>
      </c>
      <c r="AF47" s="69">
        <f t="shared" si="75"/>
        <v>2.42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0</v>
      </c>
      <c r="AK47" s="69">
        <f t="shared" si="95"/>
        <v>1</v>
      </c>
      <c r="AL47" s="69" t="str">
        <f t="shared" si="78"/>
        <v>REJEITADO</v>
      </c>
      <c r="AM47" s="69">
        <f t="shared" si="79"/>
        <v>2.1399999999999997</v>
      </c>
      <c r="AN47" s="69">
        <f t="shared" si="80"/>
        <v>2.2699999999999996</v>
      </c>
      <c r="AO47" s="69">
        <f t="shared" si="81"/>
        <v>2.4</v>
      </c>
      <c r="AP47" s="69">
        <f t="shared" si="82"/>
        <v>2.5299999999999998</v>
      </c>
      <c r="AQ47" s="69">
        <f t="shared" si="83"/>
        <v>2.6599999999999997</v>
      </c>
      <c r="AR47" s="69">
        <f t="shared" si="84"/>
        <v>2.79</v>
      </c>
      <c r="AS47" s="69">
        <f t="shared" si="85"/>
        <v>2.92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3.76</v>
      </c>
      <c r="G48" s="69">
        <f t="shared" si="53"/>
        <v>-0.82352941176470651</v>
      </c>
      <c r="H48" s="69">
        <f t="shared" si="54"/>
        <v>3.76</v>
      </c>
      <c r="I48" s="69">
        <f t="shared" si="55"/>
        <v>3.76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3.3899999999999997</v>
      </c>
      <c r="R48" s="69">
        <f t="shared" si="61"/>
        <v>3.56</v>
      </c>
      <c r="S48" s="69">
        <f t="shared" si="62"/>
        <v>3.73</v>
      </c>
      <c r="T48" s="69">
        <f t="shared" si="63"/>
        <v>3.9</v>
      </c>
      <c r="U48" s="69">
        <f t="shared" si="64"/>
        <v>4.07</v>
      </c>
      <c r="V48" s="69">
        <f t="shared" si="65"/>
        <v>4.24</v>
      </c>
      <c r="W48" s="69">
        <f t="shared" si="66"/>
        <v>4.41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2.41</v>
      </c>
      <c r="AC48" s="69">
        <f t="shared" si="72"/>
        <v>-0.92307692307692046</v>
      </c>
      <c r="AD48" s="69">
        <f t="shared" si="73"/>
        <v>2.41</v>
      </c>
      <c r="AE48" s="69" t="e">
        <f t="shared" si="74"/>
        <v>#N/A</v>
      </c>
      <c r="AF48" s="69">
        <f t="shared" si="75"/>
        <v>2.41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0</v>
      </c>
      <c r="AK48" s="69">
        <f t="shared" si="95"/>
        <v>1</v>
      </c>
      <c r="AL48" s="69" t="str">
        <f t="shared" si="78"/>
        <v>REJEITADO</v>
      </c>
      <c r="AM48" s="69">
        <f t="shared" si="79"/>
        <v>2.1399999999999997</v>
      </c>
      <c r="AN48" s="69">
        <f t="shared" si="80"/>
        <v>2.2699999999999996</v>
      </c>
      <c r="AO48" s="69">
        <f t="shared" si="81"/>
        <v>2.4</v>
      </c>
      <c r="AP48" s="69">
        <f t="shared" si="82"/>
        <v>2.5299999999999998</v>
      </c>
      <c r="AQ48" s="69">
        <f t="shared" si="83"/>
        <v>2.6599999999999997</v>
      </c>
      <c r="AR48" s="69">
        <f t="shared" si="84"/>
        <v>2.79</v>
      </c>
      <c r="AS48" s="69">
        <f t="shared" si="85"/>
        <v>2.92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3.69</v>
      </c>
      <c r="G49" s="69">
        <f t="shared" si="53"/>
        <v>-1.2352941176470584</v>
      </c>
      <c r="H49" s="69">
        <f t="shared" si="54"/>
        <v>3.69</v>
      </c>
      <c r="I49" s="69">
        <f t="shared" si="55"/>
        <v>3.69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3.3899999999999997</v>
      </c>
      <c r="R49" s="69">
        <f t="shared" si="61"/>
        <v>3.56</v>
      </c>
      <c r="S49" s="69">
        <f t="shared" si="62"/>
        <v>3.73</v>
      </c>
      <c r="T49" s="69">
        <f t="shared" si="63"/>
        <v>3.9</v>
      </c>
      <c r="U49" s="69">
        <f t="shared" si="64"/>
        <v>4.07</v>
      </c>
      <c r="V49" s="69">
        <f t="shared" si="65"/>
        <v>4.24</v>
      </c>
      <c r="W49" s="69">
        <f t="shared" si="66"/>
        <v>4.41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2.35</v>
      </c>
      <c r="AC49" s="69">
        <f t="shared" si="72"/>
        <v>-1.3846153846153824</v>
      </c>
      <c r="AD49" s="69">
        <f t="shared" si="73"/>
        <v>2.35</v>
      </c>
      <c r="AE49" s="69" t="e">
        <f t="shared" si="74"/>
        <v>#N/A</v>
      </c>
      <c r="AF49" s="69">
        <f t="shared" si="75"/>
        <v>2.35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0</v>
      </c>
      <c r="AK49" s="69">
        <f t="shared" si="95"/>
        <v>1</v>
      </c>
      <c r="AL49" s="69" t="str">
        <f t="shared" si="78"/>
        <v>REJEITADO</v>
      </c>
      <c r="AM49" s="69">
        <f t="shared" si="79"/>
        <v>2.1399999999999997</v>
      </c>
      <c r="AN49" s="69">
        <f t="shared" si="80"/>
        <v>2.2699999999999996</v>
      </c>
      <c r="AO49" s="69">
        <f t="shared" si="81"/>
        <v>2.4</v>
      </c>
      <c r="AP49" s="69">
        <f t="shared" si="82"/>
        <v>2.5299999999999998</v>
      </c>
      <c r="AQ49" s="69">
        <f t="shared" si="83"/>
        <v>2.6599999999999997</v>
      </c>
      <c r="AR49" s="69">
        <f t="shared" si="84"/>
        <v>2.79</v>
      </c>
      <c r="AS49" s="69">
        <f t="shared" si="85"/>
        <v>2.92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3.79</v>
      </c>
      <c r="G50" s="69">
        <f t="shared" si="53"/>
        <v>-0.64705882352941102</v>
      </c>
      <c r="H50" s="69">
        <f t="shared" si="54"/>
        <v>3.79</v>
      </c>
      <c r="I50" s="69" t="e">
        <f t="shared" si="55"/>
        <v>#N/A</v>
      </c>
      <c r="J50" s="69">
        <f t="shared" si="56"/>
        <v>3.79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3.3899999999999997</v>
      </c>
      <c r="R50" s="69">
        <f t="shared" si="61"/>
        <v>3.56</v>
      </c>
      <c r="S50" s="69">
        <f t="shared" si="62"/>
        <v>3.73</v>
      </c>
      <c r="T50" s="69">
        <f t="shared" si="63"/>
        <v>3.9</v>
      </c>
      <c r="U50" s="69">
        <f t="shared" si="64"/>
        <v>4.07</v>
      </c>
      <c r="V50" s="69">
        <f t="shared" si="65"/>
        <v>4.24</v>
      </c>
      <c r="W50" s="69">
        <f t="shared" si="66"/>
        <v>4.41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2.42</v>
      </c>
      <c r="AC50" s="69">
        <f t="shared" si="72"/>
        <v>-0.84615384615384515</v>
      </c>
      <c r="AD50" s="69">
        <f t="shared" si="73"/>
        <v>2.42</v>
      </c>
      <c r="AE50" s="69" t="e">
        <f t="shared" si="74"/>
        <v>#N/A</v>
      </c>
      <c r="AF50" s="69">
        <f t="shared" si="75"/>
        <v>2.42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0</v>
      </c>
      <c r="AK50" s="69">
        <f t="shared" si="95"/>
        <v>1</v>
      </c>
      <c r="AL50" s="69" t="str">
        <f t="shared" si="78"/>
        <v>REJEITADO</v>
      </c>
      <c r="AM50" s="69">
        <f t="shared" si="79"/>
        <v>2.1399999999999997</v>
      </c>
      <c r="AN50" s="69">
        <f t="shared" si="80"/>
        <v>2.2699999999999996</v>
      </c>
      <c r="AO50" s="69">
        <f t="shared" si="81"/>
        <v>2.4</v>
      </c>
      <c r="AP50" s="69">
        <f t="shared" si="82"/>
        <v>2.5299999999999998</v>
      </c>
      <c r="AQ50" s="69">
        <f t="shared" si="83"/>
        <v>2.6599999999999997</v>
      </c>
      <c r="AR50" s="69">
        <f t="shared" si="84"/>
        <v>2.79</v>
      </c>
      <c r="AS50" s="69">
        <f t="shared" si="85"/>
        <v>2.92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3.74</v>
      </c>
      <c r="G51" s="69">
        <f t="shared" si="53"/>
        <v>-0.9411764705882335</v>
      </c>
      <c r="H51" s="69">
        <f t="shared" si="54"/>
        <v>3.74</v>
      </c>
      <c r="I51" s="69" t="e">
        <f t="shared" si="55"/>
        <v>#N/A</v>
      </c>
      <c r="J51" s="69">
        <f t="shared" si="56"/>
        <v>3.74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3.3899999999999997</v>
      </c>
      <c r="R51" s="69">
        <f t="shared" si="61"/>
        <v>3.56</v>
      </c>
      <c r="S51" s="69">
        <f t="shared" si="62"/>
        <v>3.73</v>
      </c>
      <c r="T51" s="69">
        <f t="shared" si="63"/>
        <v>3.9</v>
      </c>
      <c r="U51" s="69">
        <f t="shared" si="64"/>
        <v>4.07</v>
      </c>
      <c r="V51" s="69">
        <f t="shared" si="65"/>
        <v>4.24</v>
      </c>
      <c r="W51" s="69">
        <f t="shared" si="66"/>
        <v>4.41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2.4</v>
      </c>
      <c r="AC51" s="69">
        <f t="shared" si="72"/>
        <v>-0.99999999999999911</v>
      </c>
      <c r="AD51" s="69">
        <f t="shared" si="73"/>
        <v>2.4</v>
      </c>
      <c r="AE51" s="69" t="e">
        <f t="shared" si="74"/>
        <v>#N/A</v>
      </c>
      <c r="AF51" s="69">
        <f t="shared" si="75"/>
        <v>2.4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2.1399999999999997</v>
      </c>
      <c r="AN51" s="69">
        <f t="shared" si="80"/>
        <v>2.2699999999999996</v>
      </c>
      <c r="AO51" s="69">
        <f t="shared" si="81"/>
        <v>2.4</v>
      </c>
      <c r="AP51" s="69">
        <f t="shared" si="82"/>
        <v>2.5299999999999998</v>
      </c>
      <c r="AQ51" s="69">
        <f t="shared" si="83"/>
        <v>2.6599999999999997</v>
      </c>
      <c r="AR51" s="69">
        <f t="shared" si="84"/>
        <v>2.79</v>
      </c>
      <c r="AS51" s="69">
        <f t="shared" si="85"/>
        <v>2.92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3.82</v>
      </c>
      <c r="G52" s="69">
        <f t="shared" si="53"/>
        <v>-0.47058823529411803</v>
      </c>
      <c r="H52" s="69">
        <f t="shared" si="54"/>
        <v>3.82</v>
      </c>
      <c r="I52" s="69" t="e">
        <f t="shared" si="55"/>
        <v>#N/A</v>
      </c>
      <c r="J52" s="69">
        <f t="shared" si="56"/>
        <v>3.82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1</v>
      </c>
      <c r="P52" s="69" t="str">
        <f t="shared" si="59"/>
        <v>REJEITADO</v>
      </c>
      <c r="Q52" s="69">
        <f t="shared" si="60"/>
        <v>3.3899999999999997</v>
      </c>
      <c r="R52" s="69">
        <f t="shared" si="61"/>
        <v>3.56</v>
      </c>
      <c r="S52" s="69">
        <f t="shared" si="62"/>
        <v>3.73</v>
      </c>
      <c r="T52" s="69">
        <f t="shared" si="63"/>
        <v>3.9</v>
      </c>
      <c r="U52" s="69">
        <f t="shared" si="64"/>
        <v>4.07</v>
      </c>
      <c r="V52" s="69">
        <f t="shared" si="65"/>
        <v>4.24</v>
      </c>
      <c r="W52" s="69">
        <f t="shared" si="66"/>
        <v>4.41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2.4</v>
      </c>
      <c r="AC52" s="69">
        <f t="shared" si="72"/>
        <v>-0.99999999999999911</v>
      </c>
      <c r="AD52" s="69">
        <f t="shared" si="73"/>
        <v>2.4</v>
      </c>
      <c r="AE52" s="69" t="e">
        <f t="shared" si="74"/>
        <v>#N/A</v>
      </c>
      <c r="AF52" s="69">
        <f t="shared" si="75"/>
        <v>2.4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2.1399999999999997</v>
      </c>
      <c r="AN52" s="69">
        <f t="shared" si="80"/>
        <v>2.2699999999999996</v>
      </c>
      <c r="AO52" s="69">
        <f t="shared" si="81"/>
        <v>2.4</v>
      </c>
      <c r="AP52" s="69">
        <f t="shared" si="82"/>
        <v>2.5299999999999998</v>
      </c>
      <c r="AQ52" s="69">
        <f t="shared" si="83"/>
        <v>2.6599999999999997</v>
      </c>
      <c r="AR52" s="69">
        <f t="shared" si="84"/>
        <v>2.79</v>
      </c>
      <c r="AS52" s="69">
        <f t="shared" si="85"/>
        <v>2.92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3.82</v>
      </c>
      <c r="G53" s="69">
        <f t="shared" si="53"/>
        <v>-0.47058823529411803</v>
      </c>
      <c r="H53" s="69">
        <f t="shared" si="54"/>
        <v>3.82</v>
      </c>
      <c r="I53" s="69" t="e">
        <f t="shared" si="55"/>
        <v>#N/A</v>
      </c>
      <c r="J53" s="69">
        <f t="shared" si="56"/>
        <v>3.82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1</v>
      </c>
      <c r="P53" s="69" t="str">
        <f t="shared" si="59"/>
        <v>REJEITADO</v>
      </c>
      <c r="Q53" s="69">
        <f t="shared" si="60"/>
        <v>3.3899999999999997</v>
      </c>
      <c r="R53" s="69">
        <f t="shared" si="61"/>
        <v>3.56</v>
      </c>
      <c r="S53" s="69">
        <f t="shared" si="62"/>
        <v>3.73</v>
      </c>
      <c r="T53" s="69">
        <f t="shared" si="63"/>
        <v>3.9</v>
      </c>
      <c r="U53" s="69">
        <f t="shared" si="64"/>
        <v>4.07</v>
      </c>
      <c r="V53" s="69">
        <f t="shared" si="65"/>
        <v>4.24</v>
      </c>
      <c r="W53" s="69">
        <f t="shared" si="66"/>
        <v>4.41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2.39</v>
      </c>
      <c r="AC53" s="69">
        <f t="shared" si="72"/>
        <v>-1.0769230769230744</v>
      </c>
      <c r="AD53" s="69">
        <f t="shared" si="73"/>
        <v>2.39</v>
      </c>
      <c r="AE53" s="69" t="e">
        <f t="shared" si="74"/>
        <v>#N/A</v>
      </c>
      <c r="AF53" s="69">
        <f t="shared" si="75"/>
        <v>2.39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2.1399999999999997</v>
      </c>
      <c r="AN53" s="69">
        <f t="shared" si="80"/>
        <v>2.2699999999999996</v>
      </c>
      <c r="AO53" s="69">
        <f t="shared" si="81"/>
        <v>2.4</v>
      </c>
      <c r="AP53" s="69">
        <f t="shared" si="82"/>
        <v>2.5299999999999998</v>
      </c>
      <c r="AQ53" s="69">
        <f t="shared" si="83"/>
        <v>2.6599999999999997</v>
      </c>
      <c r="AR53" s="69">
        <f t="shared" si="84"/>
        <v>2.79</v>
      </c>
      <c r="AS53" s="69">
        <f t="shared" si="85"/>
        <v>2.92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3.93</v>
      </c>
      <c r="G54" s="69">
        <f t="shared" si="53"/>
        <v>0.17647058823529557</v>
      </c>
      <c r="H54" s="69">
        <f t="shared" si="54"/>
        <v>3.93</v>
      </c>
      <c r="I54" s="69">
        <f t="shared" si="55"/>
        <v>3.93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3.3899999999999997</v>
      </c>
      <c r="R54" s="69">
        <f t="shared" si="61"/>
        <v>3.56</v>
      </c>
      <c r="S54" s="69">
        <f t="shared" si="62"/>
        <v>3.73</v>
      </c>
      <c r="T54" s="69">
        <f t="shared" si="63"/>
        <v>3.9</v>
      </c>
      <c r="U54" s="69">
        <f t="shared" si="64"/>
        <v>4.07</v>
      </c>
      <c r="V54" s="69">
        <f t="shared" si="65"/>
        <v>4.24</v>
      </c>
      <c r="W54" s="69">
        <f t="shared" si="66"/>
        <v>4.41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2.41</v>
      </c>
      <c r="AC54" s="69">
        <f t="shared" si="72"/>
        <v>-0.92307692307692046</v>
      </c>
      <c r="AD54" s="69">
        <f t="shared" si="73"/>
        <v>2.41</v>
      </c>
      <c r="AE54" s="69" t="e">
        <f t="shared" si="74"/>
        <v>#N/A</v>
      </c>
      <c r="AF54" s="69">
        <f t="shared" si="75"/>
        <v>2.41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2.1399999999999997</v>
      </c>
      <c r="AN54" s="69">
        <f t="shared" si="80"/>
        <v>2.2699999999999996</v>
      </c>
      <c r="AO54" s="69">
        <f t="shared" si="81"/>
        <v>2.4</v>
      </c>
      <c r="AP54" s="69">
        <f t="shared" si="82"/>
        <v>2.5299999999999998</v>
      </c>
      <c r="AQ54" s="69">
        <f t="shared" si="83"/>
        <v>2.6599999999999997</v>
      </c>
      <c r="AR54" s="69">
        <f t="shared" si="84"/>
        <v>2.79</v>
      </c>
      <c r="AS54" s="69">
        <f t="shared" si="85"/>
        <v>2.92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3.75</v>
      </c>
      <c r="G55" s="69">
        <f t="shared" si="53"/>
        <v>-0.88235294117647001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2.4</v>
      </c>
      <c r="AC55" s="69">
        <f t="shared" si="72"/>
        <v>-0.99999999999999911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3.79</v>
      </c>
      <c r="G56" s="69">
        <f t="shared" si="53"/>
        <v>-0.64705882352941102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2.4</v>
      </c>
      <c r="AC56" s="69">
        <f t="shared" si="72"/>
        <v>-0.99999999999999911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3.83</v>
      </c>
      <c r="G57" s="69">
        <f t="shared" si="53"/>
        <v>-0.41176470588235198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2.4300000000000002</v>
      </c>
      <c r="AC57" s="69">
        <f t="shared" si="72"/>
        <v>-0.7692307692307665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3.77</v>
      </c>
      <c r="G58" s="69">
        <f t="shared" si="53"/>
        <v>-0.76470588235294046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2.44</v>
      </c>
      <c r="AC58" s="69">
        <f t="shared" si="72"/>
        <v>-0.69230769230769118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3.82</v>
      </c>
      <c r="G59" s="69">
        <f t="shared" si="53"/>
        <v>-0.47058823529411803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2.4</v>
      </c>
      <c r="AC59" s="69">
        <f t="shared" si="72"/>
        <v>-0.99999999999999911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3.72</v>
      </c>
      <c r="G60" s="69">
        <f t="shared" si="53"/>
        <v>-1.0588235294117629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2.37</v>
      </c>
      <c r="AC60" s="69">
        <f t="shared" si="72"/>
        <v>-1.2307692307692284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0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3.84</v>
      </c>
      <c r="G61" s="69">
        <f t="shared" si="53"/>
        <v>-0.35294117647058854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2.42</v>
      </c>
      <c r="AC61" s="69">
        <f t="shared" si="72"/>
        <v>-0.84615384615384515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0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3.8</v>
      </c>
      <c r="G62" s="69">
        <f t="shared" si="53"/>
        <v>-0.58823529411764752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2.4</v>
      </c>
      <c r="AC62" s="69">
        <f t="shared" si="72"/>
        <v>-0.99999999999999911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3.89</v>
      </c>
      <c r="G63" s="69">
        <f t="shared" si="53"/>
        <v>-5.8823529411763449E-2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2.46</v>
      </c>
      <c r="AC63" s="69">
        <f t="shared" si="72"/>
        <v>-0.53846153846153721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3.88</v>
      </c>
      <c r="G64" s="69">
        <f t="shared" si="53"/>
        <v>-0.11764705882352951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2.4700000000000002</v>
      </c>
      <c r="AC64" s="69">
        <f t="shared" si="72"/>
        <v>-0.46153846153845851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3.85</v>
      </c>
      <c r="G65" s="69">
        <f t="shared" si="53"/>
        <v>-0.29411764705882248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2.44</v>
      </c>
      <c r="AC65" s="69">
        <f t="shared" si="72"/>
        <v>-0.69230769230769118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3.97</v>
      </c>
      <c r="G66" s="69">
        <f t="shared" si="53"/>
        <v>0.41176470588235459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OK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2.4700000000000002</v>
      </c>
      <c r="AC66" s="69">
        <f t="shared" si="72"/>
        <v>-0.46153846153845851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3.79</v>
      </c>
      <c r="G67" s="69">
        <f t="shared" ref="G67:G98" si="101">IF(OR($F67="",$AY$1=""),"",($F67-$AX$1)/$AY$1)</f>
        <v>-0.64705882352941102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0</v>
      </c>
      <c r="P67" s="69" t="str">
        <f t="shared" ref="P67:P98" si="107">IF($F67="","",IF(SUM($K67,$L67,$M67,$N67,$O67)&gt;0,"REJEITADO","OK"))</f>
        <v>OK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2.4300000000000002</v>
      </c>
      <c r="AC67" s="69">
        <f t="shared" ref="AC67:AC98" si="120">IF(OR($AB67="",$BA$1=""),"",($AB67-$AZ$1)/$BA$1)</f>
        <v>-0.7692307692307665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3.8</v>
      </c>
      <c r="G68" s="69">
        <f t="shared" si="101"/>
        <v>-0.58823529411764752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0</v>
      </c>
      <c r="P68" s="69" t="str">
        <f t="shared" si="107"/>
        <v>OK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2.4</v>
      </c>
      <c r="AC68" s="69">
        <f t="shared" si="120"/>
        <v>-0.99999999999999911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3.79</v>
      </c>
      <c r="G69" s="69">
        <f t="shared" si="101"/>
        <v>-0.64705882352941102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0</v>
      </c>
      <c r="P69" s="69" t="str">
        <f t="shared" si="107"/>
        <v>OK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2.39</v>
      </c>
      <c r="AC69" s="69">
        <f t="shared" si="120"/>
        <v>-1.0769230769230744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3.78</v>
      </c>
      <c r="G70" s="69">
        <f t="shared" si="101"/>
        <v>-0.70588235294117707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2.5099999999999998</v>
      </c>
      <c r="AC70" s="69">
        <f t="shared" si="120"/>
        <v>-0.15384615384615397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3.94</v>
      </c>
      <c r="G71" s="69">
        <f t="shared" si="101"/>
        <v>0.23529411764705901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0</v>
      </c>
      <c r="P71" s="69" t="str">
        <f t="shared" si="107"/>
        <v>OK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2.5</v>
      </c>
      <c r="AC71" s="69">
        <f t="shared" si="120"/>
        <v>-0.23076923076922926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4</v>
      </c>
      <c r="G72" s="69">
        <f t="shared" si="101"/>
        <v>0.58823529411764752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0</v>
      </c>
      <c r="P72" s="69" t="str">
        <f t="shared" si="107"/>
        <v>OK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2.5099999999999998</v>
      </c>
      <c r="AC72" s="69">
        <f t="shared" si="120"/>
        <v>-0.15384615384615397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0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3.93</v>
      </c>
      <c r="G73" s="69">
        <f t="shared" si="101"/>
        <v>0.17647058823529557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0</v>
      </c>
      <c r="P73" s="69" t="str">
        <f t="shared" si="107"/>
        <v>OK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2.4700000000000002</v>
      </c>
      <c r="AC73" s="69">
        <f t="shared" si="120"/>
        <v>-0.46153846153845851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0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3.84</v>
      </c>
      <c r="G74" s="69">
        <f t="shared" si="101"/>
        <v>-0.35294117647058854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69" t="str">
        <f t="shared" si="107"/>
        <v>OK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2.42</v>
      </c>
      <c r="AC74" s="69">
        <f t="shared" si="120"/>
        <v>-0.84615384615384515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0</v>
      </c>
      <c r="AI74" s="69">
        <f t="shared" si="125"/>
        <v>0</v>
      </c>
      <c r="AJ74" s="69">
        <f t="shared" si="141"/>
        <v>0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3.9</v>
      </c>
      <c r="G75" s="69">
        <f t="shared" si="101"/>
        <v>0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0</v>
      </c>
      <c r="P75" s="69" t="str">
        <f t="shared" si="107"/>
        <v>OK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2.44</v>
      </c>
      <c r="AC75" s="69">
        <f t="shared" si="120"/>
        <v>-0.69230769230769118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0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3.97</v>
      </c>
      <c r="G76" s="69">
        <f t="shared" si="101"/>
        <v>0.41176470588235459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0</v>
      </c>
      <c r="P76" s="69" t="str">
        <f t="shared" si="107"/>
        <v>OK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2.52</v>
      </c>
      <c r="AC76" s="69">
        <f t="shared" si="120"/>
        <v>-7.6923076923075276E-2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0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3.98</v>
      </c>
      <c r="G77" s="69">
        <f t="shared" si="101"/>
        <v>0.47058823529411803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0</v>
      </c>
      <c r="P77" s="69" t="str">
        <f t="shared" si="107"/>
        <v>OK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2.5299999999999998</v>
      </c>
      <c r="AC77" s="69">
        <f t="shared" si="120"/>
        <v>0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0</v>
      </c>
      <c r="AK77" s="69">
        <f t="shared" si="143"/>
        <v>0</v>
      </c>
      <c r="AL77" s="69" t="str">
        <f t="shared" si="126"/>
        <v>OK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3.99</v>
      </c>
      <c r="G78" s="69">
        <f t="shared" si="101"/>
        <v>0.52941176470588414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0</v>
      </c>
      <c r="P78" s="69" t="str">
        <f t="shared" si="107"/>
        <v>OK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2.56</v>
      </c>
      <c r="AC78" s="69">
        <f t="shared" si="120"/>
        <v>0.23076923076923267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0</v>
      </c>
      <c r="AK78" s="69">
        <f t="shared" si="143"/>
        <v>0</v>
      </c>
      <c r="AL78" s="69" t="str">
        <f t="shared" si="126"/>
        <v>OK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4.07</v>
      </c>
      <c r="G79" s="69">
        <f t="shared" si="101"/>
        <v>1.0000000000000022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0</v>
      </c>
      <c r="P79" s="69" t="str">
        <f t="shared" si="107"/>
        <v>OK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2.62</v>
      </c>
      <c r="AC79" s="69">
        <f t="shared" si="120"/>
        <v>0.69230769230769462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0</v>
      </c>
      <c r="AI79" s="69">
        <f t="shared" si="125"/>
        <v>0</v>
      </c>
      <c r="AJ79" s="69">
        <f t="shared" si="141"/>
        <v>0</v>
      </c>
      <c r="AK79" s="69">
        <f t="shared" si="143"/>
        <v>0</v>
      </c>
      <c r="AL79" s="69" t="str">
        <f t="shared" si="126"/>
        <v>OK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3.89</v>
      </c>
      <c r="G80" s="69">
        <f t="shared" si="101"/>
        <v>-5.8823529411763449E-2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0</v>
      </c>
      <c r="P80" s="69" t="str">
        <f t="shared" si="107"/>
        <v>OK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2.46</v>
      </c>
      <c r="AC80" s="69">
        <f t="shared" si="120"/>
        <v>-0.53846153846153721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0</v>
      </c>
      <c r="AI80" s="69">
        <f t="shared" si="125"/>
        <v>0</v>
      </c>
      <c r="AJ80" s="69">
        <f t="shared" si="141"/>
        <v>0</v>
      </c>
      <c r="AK80" s="69">
        <f t="shared" si="143"/>
        <v>0</v>
      </c>
      <c r="AL80" s="69" t="str">
        <f t="shared" si="126"/>
        <v>OK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3.88</v>
      </c>
      <c r="G81" s="69">
        <f t="shared" si="101"/>
        <v>-0.11764705882352951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0</v>
      </c>
      <c r="P81" s="69" t="str">
        <f t="shared" si="107"/>
        <v>OK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2.4500000000000002</v>
      </c>
      <c r="AC81" s="69">
        <f t="shared" si="120"/>
        <v>-0.61538461538461253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0</v>
      </c>
      <c r="AI81" s="69">
        <f t="shared" si="125"/>
        <v>0</v>
      </c>
      <c r="AJ81" s="69">
        <f t="shared" si="141"/>
        <v>0</v>
      </c>
      <c r="AK81" s="69">
        <f t="shared" si="143"/>
        <v>0</v>
      </c>
      <c r="AL81" s="69" t="str">
        <f t="shared" si="126"/>
        <v>OK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3.92</v>
      </c>
      <c r="G82" s="69">
        <f t="shared" si="101"/>
        <v>0.11764705882352951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0</v>
      </c>
      <c r="P82" s="69" t="str">
        <f t="shared" si="107"/>
        <v>OK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2.4500000000000002</v>
      </c>
      <c r="AC82" s="69">
        <f t="shared" si="120"/>
        <v>-0.61538461538461253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0</v>
      </c>
      <c r="AI82" s="69">
        <f t="shared" si="125"/>
        <v>0</v>
      </c>
      <c r="AJ82" s="69">
        <f t="shared" si="141"/>
        <v>0</v>
      </c>
      <c r="AK82" s="69">
        <f t="shared" si="143"/>
        <v>0</v>
      </c>
      <c r="AL82" s="69" t="str">
        <f t="shared" si="126"/>
        <v>OK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3.87</v>
      </c>
      <c r="G83" s="69">
        <f t="shared" si="101"/>
        <v>-0.17647058823529296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0</v>
      </c>
      <c r="O83" s="69">
        <f t="shared" si="142"/>
        <v>0</v>
      </c>
      <c r="P83" s="69" t="str">
        <f t="shared" si="107"/>
        <v>OK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2.46</v>
      </c>
      <c r="AC83" s="69">
        <f t="shared" si="120"/>
        <v>-0.53846153846153721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0</v>
      </c>
      <c r="AI83" s="69">
        <f t="shared" si="125"/>
        <v>0</v>
      </c>
      <c r="AJ83" s="69">
        <f t="shared" si="141"/>
        <v>0</v>
      </c>
      <c r="AK83" s="69">
        <f t="shared" si="143"/>
        <v>0</v>
      </c>
      <c r="AL83" s="69" t="str">
        <f t="shared" si="126"/>
        <v>OK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3.93</v>
      </c>
      <c r="G84" s="69">
        <f t="shared" si="101"/>
        <v>0.17647058823529557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2.42</v>
      </c>
      <c r="AC84" s="69">
        <f t="shared" si="120"/>
        <v>-0.84615384615384515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0</v>
      </c>
      <c r="AL84" s="69" t="str">
        <f t="shared" si="126"/>
        <v>OK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3.81</v>
      </c>
      <c r="G85" s="69">
        <f t="shared" si="101"/>
        <v>-0.52941176470588147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2.39</v>
      </c>
      <c r="AC85" s="69">
        <f t="shared" si="120"/>
        <v>-1.0769230769230744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0</v>
      </c>
      <c r="AL85" s="69" t="str">
        <f t="shared" si="126"/>
        <v>OK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4.24</v>
      </c>
      <c r="G86" s="69">
        <f t="shared" si="101"/>
        <v>2.0000000000000018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2.46</v>
      </c>
      <c r="AC86" s="69">
        <f t="shared" si="120"/>
        <v>-0.53846153846153721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0</v>
      </c>
      <c r="AL86" s="69" t="str">
        <f t="shared" si="126"/>
        <v>OK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3.76</v>
      </c>
      <c r="G87" s="69">
        <f t="shared" si="101"/>
        <v>-0.82352941176470651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2.41</v>
      </c>
      <c r="AC87" s="69">
        <f t="shared" si="120"/>
        <v>-0.92307692307692046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3.77</v>
      </c>
      <c r="G88" s="69">
        <f t="shared" si="101"/>
        <v>-0.76470588235294046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0</v>
      </c>
      <c r="P88" s="69" t="str">
        <f t="shared" si="107"/>
        <v>OK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2.4300000000000002</v>
      </c>
      <c r="AC88" s="69">
        <f t="shared" si="120"/>
        <v>-0.7692307692307665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3.65</v>
      </c>
      <c r="G89" s="69">
        <f t="shared" si="101"/>
        <v>-1.4705882352941175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2.41</v>
      </c>
      <c r="AC89" s="69">
        <f t="shared" si="120"/>
        <v>-0.92307692307692046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0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3.72</v>
      </c>
      <c r="G90" s="69">
        <f t="shared" si="101"/>
        <v>-1.0588235294117629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2.46</v>
      </c>
      <c r="AC90" s="69">
        <f t="shared" si="120"/>
        <v>-0.53846153846153721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0</v>
      </c>
      <c r="AI90" s="69">
        <f t="shared" si="125"/>
        <v>0</v>
      </c>
      <c r="AJ90" s="69">
        <f t="shared" si="141"/>
        <v>0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3.63</v>
      </c>
      <c r="G91" s="69">
        <f t="shared" si="101"/>
        <v>-1.588235294117647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2.4700000000000002</v>
      </c>
      <c r="AC91" s="69">
        <f t="shared" si="120"/>
        <v>-0.46153846153845851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0</v>
      </c>
      <c r="AI91" s="69">
        <f t="shared" si="125"/>
        <v>0</v>
      </c>
      <c r="AJ91" s="69">
        <f t="shared" si="141"/>
        <v>0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3.88</v>
      </c>
      <c r="G92" s="69">
        <f t="shared" si="101"/>
        <v>-0.11764705882352951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2.4500000000000002</v>
      </c>
      <c r="AC92" s="69">
        <f t="shared" si="120"/>
        <v>-0.61538461538461253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0</v>
      </c>
      <c r="AI92" s="69">
        <f t="shared" si="125"/>
        <v>0</v>
      </c>
      <c r="AJ92" s="69">
        <f t="shared" si="141"/>
        <v>0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3.84</v>
      </c>
      <c r="G93" s="69">
        <f t="shared" si="101"/>
        <v>-0.35294117647058854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2.4300000000000002</v>
      </c>
      <c r="AC93" s="69">
        <f t="shared" si="120"/>
        <v>-0.7692307692307665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0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3.88</v>
      </c>
      <c r="G94" s="69">
        <f t="shared" si="101"/>
        <v>-0.11764705882352951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2.4300000000000002</v>
      </c>
      <c r="AC94" s="69">
        <f t="shared" si="120"/>
        <v>-0.7692307692307665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0</v>
      </c>
      <c r="AI94" s="69">
        <f t="shared" si="125"/>
        <v>0</v>
      </c>
      <c r="AJ94" s="69">
        <f t="shared" si="141"/>
        <v>0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3.8</v>
      </c>
      <c r="G95" s="69">
        <f t="shared" si="101"/>
        <v>-0.58823529411764752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3.89</v>
      </c>
      <c r="G96" s="69">
        <f t="shared" si="101"/>
        <v>-5.8823529411763449E-2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2.46</v>
      </c>
      <c r="AC96" s="69">
        <f t="shared" si="120"/>
        <v>-0.53846153846153721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3.82</v>
      </c>
      <c r="G97" s="69">
        <f t="shared" si="101"/>
        <v>-0.47058823529411803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2.41</v>
      </c>
      <c r="AC97" s="69">
        <f t="shared" si="120"/>
        <v>-0.92307692307692046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3.83</v>
      </c>
      <c r="G98" s="69">
        <f t="shared" si="101"/>
        <v>-0.41176470588235198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2.46</v>
      </c>
      <c r="AC98" s="69">
        <f t="shared" si="120"/>
        <v>-0.53846153846153721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3.91</v>
      </c>
      <c r="G99" s="69">
        <f t="shared" ref="G99:G130" si="149">IF(OR($F99="",$AY$1=""),"",($F99-$AX$1)/$AY$1)</f>
        <v>5.8823529411766058E-2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0</v>
      </c>
      <c r="P99" s="69" t="str">
        <f t="shared" ref="P99:P130" si="155">IF($F99="","",IF(SUM($K99,$L99,$M99,$N99,$O99)&gt;0,"REJEITADO","OK"))</f>
        <v>OK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2.46</v>
      </c>
      <c r="AC99" s="69">
        <f t="shared" ref="AC99:AC130" si="168">IF(OR($AB99="",$BA$1=""),"",($AB99-$AZ$1)/$BA$1)</f>
        <v>-0.53846153846153721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0</v>
      </c>
      <c r="AK99" s="69">
        <f t="shared" si="143"/>
        <v>0</v>
      </c>
      <c r="AL99" s="69" t="str">
        <f t="shared" ref="AL99:AL130" si="174">IF($AB99="","",IF(SUM($AG99,$AH99,$AI99,$AJ99,$AK99)&gt;0,"REJEITADO","OK"))</f>
        <v>OK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3.63</v>
      </c>
      <c r="G100" s="69">
        <f t="shared" si="149"/>
        <v>-1.588235294117647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0</v>
      </c>
      <c r="P100" s="69" t="str">
        <f t="shared" si="155"/>
        <v>OK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2.42</v>
      </c>
      <c r="AC100" s="69">
        <f t="shared" si="168"/>
        <v>-0.84615384615384515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0</v>
      </c>
      <c r="AK100" s="69">
        <f t="shared" si="143"/>
        <v>0</v>
      </c>
      <c r="AL100" s="69" t="str">
        <f t="shared" si="174"/>
        <v>OK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3.81</v>
      </c>
      <c r="G101" s="69">
        <f t="shared" si="149"/>
        <v>-0.52941176470588147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0</v>
      </c>
      <c r="P101" s="69" t="str">
        <f t="shared" si="155"/>
        <v>OK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2.39</v>
      </c>
      <c r="AC101" s="69">
        <f t="shared" si="168"/>
        <v>-1.0769230769230744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0</v>
      </c>
      <c r="AK101" s="69">
        <f t="shared" si="143"/>
        <v>0</v>
      </c>
      <c r="AL101" s="69" t="str">
        <f t="shared" si="174"/>
        <v>OK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3.78</v>
      </c>
      <c r="G102" s="69">
        <f t="shared" si="149"/>
        <v>-0.70588235294117707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0</v>
      </c>
      <c r="P102" s="69" t="str">
        <f t="shared" si="155"/>
        <v>OK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2.33</v>
      </c>
      <c r="AC102" s="69">
        <f t="shared" si="168"/>
        <v>-1.5384615384615363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69">
        <f t="shared" si="143"/>
        <v>0</v>
      </c>
      <c r="AL102" s="69" t="str">
        <f t="shared" si="174"/>
        <v>OK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3.64</v>
      </c>
      <c r="G103" s="69">
        <f t="shared" si="149"/>
        <v>-1.5294117647058809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2.39</v>
      </c>
      <c r="AC103" s="69">
        <f t="shared" si="168"/>
        <v>-1.0769230769230744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0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3.83</v>
      </c>
      <c r="G104" s="69">
        <f t="shared" si="149"/>
        <v>-0.41176470588235198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2.4</v>
      </c>
      <c r="AC104" s="69">
        <f t="shared" si="168"/>
        <v>-0.99999999999999911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0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3.8</v>
      </c>
      <c r="G105" s="69">
        <f t="shared" si="149"/>
        <v>-0.58823529411764752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2.4</v>
      </c>
      <c r="AC105" s="69">
        <f t="shared" si="168"/>
        <v>-0.99999999999999911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0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3.8610000000000002</v>
      </c>
      <c r="G106" s="69">
        <f t="shared" si="149"/>
        <v>-0.22941176470588059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2.46</v>
      </c>
      <c r="AC106" s="69">
        <f t="shared" si="168"/>
        <v>-0.53846153846153721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0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3.81</v>
      </c>
      <c r="G107" s="69">
        <f t="shared" si="149"/>
        <v>-0.52941176470588147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2.44</v>
      </c>
      <c r="AC107" s="69">
        <f t="shared" si="168"/>
        <v>-0.69230769230769118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0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3.83</v>
      </c>
      <c r="G108" s="69">
        <f t="shared" si="149"/>
        <v>-0.41176470588235198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2.4300000000000002</v>
      </c>
      <c r="AC108" s="69">
        <f t="shared" si="168"/>
        <v>-0.7692307692307665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0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3.87</v>
      </c>
      <c r="G109" s="69">
        <f t="shared" si="149"/>
        <v>-0.17647058823529296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2.4500000000000002</v>
      </c>
      <c r="AC109" s="69">
        <f t="shared" si="168"/>
        <v>-0.61538461538461253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0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3.76</v>
      </c>
      <c r="G110" s="69">
        <f t="shared" si="149"/>
        <v>-0.82352941176470651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2.35</v>
      </c>
      <c r="AC110" s="69">
        <f t="shared" si="168"/>
        <v>-1.3846153846153824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0</v>
      </c>
      <c r="AI110" s="69">
        <f t="shared" si="173"/>
        <v>0</v>
      </c>
      <c r="AJ110" s="69">
        <f t="shared" si="189"/>
        <v>0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3.76</v>
      </c>
      <c r="G111" s="69">
        <f t="shared" si="149"/>
        <v>-0.82352941176470651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2.2999999999999998</v>
      </c>
      <c r="AC111" s="69">
        <f t="shared" si="168"/>
        <v>-1.7692307692307689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3.92</v>
      </c>
      <c r="G112" s="69">
        <f t="shared" si="149"/>
        <v>0.11764705882352951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0</v>
      </c>
      <c r="P112" s="69" t="str">
        <f t="shared" si="155"/>
        <v>OK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2.36</v>
      </c>
      <c r="AC112" s="69">
        <f t="shared" si="168"/>
        <v>-1.307692307692307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2.4500000000000002</v>
      </c>
      <c r="AC113" s="69">
        <f t="shared" si="168"/>
        <v>-0.61538461538461253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L5" sqref="L5:R5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7" width="14.77734375" style="1" customWidth="1"/>
    <col min="18" max="25" width="15.77734375" style="161" customWidth="1"/>
    <col min="26" max="28" width="8.88671875" style="160"/>
    <col min="29" max="16384" width="8.88671875" style="1"/>
  </cols>
  <sheetData>
    <row r="1" spans="1:28" s="178" customFormat="1" ht="40.200000000000003" customHeight="1" thickBot="1" x14ac:dyDescent="0.6">
      <c r="A1" s="183" t="s">
        <v>207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77"/>
      <c r="AA1" s="177"/>
      <c r="AB1" s="177"/>
    </row>
    <row r="2" spans="1:28" s="78" customFormat="1" ht="19.95" customHeight="1" thickBot="1" x14ac:dyDescent="0.35">
      <c r="A2" s="180" t="s">
        <v>208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2"/>
      <c r="Z2" s="161"/>
      <c r="AA2" s="161"/>
      <c r="AB2" s="161"/>
    </row>
    <row r="3" spans="1:28" s="78" customFormat="1" ht="14.4" customHeight="1" x14ac:dyDescent="0.3">
      <c r="A3" s="77" t="s">
        <v>209</v>
      </c>
      <c r="B3" s="32">
        <v>3</v>
      </c>
      <c r="C3" s="197" t="str">
        <f>IFERROR(INDEX(Analitos!$A$4:$A$43,$B$3),"")</f>
        <v>Albumina</v>
      </c>
      <c r="D3" s="194"/>
      <c r="F3" s="79" t="s">
        <v>210</v>
      </c>
      <c r="G3" s="33">
        <v>46023</v>
      </c>
      <c r="H3" s="80" t="s">
        <v>241</v>
      </c>
      <c r="I3" s="34">
        <v>2026</v>
      </c>
      <c r="M3" s="35" t="b">
        <v>1</v>
      </c>
      <c r="N3" s="35" t="b">
        <v>0</v>
      </c>
      <c r="O3" s="196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96"/>
      <c r="Q3" s="196"/>
      <c r="R3" s="196"/>
      <c r="S3" s="196"/>
      <c r="T3" s="196"/>
      <c r="U3" s="196"/>
      <c r="V3" s="196"/>
      <c r="W3" s="196"/>
      <c r="X3" s="196"/>
      <c r="Y3" s="161"/>
      <c r="Z3" s="161"/>
      <c r="AA3" s="161"/>
      <c r="AB3" s="161"/>
    </row>
    <row r="4" spans="1:28" s="78" customFormat="1" ht="14.4" customHeight="1" x14ac:dyDescent="0.3">
      <c r="A4" s="198" t="s">
        <v>211</v>
      </c>
      <c r="B4" s="194"/>
      <c r="C4" s="195" t="str" cm="1">
        <f t="array" ref="C4">"Analito "&amp;$B$3&amp;" de "&amp;SUMPRODUCT(--(Analitos!$A$4:$A$43&lt;&gt;""))&amp;"    ·    Lote em uso: "&amp;loteAtivo</f>
        <v>Analito 3 de 31    ·    Lote em uso: 8974</v>
      </c>
      <c r="D4" s="194"/>
      <c r="E4" s="194"/>
      <c r="F4" s="81" t="s">
        <v>212</v>
      </c>
      <c r="G4" s="36">
        <v>46387</v>
      </c>
      <c r="H4" s="82" t="s">
        <v>372</v>
      </c>
      <c r="I4" s="37" t="s">
        <v>374</v>
      </c>
      <c r="M4" s="35" t="b">
        <v>0</v>
      </c>
      <c r="N4" s="38" t="b">
        <v>0</v>
      </c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61"/>
      <c r="Z4" s="161"/>
      <c r="AA4" s="161"/>
      <c r="AB4" s="161"/>
    </row>
    <row r="5" spans="1:28" s="78" customFormat="1" ht="14.4" customHeight="1" x14ac:dyDescent="0.3">
      <c r="A5" s="191" t="s">
        <v>430</v>
      </c>
      <c r="B5" s="192"/>
      <c r="C5" s="192"/>
      <c r="D5" s="192"/>
      <c r="E5" s="192"/>
      <c r="F5" s="192"/>
      <c r="G5" s="192"/>
      <c r="H5" s="192"/>
      <c r="I5" s="192"/>
      <c r="J5" s="192"/>
      <c r="L5" s="193" t="s">
        <v>431</v>
      </c>
      <c r="M5" s="194"/>
      <c r="N5" s="194"/>
      <c r="O5" s="194"/>
      <c r="P5" s="194"/>
      <c r="Q5" s="194"/>
      <c r="R5" s="194"/>
      <c r="S5" s="161"/>
      <c r="T5" s="161"/>
      <c r="U5" s="161"/>
      <c r="V5" s="161"/>
      <c r="W5" s="161"/>
      <c r="X5" s="161"/>
      <c r="Y5" s="161"/>
      <c r="Z5" s="161"/>
      <c r="AA5" s="161"/>
      <c r="AB5" s="161"/>
    </row>
    <row r="6" spans="1:28" s="78" customFormat="1" ht="14.4" customHeight="1" x14ac:dyDescent="0.3">
      <c r="A6" s="172" t="s">
        <v>157</v>
      </c>
      <c r="B6" s="172" t="s">
        <v>213</v>
      </c>
      <c r="C6" s="172" t="s">
        <v>214</v>
      </c>
      <c r="D6" s="172" t="s">
        <v>215</v>
      </c>
      <c r="E6" s="172" t="s">
        <v>216</v>
      </c>
      <c r="F6" s="172" t="s">
        <v>157</v>
      </c>
      <c r="G6" s="172" t="s">
        <v>222</v>
      </c>
      <c r="H6" s="172" t="s">
        <v>223</v>
      </c>
      <c r="I6" s="172" t="s">
        <v>224</v>
      </c>
      <c r="J6" s="172" t="s">
        <v>225</v>
      </c>
      <c r="K6" s="172" t="s">
        <v>226</v>
      </c>
      <c r="L6" s="172" t="s">
        <v>227</v>
      </c>
      <c r="M6" s="172" t="s">
        <v>221</v>
      </c>
      <c r="N6" s="173"/>
      <c r="O6" s="185" t="s">
        <v>378</v>
      </c>
      <c r="P6" s="186"/>
      <c r="Q6" s="173"/>
      <c r="R6" s="158" t="s">
        <v>1140</v>
      </c>
      <c r="S6" s="162"/>
      <c r="T6" s="162"/>
      <c r="U6" s="162"/>
      <c r="V6" s="162"/>
      <c r="W6" s="162"/>
      <c r="X6" s="162"/>
      <c r="Y6" s="162"/>
      <c r="Z6" s="162"/>
      <c r="AA6" s="161"/>
      <c r="AB6" s="161"/>
    </row>
    <row r="7" spans="1:28" s="78" customFormat="1" ht="14.4" customHeight="1" x14ac:dyDescent="0.3">
      <c r="A7" s="81" t="s">
        <v>228</v>
      </c>
      <c r="B7" s="174">
        <f>_xlfn.AGGREGATE(2,6,Calc!$H$3:$H$182)</f>
        <v>52</v>
      </c>
      <c r="C7" s="175">
        <f>IFERROR(_xlfn.AGGREGATE(1,6,Calc!$H$3:$H$182),"")</f>
        <v>3.8720192307692307</v>
      </c>
      <c r="D7" s="175">
        <f>IFERROR(_xlfn.AGGREGATE(7,6,Calc!$H$3:$H$182),"")</f>
        <v>0.11583600483046264</v>
      </c>
      <c r="E7" s="176">
        <f>IF(OR($C7="",$C7=0,$D7=""),"",$D7/$C7*100)</f>
        <v>2.9916174979185266</v>
      </c>
      <c r="F7" s="81" t="s">
        <v>228</v>
      </c>
      <c r="G7" s="174">
        <f>SUMPRODUCT(Calc!$K$3:$K$182,Calc!$D$3:$D$182)</f>
        <v>0</v>
      </c>
      <c r="H7" s="174">
        <f>SUMPRODUCT(Calc!$L$3:$L$182,Calc!$D$3:$D$182)</f>
        <v>0</v>
      </c>
      <c r="I7" s="174">
        <f>SUMPRODUCT(Calc!$M$3:$M$182,Calc!$D$3:$D$182)</f>
        <v>0</v>
      </c>
      <c r="J7" s="174">
        <f>SUMPRODUCT(Calc!$N$3:$N$182,Calc!$D$3:$D$182)</f>
        <v>0</v>
      </c>
      <c r="K7" s="174">
        <f>SUMPRODUCT(Calc!$O$3:$O$182,Calc!$D$3:$D$182)</f>
        <v>34</v>
      </c>
      <c r="L7" s="174">
        <f>SUM(G7:K7)</f>
        <v>34</v>
      </c>
      <c r="M7" s="174" t="str">
        <f>IF(OR(NOT(ISNUMBER($B7)),$B7=0),"sem dados no período",IF($L7&gt;0,"REPROVA — "&amp;$L7&amp;" violação(ões)","Sem violação"))</f>
        <v>REPROVA — 34 violação(ões)</v>
      </c>
      <c r="N7" s="173"/>
      <c r="O7" s="187" t="str">
        <f>_xlfn.XLOOKUP(selAnalito,Analitos!A4:A43,Analitos!S4:S43)</f>
        <v>CLIA</v>
      </c>
      <c r="P7" s="188"/>
      <c r="Q7" s="173"/>
      <c r="R7" s="179" t="s">
        <v>1141</v>
      </c>
      <c r="S7" s="179"/>
      <c r="T7" s="179"/>
      <c r="U7" s="179"/>
      <c r="V7" s="179"/>
      <c r="W7" s="179"/>
      <c r="X7" s="179"/>
      <c r="Y7" s="179"/>
      <c r="Z7" s="162"/>
      <c r="AA7" s="161"/>
      <c r="AB7" s="161"/>
    </row>
    <row r="8" spans="1:28" s="78" customFormat="1" ht="14.4" customHeight="1" x14ac:dyDescent="0.3">
      <c r="A8" s="81" t="s">
        <v>229</v>
      </c>
      <c r="B8" s="174">
        <f>_xlfn.AGGREGATE(2,6,Calc!$AD$3:$AD$182)</f>
        <v>52</v>
      </c>
      <c r="C8" s="175">
        <f>IFERROR(_xlfn.AGGREGATE(1,6,Calc!$AD$3:$AD$182),"")</f>
        <v>2.4661346153846155</v>
      </c>
      <c r="D8" s="175">
        <f>IFERROR(_xlfn.AGGREGATE(7,6,Calc!$AD$3:$AD$182),"")</f>
        <v>7.3926839522665599E-2</v>
      </c>
      <c r="E8" s="176">
        <f>IF(OR($C8="",$C8=0,$D8=""),"",$D8/$C8*100)</f>
        <v>2.9976806238185034</v>
      </c>
      <c r="F8" s="81" t="s">
        <v>229</v>
      </c>
      <c r="G8" s="174">
        <f>SUMPRODUCT(Calc!$AG$3:$AG$182,Calc!$D$3:$D$182)</f>
        <v>0</v>
      </c>
      <c r="H8" s="174">
        <f>SUMPRODUCT(Calc!$AH$3:$AH$182,Calc!$D$3:$D$182)</f>
        <v>0</v>
      </c>
      <c r="I8" s="174">
        <f>SUMPRODUCT(Calc!$AI$3:$AI$182,Calc!$D$3:$D$182)</f>
        <v>0</v>
      </c>
      <c r="J8" s="174">
        <f>SUMPRODUCT(Calc!$AJ$3:$AJ$182,Calc!$D$3:$D$182)</f>
        <v>0</v>
      </c>
      <c r="K8" s="174">
        <f>SUMPRODUCT(Calc!$AK$3:$AK$182,Calc!$D$3:$D$182)</f>
        <v>34</v>
      </c>
      <c r="L8" s="174">
        <f>SUM(G8:K8)</f>
        <v>34</v>
      </c>
      <c r="M8" s="174" t="str">
        <f>IF(OR(NOT(ISNUMBER($B8)),$B8=0),"sem dados no período",IF($L8&gt;0,"REPROVA — "&amp;$L8&amp;" violação(ões)","Sem violação"))</f>
        <v>REPROVA — 34 violação(ões)</v>
      </c>
      <c r="N8" s="173"/>
      <c r="O8" s="189"/>
      <c r="P8" s="190"/>
      <c r="Q8" s="173"/>
      <c r="R8" s="179"/>
      <c r="S8" s="179"/>
      <c r="T8" s="179"/>
      <c r="U8" s="179"/>
      <c r="V8" s="179"/>
      <c r="W8" s="179"/>
      <c r="X8" s="179"/>
      <c r="Y8" s="179"/>
      <c r="Z8" s="162"/>
      <c r="AA8" s="161"/>
      <c r="AB8" s="161"/>
    </row>
    <row r="9" spans="1:28" ht="14.4" customHeight="1" x14ac:dyDescent="0.3">
      <c r="A9" s="154"/>
      <c r="B9" s="155"/>
      <c r="C9" s="156"/>
      <c r="D9" s="156"/>
      <c r="E9" s="157"/>
      <c r="F9" s="154"/>
      <c r="G9" s="155"/>
      <c r="H9" s="155"/>
      <c r="I9" s="155"/>
      <c r="J9" s="155"/>
      <c r="K9" s="155"/>
      <c r="L9" s="155"/>
      <c r="M9" s="155"/>
      <c r="N9"/>
      <c r="O9" s="155"/>
      <c r="P9" s="155"/>
      <c r="Q9"/>
      <c r="R9" s="164" t="s">
        <v>157</v>
      </c>
      <c r="S9" s="164" t="s">
        <v>432</v>
      </c>
      <c r="T9" s="164" t="s">
        <v>405</v>
      </c>
      <c r="U9" s="164" t="s">
        <v>217</v>
      </c>
      <c r="V9" s="164" t="s">
        <v>220</v>
      </c>
      <c r="W9" s="164" t="s">
        <v>433</v>
      </c>
      <c r="X9" s="164" t="s">
        <v>1131</v>
      </c>
      <c r="Y9" s="164" t="s">
        <v>1132</v>
      </c>
      <c r="Z9" s="159"/>
    </row>
    <row r="10" spans="1:28" ht="14.4" customHeight="1" x14ac:dyDescent="0.3">
      <c r="R10" s="162" t="s">
        <v>228</v>
      </c>
      <c r="S10" s="165">
        <f>IFERROR(INDEX(Estatística!$F$14:$F$93,MATCH(selAnalito&amp;"|"&amp;1,Estatística!$AB$14:$AB$93,0)),"")</f>
        <v>2.8744039508522277</v>
      </c>
      <c r="T10" s="165">
        <f>IFERROR(INDEX(Estatística!$G$14:$G$93,MATCH(selAnalito&amp;"|"&amp;1,Estatística!$AB$14:$AB$93,0)),"")</f>
        <v>5.0395216179894247</v>
      </c>
      <c r="U10" s="165">
        <f>IFERROR(INDEX(Estatística!$K$14:$K$93,MATCH(selAnalito&amp;"|"&amp;1,Estatística!$AB$14:$AB$93,0)),"")</f>
        <v>10</v>
      </c>
      <c r="V10" s="165">
        <f>IFERROR(INDEX(Estatística!$L$14:$L$93,MATCH(selAnalito&amp;"|"&amp;1,Estatística!$AB$14:$AB$93,0)),"")</f>
        <v>1.7257415682788255</v>
      </c>
      <c r="W10" s="162" t="str">
        <f>IFERROR(INDEX(Estatística!$M$14:$M$93,MATCH(selAnalito&amp;"|"&amp;1,Estatística!$AB$14:$AB$93,0)),"")</f>
        <v>Desempenho inadequado</v>
      </c>
      <c r="X10" s="166">
        <f>IFERROR(INDEX(Estatística!$V$14:$V$93,MATCH(selAnalito&amp;"|"&amp;1,Estatística!$AB$14:$AB$93,0)),"")</f>
        <v>410701.21282278869</v>
      </c>
      <c r="Y10" s="167">
        <f>IFERROR(INDEX(Estatística!$W$14:$W$93,MATCH(selAnalito&amp;"|"&amp;1,Estatística!$AB$14:$AB$93,0)),"")</f>
        <v>58.929878717721131</v>
      </c>
      <c r="Z10" s="159"/>
    </row>
    <row r="11" spans="1:28" ht="14.4" customHeight="1" x14ac:dyDescent="0.3">
      <c r="J11"/>
      <c r="K11"/>
      <c r="L11"/>
      <c r="M11"/>
      <c r="N11"/>
      <c r="O11"/>
      <c r="P11"/>
      <c r="Q11"/>
      <c r="R11" s="162" t="s">
        <v>229</v>
      </c>
      <c r="S11" s="165">
        <f>IFERROR(INDEX(Estatística!$F$14:$F$93,MATCH(selAnalito&amp;"|"&amp;2,Estatística!$AB$14:$AB$93,0)),"")</f>
        <v>2.6542390537338192</v>
      </c>
      <c r="T11" s="165">
        <f>IFERROR(INDEX(Estatística!$G$14:$G$93,MATCH(selAnalito&amp;"|"&amp;2,Estatística!$AB$14:$AB$93,0)),"")</f>
        <v>5.0395216179894247</v>
      </c>
      <c r="U11" s="165">
        <f>IFERROR(INDEX(Estatística!$K$14:$K$93,MATCH(selAnalito&amp;"|"&amp;2,Estatística!$AB$14:$AB$93,0)),"")</f>
        <v>10</v>
      </c>
      <c r="V11" s="165">
        <f>IFERROR(INDEX(Estatística!$L$14:$L$93,MATCH(selAnalito&amp;"|"&amp;2,Estatística!$AB$14:$AB$93,0)),"")</f>
        <v>1.8688890795395696</v>
      </c>
      <c r="W11" s="162" t="str">
        <f>IFERROR(INDEX(Estatística!$M$14:$M$93,MATCH(selAnalito&amp;"|"&amp;2,Estatística!$AB$14:$AB$93,0)),"")</f>
        <v>Desempenho inadequado</v>
      </c>
      <c r="X11" s="166">
        <f>IFERROR(INDEX(Estatística!$V$14:$V$93,MATCH(selAnalito&amp;"|"&amp;2,Estatística!$AB$14:$AB$93,0)),"")</f>
        <v>356105.20173541451</v>
      </c>
      <c r="Y11" s="167">
        <f>IFERROR(INDEX(Estatística!$W$14:$W$93,MATCH(selAnalito&amp;"|"&amp;2,Estatística!$AB$14:$AB$93,0)),"")</f>
        <v>64.389479826458555</v>
      </c>
      <c r="Z11" s="159"/>
    </row>
    <row r="12" spans="1:28" ht="14.4" customHeight="1" x14ac:dyDescent="0.3">
      <c r="J12"/>
      <c r="K12"/>
      <c r="L12"/>
      <c r="M12"/>
      <c r="N12"/>
      <c r="O12"/>
      <c r="P12"/>
      <c r="Q12"/>
      <c r="R12" s="179" t="s">
        <v>1130</v>
      </c>
      <c r="S12" s="179"/>
      <c r="T12" s="179"/>
      <c r="U12" s="179"/>
      <c r="V12" s="179"/>
      <c r="W12" s="179"/>
      <c r="X12" s="179"/>
      <c r="Y12" s="179"/>
      <c r="Z12" s="159"/>
    </row>
    <row r="13" spans="1:28" ht="14.4" customHeight="1" x14ac:dyDescent="0.3">
      <c r="J13"/>
      <c r="K13"/>
      <c r="L13"/>
      <c r="M13"/>
      <c r="N13"/>
      <c r="O13"/>
      <c r="P13"/>
      <c r="Q13"/>
      <c r="R13" s="179"/>
      <c r="S13" s="179"/>
      <c r="T13" s="179"/>
      <c r="U13" s="179"/>
      <c r="V13" s="179"/>
      <c r="W13" s="179"/>
      <c r="X13" s="179"/>
      <c r="Y13" s="179"/>
      <c r="Z13" s="159"/>
    </row>
    <row r="14" spans="1:28" ht="14.4" customHeight="1" x14ac:dyDescent="0.3">
      <c r="J14"/>
      <c r="K14"/>
      <c r="L14"/>
      <c r="M14"/>
      <c r="N14"/>
      <c r="O14"/>
      <c r="P14"/>
      <c r="Q14"/>
      <c r="R14" s="179"/>
      <c r="S14" s="179"/>
      <c r="T14" s="179"/>
      <c r="U14" s="179"/>
      <c r="V14" s="179"/>
      <c r="W14" s="179"/>
      <c r="X14" s="179"/>
      <c r="Y14" s="179"/>
      <c r="Z14" s="159"/>
    </row>
    <row r="15" spans="1:28" ht="14.4" customHeight="1" x14ac:dyDescent="0.3">
      <c r="J15"/>
      <c r="K15"/>
      <c r="L15"/>
      <c r="M15"/>
      <c r="N15"/>
      <c r="O15"/>
      <c r="P15"/>
      <c r="Q15"/>
      <c r="R15" s="158" t="s">
        <v>1156</v>
      </c>
      <c r="S15" s="162"/>
      <c r="T15" s="162"/>
      <c r="U15" s="162"/>
      <c r="V15" s="162"/>
      <c r="W15" s="162"/>
      <c r="X15" s="162"/>
      <c r="Y15" s="162"/>
      <c r="Z15" s="159"/>
    </row>
    <row r="16" spans="1:28" ht="14.4" customHeight="1" x14ac:dyDescent="0.3">
      <c r="J16"/>
      <c r="K16"/>
      <c r="L16"/>
      <c r="M16"/>
      <c r="N16"/>
      <c r="O16"/>
      <c r="P16"/>
      <c r="Q16"/>
      <c r="R16" s="164" t="s">
        <v>157</v>
      </c>
      <c r="S16" s="164" t="s">
        <v>219</v>
      </c>
      <c r="T16" s="164" t="s">
        <v>217</v>
      </c>
      <c r="U16" s="164" t="s">
        <v>434</v>
      </c>
      <c r="V16" s="164" t="s">
        <v>428</v>
      </c>
      <c r="W16" s="164" t="s">
        <v>429</v>
      </c>
      <c r="X16" s="162"/>
      <c r="Y16" s="162"/>
      <c r="Z16" s="159"/>
    </row>
    <row r="17" spans="10:33" ht="14.4" customHeight="1" x14ac:dyDescent="0.3">
      <c r="J17"/>
      <c r="K17"/>
      <c r="L17"/>
      <c r="M17"/>
      <c r="N17"/>
      <c r="O17"/>
      <c r="P17"/>
      <c r="Q17"/>
      <c r="R17" s="162" t="s">
        <v>228</v>
      </c>
      <c r="S17" s="165">
        <f>IFERROR(INDEX(Estatística!$H$14:$H$93,MATCH(selAnalito&amp;"|"&amp;1,Estatística!$AB$14:$AB$93,0)),"")</f>
        <v>9.7822881368956001</v>
      </c>
      <c r="T17" s="165">
        <f>IFERROR(INDEX(Estatística!$K$14:$K$93,MATCH(selAnalito&amp;"|"&amp;1,Estatística!$AB$14:$AB$93,0)),"")</f>
        <v>10</v>
      </c>
      <c r="U17" s="165">
        <f>IFERROR(INDEX(Estatística!$N$14:$N$93,MATCH(selAnalito&amp;"|"&amp;1,Estatística!$AB$14:$AB$93,0)),"")</f>
        <v>0.21771186310439994</v>
      </c>
      <c r="V17" s="165">
        <f>IFERROR(INDEX(Estatística!$O$14:$O$93,MATCH(selAnalito&amp;"|"&amp;1,Estatística!$AB$14:$AB$93,0)),"")</f>
        <v>2.1771186310439994</v>
      </c>
      <c r="W17" s="162" t="str">
        <f>IFERROR(INDEX(Estatística!$P$14:$P$93,MATCH(selAnalito&amp;"|"&amp;1,Estatística!$AB$14:$AB$93,0)),"")</f>
        <v>Margem critica</v>
      </c>
      <c r="X17" s="162"/>
      <c r="Y17" s="162"/>
      <c r="Z17" s="159"/>
    </row>
    <row r="18" spans="10:33" ht="14.4" customHeight="1" x14ac:dyDescent="0.3">
      <c r="J18"/>
      <c r="K18"/>
      <c r="L18"/>
      <c r="M18"/>
      <c r="N18"/>
      <c r="O18"/>
      <c r="P18"/>
      <c r="Q18"/>
      <c r="R18" s="162" t="s">
        <v>229</v>
      </c>
      <c r="S18" s="165">
        <f>IFERROR(INDEX(Estatística!$H$14:$H$93,MATCH(selAnalito&amp;"|"&amp;2,Estatística!$AB$14:$AB$93,0)),"")</f>
        <v>9.419016056650225</v>
      </c>
      <c r="T18" s="165">
        <f>IFERROR(INDEX(Estatística!$K$14:$K$93,MATCH(selAnalito&amp;"|"&amp;2,Estatística!$AB$14:$AB$93,0)),"")</f>
        <v>10</v>
      </c>
      <c r="U18" s="165">
        <f>IFERROR(INDEX(Estatística!$N$14:$N$93,MATCH(selAnalito&amp;"|"&amp;2,Estatística!$AB$14:$AB$93,0)),"")</f>
        <v>0.58098394334977499</v>
      </c>
      <c r="V18" s="165">
        <f>IFERROR(INDEX(Estatística!$O$14:$O$93,MATCH(selAnalito&amp;"|"&amp;2,Estatística!$AB$14:$AB$93,0)),"")</f>
        <v>5.8098394334977499</v>
      </c>
      <c r="W18" s="162" t="str">
        <f>IFERROR(INDEX(Estatística!$P$14:$P$93,MATCH(selAnalito&amp;"|"&amp;2,Estatística!$AB$14:$AB$93,0)),"")</f>
        <v>Margem critica</v>
      </c>
      <c r="X18" s="162"/>
      <c r="Y18" s="162"/>
      <c r="Z18" s="159"/>
    </row>
    <row r="19" spans="10:33" ht="14.4" customHeight="1" x14ac:dyDescent="0.3">
      <c r="J19"/>
      <c r="K19"/>
      <c r="L19"/>
      <c r="M19"/>
      <c r="N19"/>
      <c r="O19"/>
      <c r="P19"/>
      <c r="Q19"/>
      <c r="X19" s="162"/>
      <c r="Y19" s="162"/>
      <c r="Z19" s="159"/>
    </row>
    <row r="20" spans="10:33" ht="14.4" customHeight="1" x14ac:dyDescent="0.3">
      <c r="J20"/>
      <c r="K20"/>
      <c r="L20"/>
      <c r="M20"/>
      <c r="N20"/>
      <c r="O20"/>
      <c r="P20"/>
      <c r="Q20"/>
      <c r="R20" s="158" t="s">
        <v>1142</v>
      </c>
      <c r="S20" s="162"/>
      <c r="T20" s="162"/>
      <c r="U20" s="162"/>
      <c r="V20" s="162"/>
      <c r="W20" s="162"/>
      <c r="X20" s="162"/>
    </row>
    <row r="21" spans="10:33" ht="14.4" customHeight="1" x14ac:dyDescent="0.3">
      <c r="J21"/>
      <c r="K21"/>
      <c r="L21"/>
      <c r="M21"/>
      <c r="N21"/>
      <c r="O21"/>
      <c r="P21"/>
      <c r="Q21"/>
      <c r="R21" s="164" t="s">
        <v>157</v>
      </c>
      <c r="S21" s="164" t="s">
        <v>220</v>
      </c>
      <c r="T21" s="164" t="s">
        <v>1143</v>
      </c>
      <c r="U21" s="164" t="s">
        <v>1144</v>
      </c>
      <c r="V21" s="164" t="s">
        <v>1145</v>
      </c>
      <c r="W21" s="164" t="s">
        <v>1146</v>
      </c>
      <c r="X21" s="164" t="s">
        <v>1147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62" t="s">
        <v>228</v>
      </c>
      <c r="S22" s="165">
        <f>IFERROR(INDEX(Estatística!$L$14:$L$93,MATCH(selAnalito&amp;"|"&amp;1,Estatística!$AB$14:$AB$93,0)),"")</f>
        <v>1.7257415682788255</v>
      </c>
      <c r="T22" s="162" t="str">
        <f>IFERROR(INDEX(Estatística!$X$14:$X$93,MATCH(selAnalito&amp;"|"&amp;1,Estatística!$AB$14:$AB$93,0)),"")</f>
        <v/>
      </c>
      <c r="U22" s="162" t="str">
        <f>IFERROR(INDEX(Estatística!$Y$14:$Y$93,MATCH(selAnalito&amp;"|"&amp;1,Estatística!$AB$14:$AB$93,0)),"")</f>
        <v/>
      </c>
      <c r="V22" s="162" t="str">
        <f>IFERROR(INDEX(Estatística!$Z$14:$Z$93,MATCH(selAnalito&amp;"|"&amp;1,Estatística!$AB$14:$AB$93,0)),"")</f>
        <v/>
      </c>
      <c r="W22" s="162" t="str">
        <f>IF(NOT(ISNUMBER($S22)),"",mPlanoQC.PlanoQC($S22,"FREQUENCIA"))</f>
        <v>CQ estatístico isolado pode ser insuficiente — investigar e melhorar o desempenho analítico ou reavaliar o método</v>
      </c>
      <c r="X22" s="162" t="str">
        <f>IFERROR(INDEX(Estatística!$AA$14:$AA$93,MATCH(selAnalito&amp;"|"&amp;1,Estatística!$AB$14:$AB$93,0)),"")</f>
        <v>não aplicável</v>
      </c>
    </row>
    <row r="23" spans="10:33" ht="14.4" customHeight="1" x14ac:dyDescent="0.3">
      <c r="J23"/>
      <c r="K23"/>
      <c r="L23"/>
      <c r="M23"/>
      <c r="N23"/>
      <c r="O23"/>
      <c r="P23"/>
      <c r="Q23"/>
      <c r="R23" s="162" t="s">
        <v>229</v>
      </c>
      <c r="S23" s="165">
        <f>IFERROR(INDEX(Estatística!$L$14:$L$93,MATCH(selAnalito&amp;"|"&amp;2,Estatística!$AB$14:$AB$93,0)),"")</f>
        <v>1.8688890795395696</v>
      </c>
      <c r="T23" s="162" t="str">
        <f>IFERROR(INDEX(Estatística!$X$14:$X$93,MATCH(selAnalito&amp;"|"&amp;2,Estatística!$AB$14:$AB$93,0)),"")</f>
        <v/>
      </c>
      <c r="U23" s="162" t="str">
        <f>IFERROR(INDEX(Estatística!$Y$14:$Y$93,MATCH(selAnalito&amp;"|"&amp;2,Estatística!$AB$14:$AB$93,0)),"")</f>
        <v/>
      </c>
      <c r="V23" s="162" t="str">
        <f>IFERROR(INDEX(Estatística!$Z$14:$Z$93,MATCH(selAnalito&amp;"|"&amp;2,Estatística!$AB$14:$AB$93,0)),"")</f>
        <v/>
      </c>
      <c r="W23" s="162" t="str">
        <f>IF(NOT(ISNUMBER($S23)),"",mPlanoQC.PlanoQC($S23,"FREQUENCIA"))</f>
        <v>CQ estatístico isolado pode ser insuficiente — investigar e melhorar o desempenho analítico ou reavaliar o método</v>
      </c>
      <c r="X23" s="162" t="str">
        <f>IFERROR(INDEX(Estatística!$AA$14:$AA$93,MATCH(selAnalito&amp;"|"&amp;2,Estatística!$AB$14:$AB$93,0)),"")</f>
        <v>não aplicável</v>
      </c>
    </row>
    <row r="24" spans="10:33" ht="14.4" customHeight="1" x14ac:dyDescent="0.3">
      <c r="J24"/>
      <c r="K24"/>
      <c r="L24"/>
      <c r="M24"/>
      <c r="N24"/>
      <c r="O24"/>
      <c r="P24"/>
      <c r="Q24"/>
      <c r="R24" s="168"/>
      <c r="S24" s="162"/>
      <c r="T24" s="162"/>
      <c r="U24" s="162"/>
      <c r="V24" s="162"/>
      <c r="W24" s="162"/>
      <c r="X24" s="162"/>
      <c r="Y24" s="162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68"/>
      <c r="S25" s="162"/>
      <c r="T25" s="162"/>
      <c r="U25" s="162"/>
      <c r="V25" s="162"/>
      <c r="W25" s="162"/>
      <c r="X25" s="162"/>
      <c r="Y25" s="162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64" t="s">
        <v>220</v>
      </c>
      <c r="S26" s="164" t="s">
        <v>1131</v>
      </c>
      <c r="T26" s="164" t="s">
        <v>1148</v>
      </c>
      <c r="U26" s="158" t="s">
        <v>1149</v>
      </c>
      <c r="V26" s="162"/>
      <c r="W26" s="162"/>
      <c r="X26" s="162"/>
      <c r="Y26" s="162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69">
        <v>6</v>
      </c>
      <c r="S27" s="166">
        <f t="shared" ref="S27:S35" si="0">mPlanoQC.DPMdoSigma($R27)</f>
        <v>3.3976731247387093</v>
      </c>
      <c r="T27" s="170">
        <f t="shared" ref="T27:T35" si="1">mPlanoQC.RendimentoDoSigma($R27)</f>
        <v>99.999660232687532</v>
      </c>
      <c r="U27" s="179" t="s">
        <v>1150</v>
      </c>
      <c r="V27" s="179"/>
      <c r="W27" s="179"/>
      <c r="X27" s="179"/>
    </row>
    <row r="28" spans="10:33" ht="14.4" customHeight="1" x14ac:dyDescent="0.3">
      <c r="J28"/>
      <c r="K28"/>
      <c r="L28"/>
      <c r="M28"/>
      <c r="N28"/>
      <c r="O28"/>
      <c r="P28"/>
      <c r="Q28"/>
      <c r="R28" s="169">
        <v>5.5</v>
      </c>
      <c r="S28" s="166">
        <f t="shared" si="0"/>
        <v>31.671241833119979</v>
      </c>
      <c r="T28" s="170">
        <f t="shared" si="1"/>
        <v>99.996832875816693</v>
      </c>
      <c r="U28" s="179"/>
      <c r="V28" s="179"/>
      <c r="W28" s="179"/>
      <c r="X28" s="179"/>
      <c r="Z28" s="159"/>
    </row>
    <row r="29" spans="10:33" ht="14.4" customHeight="1" x14ac:dyDescent="0.3">
      <c r="J29"/>
      <c r="K29"/>
      <c r="L29"/>
      <c r="M29"/>
      <c r="N29"/>
      <c r="O29"/>
      <c r="P29"/>
      <c r="Q29"/>
      <c r="R29" s="169">
        <v>5</v>
      </c>
      <c r="S29" s="166">
        <f t="shared" si="0"/>
        <v>232.62907903554009</v>
      </c>
      <c r="T29" s="170">
        <f t="shared" si="1"/>
        <v>99.976737092096442</v>
      </c>
      <c r="U29" s="179"/>
      <c r="V29" s="179"/>
      <c r="W29" s="179"/>
      <c r="X29" s="179"/>
      <c r="Z29" s="159"/>
    </row>
    <row r="30" spans="10:33" ht="14.4" customHeight="1" x14ac:dyDescent="0.3">
      <c r="J30"/>
      <c r="K30"/>
      <c r="L30"/>
      <c r="M30"/>
      <c r="N30"/>
      <c r="O30"/>
      <c r="P30"/>
      <c r="Q30"/>
      <c r="R30" s="169">
        <v>4.5</v>
      </c>
      <c r="S30" s="166">
        <f t="shared" si="0"/>
        <v>1349.8980316301036</v>
      </c>
      <c r="T30" s="170">
        <f t="shared" si="1"/>
        <v>99.865010196836991</v>
      </c>
      <c r="U30" s="171" t="s">
        <v>1151</v>
      </c>
      <c r="V30" s="162"/>
      <c r="W30" s="162"/>
      <c r="X30" s="162"/>
      <c r="Z30" s="159"/>
    </row>
    <row r="31" spans="10:33" ht="14.4" customHeight="1" x14ac:dyDescent="0.3">
      <c r="J31"/>
      <c r="K31"/>
      <c r="L31"/>
      <c r="M31"/>
      <c r="N31"/>
      <c r="O31"/>
      <c r="P31"/>
      <c r="Q31"/>
      <c r="R31" s="169">
        <v>4</v>
      </c>
      <c r="S31" s="166">
        <f t="shared" si="0"/>
        <v>6209.6653257761591</v>
      </c>
      <c r="T31" s="170">
        <f t="shared" si="1"/>
        <v>99.379033467422389</v>
      </c>
      <c r="U31" s="171" t="s">
        <v>1152</v>
      </c>
      <c r="V31" s="162"/>
      <c r="W31" s="162"/>
      <c r="X31" s="162"/>
      <c r="Z31" s="159"/>
    </row>
    <row r="32" spans="10:33" ht="14.4" customHeight="1" x14ac:dyDescent="0.3">
      <c r="J32"/>
      <c r="K32"/>
      <c r="L32"/>
      <c r="M32"/>
      <c r="N32"/>
      <c r="O32"/>
      <c r="P32"/>
      <c r="Q32"/>
      <c r="R32" s="169">
        <v>3.5</v>
      </c>
      <c r="S32" s="166">
        <f t="shared" si="0"/>
        <v>22750.131948179209</v>
      </c>
      <c r="T32" s="170">
        <f t="shared" si="1"/>
        <v>97.724986805182084</v>
      </c>
      <c r="U32" s="171" t="s">
        <v>1153</v>
      </c>
      <c r="V32" s="162"/>
      <c r="W32" s="162"/>
      <c r="X32" s="162"/>
      <c r="Z32" s="159"/>
    </row>
    <row r="33" spans="9:26" ht="14.4" customHeight="1" x14ac:dyDescent="0.3">
      <c r="J33"/>
      <c r="K33"/>
      <c r="L33"/>
      <c r="M33"/>
      <c r="N33"/>
      <c r="O33"/>
      <c r="P33"/>
      <c r="Q33"/>
      <c r="R33" s="169">
        <v>3</v>
      </c>
      <c r="S33" s="166">
        <f t="shared" si="0"/>
        <v>66807.201268858087</v>
      </c>
      <c r="T33" s="170">
        <f t="shared" si="1"/>
        <v>93.319279873114198</v>
      </c>
      <c r="U33" s="171" t="s">
        <v>1154</v>
      </c>
      <c r="V33" s="162"/>
      <c r="W33" s="162"/>
      <c r="X33" s="162"/>
      <c r="Z33" s="159"/>
    </row>
    <row r="34" spans="9:26" ht="14.4" customHeight="1" x14ac:dyDescent="0.3">
      <c r="J34"/>
      <c r="K34"/>
      <c r="L34"/>
      <c r="M34"/>
      <c r="N34"/>
      <c r="O34"/>
      <c r="P34"/>
      <c r="Q34"/>
      <c r="R34" s="169">
        <v>2.5</v>
      </c>
      <c r="S34" s="166">
        <f t="shared" si="0"/>
        <v>158655.25393145697</v>
      </c>
      <c r="T34" s="170">
        <f t="shared" si="1"/>
        <v>84.134474606854297</v>
      </c>
      <c r="U34" s="162"/>
      <c r="V34" s="163"/>
      <c r="Z34" s="159"/>
    </row>
    <row r="35" spans="9:26" ht="14.4" customHeight="1" x14ac:dyDescent="0.3">
      <c r="J35"/>
      <c r="K35"/>
      <c r="L35"/>
      <c r="M35"/>
      <c r="N35"/>
      <c r="O35"/>
      <c r="P35"/>
      <c r="Q35"/>
      <c r="R35" s="169">
        <v>2</v>
      </c>
      <c r="S35" s="166">
        <f t="shared" si="0"/>
        <v>308537.5387259869</v>
      </c>
      <c r="T35" s="170">
        <f t="shared" si="1"/>
        <v>69.146246127401312</v>
      </c>
      <c r="U35" s="162"/>
      <c r="V35" s="163"/>
      <c r="Z35" s="159"/>
    </row>
    <row r="36" spans="9:26" ht="14.4" customHeight="1" x14ac:dyDescent="0.3">
      <c r="J36"/>
      <c r="K36"/>
      <c r="L36"/>
      <c r="M36"/>
      <c r="N36"/>
      <c r="O36"/>
      <c r="P36"/>
      <c r="Q36"/>
      <c r="R36" s="162"/>
      <c r="S36" s="162"/>
      <c r="T36" s="162"/>
      <c r="U36" s="162"/>
      <c r="V36" s="162"/>
      <c r="Z36" s="159"/>
    </row>
    <row r="37" spans="9:26" ht="14.4" customHeight="1" x14ac:dyDescent="0.3">
      <c r="J37"/>
      <c r="K37"/>
      <c r="L37"/>
      <c r="M37"/>
      <c r="N37"/>
      <c r="O37"/>
      <c r="P37"/>
      <c r="Q37"/>
      <c r="R37" s="162"/>
      <c r="S37" s="162"/>
      <c r="T37" s="162"/>
      <c r="U37" s="162"/>
      <c r="V37" s="162"/>
      <c r="Z37" s="159"/>
    </row>
    <row r="38" spans="9:26" ht="14.4" customHeight="1" x14ac:dyDescent="0.3">
      <c r="I38"/>
      <c r="J38"/>
      <c r="K38"/>
      <c r="L38"/>
      <c r="M38"/>
      <c r="V38" s="162"/>
      <c r="Z38" s="159"/>
    </row>
    <row r="39" spans="9:26" ht="14.4" customHeight="1" x14ac:dyDescent="0.3">
      <c r="I39"/>
      <c r="J39"/>
      <c r="K39"/>
      <c r="L39"/>
      <c r="M39"/>
      <c r="V39" s="162"/>
      <c r="Z39" s="159"/>
    </row>
    <row r="40" spans="9:26" ht="14.4" customHeight="1" x14ac:dyDescent="0.3">
      <c r="I40"/>
      <c r="W40" s="162"/>
      <c r="X40" s="162"/>
      <c r="Y40" s="162"/>
      <c r="Z40" s="159"/>
    </row>
    <row r="41" spans="9:26" ht="14.4" customHeight="1" x14ac:dyDescent="0.3">
      <c r="I41"/>
      <c r="W41" s="162"/>
      <c r="X41" s="162"/>
      <c r="Y41" s="162"/>
      <c r="Z41" s="159"/>
    </row>
    <row r="42" spans="9:26" ht="14.4" customHeight="1" x14ac:dyDescent="0.3">
      <c r="I42"/>
      <c r="W42" s="162"/>
      <c r="X42" s="162"/>
      <c r="Y42" s="162"/>
      <c r="Z42" s="159"/>
    </row>
    <row r="43" spans="9:26" ht="14.4" customHeight="1" x14ac:dyDescent="0.3">
      <c r="I43"/>
      <c r="W43" s="162"/>
      <c r="X43" s="162"/>
      <c r="Y43" s="162"/>
      <c r="Z43" s="159"/>
    </row>
    <row r="44" spans="9:26" ht="14.4" customHeight="1" x14ac:dyDescent="0.3">
      <c r="V44" s="162"/>
      <c r="W44" s="162"/>
      <c r="X44" s="162"/>
      <c r="Y44" s="162"/>
      <c r="Z44" s="159"/>
    </row>
    <row r="45" spans="9:26" ht="14.4" customHeight="1" x14ac:dyDescent="0.3">
      <c r="V45" s="162"/>
      <c r="W45" s="162"/>
      <c r="X45" s="162"/>
      <c r="Y45" s="162"/>
      <c r="Z45" s="159"/>
    </row>
    <row r="46" spans="9:26" ht="14.4" customHeight="1" x14ac:dyDescent="0.3">
      <c r="V46" s="162"/>
      <c r="W46" s="162"/>
      <c r="X46" s="162"/>
      <c r="Y46" s="162"/>
      <c r="Z46" s="159"/>
    </row>
    <row r="47" spans="9:26" ht="14.4" customHeight="1" x14ac:dyDescent="0.3">
      <c r="Q47"/>
      <c r="V47" s="162"/>
      <c r="W47" s="162"/>
      <c r="X47" s="162"/>
      <c r="Y47" s="162"/>
      <c r="Z47" s="159"/>
    </row>
    <row r="48" spans="9:26" ht="14.4" customHeight="1" x14ac:dyDescent="0.3">
      <c r="Q48"/>
      <c r="R48" s="162"/>
      <c r="S48" s="162"/>
      <c r="T48" s="162"/>
      <c r="U48" s="162"/>
      <c r="V48" s="162"/>
      <c r="W48" s="162"/>
      <c r="X48" s="162"/>
      <c r="Y48" s="162"/>
      <c r="Z48" s="159"/>
    </row>
    <row r="49" spans="14:26" ht="14.4" customHeight="1" x14ac:dyDescent="0.3">
      <c r="Q49"/>
      <c r="R49" s="162"/>
      <c r="S49" s="162"/>
      <c r="T49" s="162"/>
      <c r="U49" s="162"/>
      <c r="V49" s="162"/>
      <c r="W49" s="162"/>
      <c r="X49" s="162"/>
      <c r="Y49" s="162"/>
      <c r="Z49" s="159"/>
    </row>
    <row r="50" spans="14:26" ht="14.4" customHeight="1" x14ac:dyDescent="0.3">
      <c r="Q50"/>
      <c r="R50" s="162"/>
      <c r="S50" s="162"/>
      <c r="T50" s="162"/>
      <c r="U50" s="162"/>
      <c r="V50" s="162"/>
      <c r="W50" s="162"/>
      <c r="X50" s="162"/>
      <c r="Y50" s="162"/>
      <c r="Z50" s="159"/>
    </row>
    <row r="51" spans="14:26" ht="14.4" customHeight="1" x14ac:dyDescent="0.3">
      <c r="Q51"/>
      <c r="R51" s="162"/>
      <c r="S51" s="162"/>
      <c r="T51" s="162"/>
      <c r="U51" s="162"/>
      <c r="V51" s="162"/>
      <c r="W51" s="162"/>
      <c r="X51" s="162"/>
      <c r="Y51" s="162"/>
      <c r="Z51" s="159"/>
    </row>
    <row r="52" spans="14:26" ht="14.4" customHeight="1" x14ac:dyDescent="0.3">
      <c r="N52"/>
      <c r="O52"/>
      <c r="P52"/>
      <c r="Q52"/>
      <c r="R52" s="162"/>
      <c r="S52" s="162"/>
      <c r="T52" s="162"/>
      <c r="U52" s="162"/>
      <c r="V52" s="162"/>
      <c r="W52" s="162"/>
      <c r="X52" s="162"/>
      <c r="Y52" s="162"/>
      <c r="Z52" s="159"/>
    </row>
    <row r="53" spans="14:26" ht="14.4" customHeight="1" x14ac:dyDescent="0.3">
      <c r="P53"/>
      <c r="Q53"/>
      <c r="R53" s="162"/>
      <c r="S53" s="162"/>
      <c r="T53" s="162"/>
      <c r="U53" s="162"/>
      <c r="V53" s="162"/>
      <c r="W53" s="162"/>
      <c r="X53" s="162"/>
      <c r="Y53" s="162"/>
      <c r="Z53" s="159"/>
    </row>
    <row r="54" spans="14:26" ht="15" customHeight="1" x14ac:dyDescent="0.3">
      <c r="P54"/>
      <c r="Q54"/>
      <c r="R54" s="162"/>
      <c r="S54" s="162"/>
      <c r="T54" s="162"/>
      <c r="U54" s="162"/>
      <c r="V54" s="162"/>
      <c r="W54" s="162"/>
      <c r="X54" s="162"/>
      <c r="Y54" s="162"/>
      <c r="Z54" s="159"/>
    </row>
    <row r="55" spans="14:26" ht="15" customHeight="1" x14ac:dyDescent="0.3">
      <c r="P55"/>
      <c r="Q55"/>
      <c r="R55" s="162"/>
      <c r="S55" s="162"/>
      <c r="T55" s="162"/>
      <c r="U55" s="162"/>
      <c r="V55" s="162"/>
      <c r="W55" s="162"/>
      <c r="X55" s="162"/>
      <c r="Y55" s="162"/>
      <c r="Z55" s="159"/>
    </row>
    <row r="56" spans="14:26" ht="15" customHeight="1" x14ac:dyDescent="0.3">
      <c r="P56"/>
      <c r="Q56"/>
      <c r="R56" s="162"/>
      <c r="S56" s="162"/>
      <c r="T56" s="162"/>
      <c r="U56" s="162"/>
      <c r="V56" s="162"/>
      <c r="W56" s="162"/>
      <c r="X56" s="162"/>
      <c r="Y56" s="162"/>
      <c r="Z56" s="159"/>
    </row>
    <row r="57" spans="14:26" ht="15" customHeight="1" x14ac:dyDescent="0.3">
      <c r="N57"/>
      <c r="O57"/>
      <c r="P57"/>
      <c r="Q57"/>
      <c r="R57" s="162"/>
      <c r="S57" s="162"/>
      <c r="T57" s="162"/>
      <c r="U57" s="162"/>
      <c r="V57" s="162"/>
      <c r="W57" s="162"/>
      <c r="X57" s="162"/>
      <c r="Y57" s="162"/>
      <c r="Z57" s="159"/>
    </row>
    <row r="58" spans="14:26" ht="15" customHeight="1" x14ac:dyDescent="0.3">
      <c r="P58"/>
      <c r="Q58"/>
      <c r="R58" s="162"/>
      <c r="S58" s="162"/>
      <c r="T58" s="162"/>
      <c r="U58" s="162"/>
      <c r="V58" s="162"/>
      <c r="W58" s="162"/>
      <c r="X58" s="162"/>
      <c r="Y58" s="162"/>
      <c r="Z58" s="159"/>
    </row>
    <row r="59" spans="14:26" ht="15" customHeight="1" x14ac:dyDescent="0.3">
      <c r="P59"/>
      <c r="Q59"/>
      <c r="R59" s="162"/>
      <c r="S59" s="162"/>
      <c r="T59" s="162"/>
      <c r="U59" s="162"/>
      <c r="V59" s="162"/>
      <c r="W59" s="162"/>
      <c r="X59" s="162"/>
      <c r="Y59" s="162"/>
      <c r="Z59" s="159"/>
    </row>
    <row r="60" spans="14:26" ht="15" customHeight="1" x14ac:dyDescent="0.3">
      <c r="P60"/>
      <c r="Q60"/>
      <c r="R60" s="162"/>
      <c r="S60" s="162"/>
      <c r="T60" s="162"/>
      <c r="U60" s="162"/>
      <c r="V60" s="162"/>
      <c r="W60" s="162"/>
      <c r="X60" s="162"/>
      <c r="Y60" s="162"/>
      <c r="Z60" s="159"/>
    </row>
    <row r="61" spans="14:26" ht="15" customHeight="1" x14ac:dyDescent="0.3">
      <c r="P61"/>
      <c r="Q61"/>
      <c r="R61" s="162"/>
      <c r="S61" s="162"/>
      <c r="T61" s="162"/>
      <c r="U61" s="162"/>
      <c r="V61" s="162"/>
      <c r="W61" s="162"/>
      <c r="X61" s="162"/>
      <c r="Y61" s="162"/>
      <c r="Z61" s="159"/>
    </row>
    <row r="62" spans="14:26" ht="15" customHeight="1" x14ac:dyDescent="0.3">
      <c r="P62"/>
      <c r="Q62"/>
      <c r="R62" s="162"/>
      <c r="S62" s="162"/>
      <c r="T62" s="162"/>
      <c r="U62" s="162"/>
      <c r="V62" s="162"/>
      <c r="W62" s="162"/>
      <c r="X62" s="162"/>
      <c r="Y62" s="162"/>
      <c r="Z62" s="159"/>
    </row>
    <row r="63" spans="14:26" ht="15" customHeight="1" x14ac:dyDescent="0.3">
      <c r="P63"/>
      <c r="Q63"/>
      <c r="R63" s="162"/>
      <c r="S63" s="162"/>
      <c r="T63" s="162"/>
      <c r="U63" s="162"/>
      <c r="V63" s="162"/>
      <c r="W63" s="162"/>
      <c r="X63" s="162"/>
      <c r="Y63" s="162"/>
      <c r="Z63" s="159"/>
    </row>
    <row r="64" spans="14:26" ht="15" customHeight="1" x14ac:dyDescent="0.3">
      <c r="P64"/>
      <c r="Q64"/>
      <c r="R64" s="162"/>
      <c r="S64" s="162"/>
      <c r="T64" s="162"/>
      <c r="U64" s="162"/>
      <c r="V64" s="162"/>
      <c r="W64" s="162"/>
      <c r="X64" s="162"/>
      <c r="Y64" s="162"/>
      <c r="Z64" s="159"/>
    </row>
    <row r="65" spans="16:26" ht="15" customHeight="1" x14ac:dyDescent="0.3">
      <c r="P65"/>
      <c r="Q65"/>
      <c r="R65" s="162"/>
      <c r="S65" s="162"/>
      <c r="T65" s="162"/>
      <c r="U65" s="162"/>
      <c r="V65" s="162"/>
      <c r="W65" s="162"/>
      <c r="X65" s="162"/>
      <c r="Y65" s="162"/>
      <c r="Z65" s="159"/>
    </row>
    <row r="66" spans="16:26" ht="15" customHeight="1" x14ac:dyDescent="0.3">
      <c r="P66"/>
      <c r="Q66"/>
      <c r="R66" s="162"/>
      <c r="S66" s="162"/>
      <c r="T66" s="162"/>
      <c r="U66" s="162"/>
      <c r="V66" s="162"/>
      <c r="W66" s="162"/>
      <c r="X66" s="162"/>
      <c r="Y66" s="162"/>
      <c r="Z66" s="159"/>
    </row>
    <row r="67" spans="16:26" ht="15" customHeight="1" x14ac:dyDescent="0.3">
      <c r="P67"/>
      <c r="Q67"/>
      <c r="R67" s="162"/>
      <c r="S67" s="162"/>
      <c r="T67" s="162"/>
      <c r="U67" s="162"/>
      <c r="V67" s="162"/>
      <c r="W67" s="162"/>
      <c r="X67" s="162"/>
      <c r="Y67" s="162"/>
      <c r="Z67" s="159"/>
    </row>
    <row r="68" spans="16:26" ht="15" customHeight="1" x14ac:dyDescent="0.3">
      <c r="P68"/>
      <c r="Q68"/>
      <c r="R68" s="162"/>
      <c r="S68" s="162"/>
      <c r="T68" s="162"/>
      <c r="U68" s="162"/>
      <c r="V68" s="162"/>
      <c r="W68" s="162"/>
      <c r="X68" s="162"/>
      <c r="Y68" s="162"/>
      <c r="Z68" s="159"/>
    </row>
    <row r="69" spans="16:26" ht="15" customHeight="1" x14ac:dyDescent="0.3">
      <c r="P69"/>
      <c r="Q69"/>
      <c r="R69" s="162"/>
      <c r="S69" s="162"/>
      <c r="T69" s="162"/>
      <c r="U69" s="162"/>
      <c r="V69" s="162"/>
      <c r="W69" s="162"/>
      <c r="X69" s="162"/>
      <c r="Y69" s="162"/>
      <c r="Z69" s="159"/>
    </row>
    <row r="70" spans="16:26" ht="15" customHeight="1" x14ac:dyDescent="0.3">
      <c r="P70"/>
      <c r="Q70"/>
      <c r="R70" s="162"/>
      <c r="S70" s="162"/>
      <c r="T70" s="162"/>
      <c r="U70" s="162"/>
      <c r="V70" s="162"/>
      <c r="W70" s="162"/>
      <c r="X70" s="162"/>
      <c r="Y70" s="162"/>
      <c r="Z70" s="159"/>
    </row>
    <row r="71" spans="16:26" ht="15" customHeight="1" x14ac:dyDescent="0.3">
      <c r="P71"/>
      <c r="Q71"/>
      <c r="R71" s="162"/>
      <c r="S71" s="162"/>
      <c r="T71" s="162"/>
      <c r="U71" s="162"/>
      <c r="V71" s="162"/>
      <c r="W71" s="162"/>
      <c r="X71" s="162"/>
      <c r="Y71" s="162"/>
      <c r="Z71" s="159"/>
    </row>
    <row r="72" spans="16:26" ht="15" customHeight="1" x14ac:dyDescent="0.3">
      <c r="P72"/>
      <c r="Q72"/>
      <c r="R72" s="162"/>
      <c r="S72" s="162"/>
      <c r="T72" s="162"/>
      <c r="U72" s="162"/>
      <c r="V72" s="162"/>
      <c r="W72" s="162"/>
      <c r="X72" s="162"/>
      <c r="Y72" s="162"/>
      <c r="Z72" s="159"/>
    </row>
    <row r="73" spans="16:26" ht="15" customHeight="1" x14ac:dyDescent="0.3">
      <c r="P73"/>
      <c r="Q73"/>
      <c r="R73" s="162"/>
      <c r="S73" s="162"/>
      <c r="T73" s="162"/>
      <c r="U73" s="162"/>
      <c r="V73" s="162"/>
      <c r="W73" s="162"/>
      <c r="X73" s="162"/>
      <c r="Y73" s="162"/>
      <c r="Z73" s="159"/>
    </row>
    <row r="74" spans="16:26" ht="15" customHeight="1" x14ac:dyDescent="0.3">
      <c r="P74"/>
      <c r="Q74"/>
      <c r="R74" s="162"/>
      <c r="S74" s="162"/>
      <c r="T74" s="162"/>
      <c r="U74" s="162"/>
      <c r="V74" s="162"/>
      <c r="W74" s="162"/>
      <c r="X74" s="162"/>
      <c r="Y74" s="162"/>
      <c r="Z74" s="159"/>
    </row>
    <row r="75" spans="16:26" ht="15" customHeight="1" x14ac:dyDescent="0.3">
      <c r="P75"/>
      <c r="Q75"/>
      <c r="R75" s="162"/>
      <c r="S75" s="162"/>
      <c r="T75" s="162"/>
      <c r="U75" s="162"/>
      <c r="V75" s="162"/>
      <c r="W75" s="162"/>
      <c r="X75" s="162"/>
      <c r="Y75" s="162"/>
      <c r="Z75" s="159"/>
    </row>
    <row r="76" spans="16:26" ht="15" customHeight="1" x14ac:dyDescent="0.3">
      <c r="P76"/>
      <c r="Q76"/>
      <c r="R76" s="162"/>
      <c r="S76" s="162"/>
      <c r="T76" s="162"/>
      <c r="U76" s="162"/>
      <c r="V76" s="162"/>
      <c r="W76" s="162"/>
      <c r="X76" s="162"/>
      <c r="Y76" s="162"/>
      <c r="Z76" s="159"/>
    </row>
    <row r="77" spans="16:26" ht="15" customHeight="1" x14ac:dyDescent="0.3">
      <c r="P77"/>
      <c r="Q77"/>
      <c r="R77" s="162"/>
      <c r="S77" s="162"/>
      <c r="T77" s="162"/>
      <c r="U77" s="162"/>
      <c r="V77" s="162"/>
      <c r="W77" s="162"/>
      <c r="X77" s="162"/>
      <c r="Y77" s="162"/>
      <c r="Z77" s="159"/>
    </row>
    <row r="78" spans="16:26" ht="15" customHeight="1" x14ac:dyDescent="0.3">
      <c r="P78"/>
      <c r="Q78"/>
      <c r="R78" s="162"/>
      <c r="S78" s="162"/>
      <c r="T78" s="162"/>
      <c r="U78" s="162"/>
      <c r="V78" s="162"/>
      <c r="W78" s="162"/>
      <c r="X78" s="162"/>
      <c r="Y78" s="162"/>
      <c r="Z78" s="159"/>
    </row>
    <row r="79" spans="16:26" ht="15" customHeight="1" x14ac:dyDescent="0.3">
      <c r="P79"/>
      <c r="Q79"/>
      <c r="R79" s="162"/>
      <c r="S79" s="162"/>
      <c r="T79" s="162"/>
      <c r="U79" s="162"/>
      <c r="V79" s="162"/>
      <c r="W79" s="162"/>
      <c r="X79" s="162"/>
      <c r="Y79" s="162"/>
      <c r="Z79" s="159"/>
    </row>
    <row r="80" spans="16:26" ht="15" customHeight="1" x14ac:dyDescent="0.3">
      <c r="P80"/>
      <c r="Q80"/>
      <c r="R80" s="162"/>
      <c r="S80" s="162"/>
      <c r="T80" s="162"/>
      <c r="U80" s="162"/>
      <c r="V80" s="162"/>
      <c r="W80" s="162"/>
      <c r="X80" s="162"/>
      <c r="Y80" s="162"/>
      <c r="Z80" s="159"/>
    </row>
    <row r="81" spans="10:26" ht="15" customHeight="1" x14ac:dyDescent="0.3">
      <c r="P81"/>
      <c r="Q81"/>
      <c r="R81" s="162"/>
      <c r="S81" s="162"/>
      <c r="T81" s="162"/>
      <c r="U81" s="162"/>
      <c r="V81" s="162"/>
      <c r="W81" s="162"/>
      <c r="X81" s="162"/>
      <c r="Y81" s="162"/>
      <c r="Z81" s="159"/>
    </row>
    <row r="82" spans="10:26" ht="15" customHeight="1" x14ac:dyDescent="0.3">
      <c r="J82"/>
      <c r="K82"/>
      <c r="L82"/>
      <c r="M82"/>
      <c r="N82"/>
      <c r="O82"/>
      <c r="P82"/>
      <c r="Q82"/>
      <c r="R82" s="162"/>
      <c r="S82" s="162"/>
      <c r="T82" s="162"/>
      <c r="U82" s="162"/>
      <c r="V82" s="162"/>
      <c r="W82" s="162"/>
      <c r="X82" s="162"/>
      <c r="Y82" s="162"/>
      <c r="Z82" s="159"/>
    </row>
    <row r="83" spans="10:26" ht="15" customHeight="1" x14ac:dyDescent="0.3">
      <c r="J83"/>
      <c r="K83"/>
      <c r="L83"/>
      <c r="M83"/>
      <c r="N83"/>
      <c r="O83"/>
      <c r="P83"/>
      <c r="Q83"/>
      <c r="R83" s="162"/>
      <c r="S83" s="162"/>
      <c r="T83" s="162"/>
      <c r="U83" s="162"/>
      <c r="V83" s="162"/>
      <c r="W83" s="162"/>
      <c r="X83" s="162"/>
      <c r="Y83" s="162"/>
      <c r="Z83" s="159"/>
    </row>
    <row r="84" spans="10:26" ht="15" customHeight="1" x14ac:dyDescent="0.3">
      <c r="J84"/>
      <c r="K84"/>
      <c r="L84"/>
      <c r="M84"/>
      <c r="N84"/>
      <c r="O84"/>
      <c r="P84"/>
      <c r="Q84"/>
      <c r="R84" s="162"/>
      <c r="S84" s="162"/>
      <c r="T84" s="162"/>
      <c r="U84" s="162"/>
      <c r="V84" s="162"/>
      <c r="W84" s="162"/>
      <c r="X84" s="162"/>
      <c r="Y84" s="162"/>
      <c r="Z84" s="159"/>
    </row>
    <row r="85" spans="10:26" ht="15" customHeight="1" x14ac:dyDescent="0.3">
      <c r="J85"/>
      <c r="K85"/>
      <c r="L85"/>
      <c r="M85"/>
      <c r="N85"/>
      <c r="O85"/>
      <c r="P85"/>
      <c r="Q85"/>
      <c r="R85" s="162"/>
      <c r="S85" s="162"/>
      <c r="T85" s="162"/>
      <c r="U85" s="162"/>
      <c r="V85" s="162"/>
      <c r="W85" s="162"/>
      <c r="X85" s="162"/>
      <c r="Y85" s="162"/>
      <c r="Z85" s="159"/>
    </row>
    <row r="86" spans="10:26" ht="15" customHeight="1" x14ac:dyDescent="0.3">
      <c r="J86"/>
      <c r="K86"/>
      <c r="L86"/>
      <c r="M86"/>
      <c r="N86"/>
      <c r="O86"/>
      <c r="P86"/>
      <c r="Q86"/>
      <c r="R86" s="162"/>
      <c r="S86" s="162"/>
      <c r="T86" s="162"/>
      <c r="U86" s="162"/>
      <c r="V86" s="162"/>
      <c r="W86" s="162"/>
      <c r="X86" s="162"/>
      <c r="Y86" s="162"/>
      <c r="Z86" s="159"/>
    </row>
    <row r="87" spans="10:26" x14ac:dyDescent="0.3">
      <c r="J87"/>
      <c r="K87"/>
      <c r="L87"/>
      <c r="M87"/>
      <c r="N87"/>
      <c r="O87"/>
      <c r="P87"/>
      <c r="Q87"/>
      <c r="R87" s="162"/>
      <c r="S87" s="162"/>
      <c r="T87" s="162"/>
      <c r="U87" s="162"/>
      <c r="V87" s="162"/>
      <c r="W87" s="162"/>
      <c r="X87" s="162"/>
      <c r="Y87" s="162"/>
      <c r="Z87" s="159"/>
    </row>
    <row r="88" spans="10:26" x14ac:dyDescent="0.3">
      <c r="J88"/>
      <c r="K88"/>
      <c r="L88"/>
      <c r="M88"/>
      <c r="N88"/>
      <c r="O88"/>
      <c r="P88"/>
      <c r="Q88"/>
      <c r="R88" s="162"/>
      <c r="S88" s="162"/>
      <c r="T88" s="162"/>
      <c r="U88" s="162"/>
      <c r="V88" s="162"/>
      <c r="W88" s="162"/>
      <c r="X88" s="162"/>
      <c r="Y88" s="162"/>
      <c r="Z88" s="159"/>
    </row>
    <row r="89" spans="10:26" x14ac:dyDescent="0.3">
      <c r="J89"/>
      <c r="K89"/>
      <c r="L89"/>
      <c r="M89"/>
      <c r="N89"/>
      <c r="O89"/>
      <c r="P89"/>
      <c r="Q89"/>
      <c r="R89" s="162"/>
      <c r="S89" s="162"/>
      <c r="T89" s="162"/>
      <c r="U89" s="162"/>
      <c r="V89" s="162"/>
      <c r="W89" s="162"/>
      <c r="X89" s="162"/>
      <c r="Y89" s="162"/>
      <c r="Z89" s="159"/>
    </row>
    <row r="90" spans="10:26" x14ac:dyDescent="0.3">
      <c r="J90"/>
      <c r="K90"/>
      <c r="L90"/>
      <c r="M90"/>
      <c r="N90"/>
      <c r="O90"/>
      <c r="P90"/>
      <c r="Q90"/>
      <c r="R90" s="162"/>
      <c r="S90" s="162"/>
      <c r="T90" s="162"/>
      <c r="U90" s="162"/>
      <c r="V90" s="162"/>
      <c r="W90" s="162"/>
      <c r="X90" s="162"/>
      <c r="Y90" s="162"/>
      <c r="Z90" s="159"/>
    </row>
    <row r="91" spans="10:26" x14ac:dyDescent="0.3">
      <c r="J91"/>
      <c r="K91"/>
      <c r="L91"/>
      <c r="M91"/>
      <c r="N91"/>
      <c r="O91"/>
      <c r="P91"/>
      <c r="Q91"/>
      <c r="R91" s="162"/>
      <c r="S91" s="162"/>
      <c r="T91" s="162"/>
      <c r="U91" s="162"/>
      <c r="V91" s="162"/>
      <c r="W91" s="162"/>
      <c r="X91" s="162"/>
      <c r="Y91" s="162"/>
      <c r="Z91" s="159"/>
    </row>
    <row r="92" spans="10:26" x14ac:dyDescent="0.3">
      <c r="J92"/>
      <c r="K92"/>
      <c r="L92"/>
      <c r="M92"/>
      <c r="N92"/>
      <c r="O92"/>
      <c r="P92"/>
      <c r="Q92"/>
      <c r="R92" s="162"/>
      <c r="S92" s="162"/>
      <c r="T92" s="162"/>
      <c r="U92" s="162"/>
      <c r="V92" s="162"/>
      <c r="W92" s="162"/>
      <c r="X92" s="162"/>
      <c r="Y92" s="162"/>
      <c r="Z92" s="159"/>
    </row>
    <row r="93" spans="10:26" x14ac:dyDescent="0.3">
      <c r="J93"/>
      <c r="K93"/>
      <c r="L93"/>
      <c r="M93"/>
      <c r="N93"/>
      <c r="O93"/>
      <c r="P93"/>
      <c r="Q93"/>
      <c r="R93" s="162"/>
      <c r="S93" s="162"/>
      <c r="T93" s="162"/>
      <c r="U93" s="162"/>
      <c r="V93" s="162"/>
      <c r="W93" s="162"/>
      <c r="X93" s="162"/>
      <c r="Y93" s="162"/>
      <c r="Z93" s="159"/>
    </row>
    <row r="94" spans="10:26" x14ac:dyDescent="0.3">
      <c r="J94"/>
      <c r="K94"/>
      <c r="L94"/>
      <c r="M94"/>
      <c r="N94"/>
      <c r="O94"/>
      <c r="P94"/>
      <c r="Q94"/>
      <c r="R94" s="162"/>
      <c r="S94" s="162"/>
      <c r="T94" s="162"/>
      <c r="U94" s="162"/>
      <c r="V94" s="162"/>
      <c r="W94" s="162"/>
      <c r="X94" s="162"/>
      <c r="Y94" s="162"/>
      <c r="Z94" s="159"/>
    </row>
    <row r="95" spans="10:26" x14ac:dyDescent="0.3">
      <c r="J95"/>
      <c r="K95"/>
      <c r="L95"/>
      <c r="M95"/>
      <c r="N95"/>
      <c r="O95"/>
      <c r="P95"/>
      <c r="Q95"/>
      <c r="R95" s="162"/>
      <c r="S95" s="162"/>
      <c r="T95" s="162"/>
      <c r="U95" s="162"/>
      <c r="V95" s="162"/>
      <c r="W95" s="162"/>
      <c r="X95" s="162"/>
      <c r="Y95" s="162"/>
      <c r="Z95" s="159"/>
    </row>
    <row r="96" spans="10:26" x14ac:dyDescent="0.3">
      <c r="J96"/>
      <c r="K96"/>
      <c r="L96"/>
      <c r="M96"/>
      <c r="N96"/>
      <c r="O96"/>
      <c r="P96"/>
      <c r="Q96"/>
      <c r="R96" s="162"/>
      <c r="S96" s="162"/>
      <c r="T96" s="162"/>
      <c r="U96" s="162"/>
      <c r="V96" s="162"/>
      <c r="W96" s="162"/>
      <c r="X96" s="162"/>
      <c r="Y96" s="162"/>
      <c r="Z96" s="159"/>
    </row>
    <row r="97" spans="10:26" x14ac:dyDescent="0.3">
      <c r="J97"/>
      <c r="K97"/>
      <c r="L97"/>
      <c r="M97"/>
      <c r="N97"/>
      <c r="O97"/>
      <c r="P97"/>
      <c r="Q97"/>
      <c r="R97" s="162"/>
      <c r="S97" s="162"/>
      <c r="T97" s="162"/>
      <c r="U97" s="162"/>
      <c r="V97" s="162"/>
      <c r="W97" s="162"/>
      <c r="X97" s="162"/>
      <c r="Y97" s="162"/>
      <c r="Z97" s="159"/>
    </row>
    <row r="98" spans="10:26" x14ac:dyDescent="0.3">
      <c r="J98"/>
      <c r="K98"/>
      <c r="L98"/>
      <c r="M98"/>
      <c r="N98"/>
      <c r="O98"/>
      <c r="P98"/>
      <c r="Q98"/>
      <c r="R98" s="162"/>
      <c r="S98" s="162"/>
      <c r="T98" s="162"/>
      <c r="U98" s="162"/>
      <c r="V98" s="162"/>
      <c r="W98" s="162"/>
      <c r="X98" s="162"/>
      <c r="Y98" s="162"/>
      <c r="Z98" s="159"/>
    </row>
    <row r="99" spans="10:26" x14ac:dyDescent="0.3">
      <c r="J99"/>
      <c r="K99"/>
      <c r="L99"/>
      <c r="M99"/>
      <c r="N99"/>
      <c r="O99"/>
      <c r="P99"/>
      <c r="Q99"/>
      <c r="R99" s="162"/>
      <c r="S99" s="162"/>
      <c r="T99" s="162"/>
      <c r="U99" s="162"/>
      <c r="V99" s="162"/>
      <c r="W99" s="162"/>
      <c r="X99" s="162"/>
      <c r="Y99" s="162"/>
      <c r="Z99" s="159"/>
    </row>
    <row r="100" spans="10:26" x14ac:dyDescent="0.3">
      <c r="J100"/>
      <c r="K100"/>
      <c r="L100"/>
      <c r="M100"/>
      <c r="N100"/>
      <c r="O100"/>
      <c r="P100"/>
      <c r="Q100"/>
      <c r="R100" s="162"/>
      <c r="S100" s="162"/>
      <c r="T100" s="162"/>
      <c r="U100" s="162"/>
      <c r="V100" s="162"/>
      <c r="W100" s="162"/>
      <c r="X100" s="162"/>
      <c r="Y100" s="162"/>
      <c r="Z100" s="159"/>
    </row>
    <row r="101" spans="10:26" x14ac:dyDescent="0.3">
      <c r="J101"/>
      <c r="K101"/>
      <c r="L101"/>
      <c r="M101"/>
      <c r="N101"/>
      <c r="O101"/>
      <c r="P101"/>
      <c r="Q101"/>
      <c r="R101" s="162"/>
      <c r="S101" s="162"/>
      <c r="T101" s="162"/>
      <c r="U101" s="162"/>
      <c r="V101" s="162"/>
      <c r="W101" s="162"/>
      <c r="X101" s="162"/>
      <c r="Y101" s="162"/>
      <c r="Z101" s="159"/>
    </row>
    <row r="102" spans="10:26" x14ac:dyDescent="0.3">
      <c r="J102"/>
      <c r="K102"/>
      <c r="L102"/>
      <c r="M102"/>
      <c r="N102"/>
      <c r="O102"/>
      <c r="P102"/>
      <c r="Q102"/>
      <c r="R102" s="162"/>
      <c r="S102" s="162"/>
      <c r="T102" s="162"/>
      <c r="U102" s="162"/>
      <c r="V102" s="162"/>
      <c r="W102" s="162"/>
      <c r="X102" s="162"/>
      <c r="Y102" s="162"/>
      <c r="Z102" s="159"/>
    </row>
    <row r="103" spans="10:26" x14ac:dyDescent="0.3">
      <c r="J103"/>
      <c r="K103"/>
      <c r="L103"/>
      <c r="M103"/>
      <c r="N103"/>
      <c r="O103"/>
      <c r="P103"/>
      <c r="Q103"/>
      <c r="R103" s="162"/>
      <c r="S103" s="162"/>
      <c r="T103" s="162"/>
      <c r="U103" s="162"/>
      <c r="V103" s="162"/>
      <c r="W103" s="162"/>
      <c r="X103" s="162"/>
      <c r="Y103" s="162"/>
      <c r="Z103" s="159"/>
    </row>
    <row r="104" spans="10:26" x14ac:dyDescent="0.3">
      <c r="J104"/>
      <c r="K104"/>
      <c r="L104"/>
      <c r="M104"/>
      <c r="N104"/>
      <c r="O104"/>
      <c r="P104"/>
      <c r="Q104"/>
      <c r="R104" s="162"/>
      <c r="S104" s="162"/>
      <c r="T104" s="162"/>
      <c r="U104" s="162"/>
      <c r="V104" s="162"/>
      <c r="W104" s="162"/>
      <c r="X104" s="162"/>
      <c r="Y104" s="162"/>
      <c r="Z104" s="159"/>
    </row>
    <row r="105" spans="10:26" x14ac:dyDescent="0.3">
      <c r="J105"/>
      <c r="K105"/>
      <c r="L105"/>
      <c r="M105"/>
      <c r="N105"/>
      <c r="O105"/>
      <c r="P105"/>
      <c r="Q105"/>
      <c r="R105" s="162"/>
      <c r="S105" s="162"/>
      <c r="T105" s="162"/>
      <c r="U105" s="162"/>
      <c r="V105" s="162"/>
      <c r="W105" s="162"/>
      <c r="X105" s="162"/>
      <c r="Y105" s="162"/>
      <c r="Z105" s="159"/>
    </row>
    <row r="106" spans="10:26" x14ac:dyDescent="0.3">
      <c r="J106"/>
      <c r="K106"/>
      <c r="L106"/>
      <c r="M106"/>
      <c r="N106"/>
      <c r="O106"/>
      <c r="P106"/>
      <c r="Q106"/>
      <c r="R106" s="162"/>
      <c r="S106" s="162"/>
      <c r="T106" s="162"/>
      <c r="U106" s="162"/>
      <c r="V106" s="162"/>
      <c r="W106" s="162"/>
      <c r="X106" s="162"/>
      <c r="Y106" s="162"/>
      <c r="Z106" s="159"/>
    </row>
    <row r="107" spans="10:26" x14ac:dyDescent="0.3">
      <c r="J107"/>
      <c r="K107"/>
      <c r="L107"/>
      <c r="M107"/>
      <c r="N107"/>
      <c r="O107"/>
      <c r="P107"/>
      <c r="Q107"/>
      <c r="R107" s="162"/>
      <c r="S107" s="162"/>
      <c r="T107" s="162"/>
      <c r="U107" s="162"/>
      <c r="V107" s="162"/>
      <c r="W107" s="162"/>
      <c r="X107" s="162"/>
      <c r="Y107" s="162"/>
      <c r="Z107" s="159"/>
    </row>
    <row r="108" spans="10:26" x14ac:dyDescent="0.3">
      <c r="J108"/>
      <c r="K108"/>
      <c r="L108"/>
      <c r="M108"/>
      <c r="N108"/>
      <c r="O108"/>
      <c r="P108"/>
      <c r="Q108"/>
      <c r="R108" s="162"/>
      <c r="S108" s="162"/>
      <c r="T108" s="162"/>
      <c r="U108" s="162"/>
      <c r="V108" s="162"/>
      <c r="W108" s="162"/>
      <c r="X108" s="162"/>
      <c r="Y108" s="162"/>
      <c r="Z108" s="159"/>
    </row>
    <row r="109" spans="10:26" x14ac:dyDescent="0.3">
      <c r="J109"/>
      <c r="K109"/>
      <c r="L109"/>
      <c r="M109"/>
      <c r="N109"/>
      <c r="O109"/>
      <c r="P109"/>
      <c r="Q109"/>
      <c r="R109" s="162"/>
      <c r="S109" s="162"/>
      <c r="T109" s="162"/>
      <c r="U109" s="162"/>
      <c r="V109" s="162"/>
      <c r="W109" s="162"/>
      <c r="X109" s="162"/>
      <c r="Y109" s="162"/>
      <c r="Z109" s="159"/>
    </row>
    <row r="110" spans="10:26" x14ac:dyDescent="0.3">
      <c r="J110"/>
      <c r="K110"/>
      <c r="L110"/>
      <c r="M110"/>
      <c r="N110"/>
      <c r="O110"/>
      <c r="P110"/>
      <c r="Q110"/>
      <c r="R110" s="162"/>
      <c r="S110" s="162"/>
      <c r="T110" s="162"/>
      <c r="U110" s="162"/>
      <c r="V110" s="162"/>
      <c r="W110" s="162"/>
      <c r="X110" s="162"/>
      <c r="Y110" s="162"/>
      <c r="Z110" s="159"/>
    </row>
    <row r="111" spans="10:26" x14ac:dyDescent="0.3">
      <c r="J111"/>
      <c r="K111"/>
      <c r="L111"/>
      <c r="M111"/>
      <c r="N111"/>
      <c r="O111"/>
      <c r="P111"/>
      <c r="Q111"/>
      <c r="R111" s="162"/>
      <c r="S111" s="162"/>
      <c r="T111" s="162"/>
      <c r="U111" s="162"/>
      <c r="V111" s="162"/>
      <c r="W111" s="162"/>
      <c r="X111" s="162"/>
      <c r="Y111" s="162"/>
      <c r="Z111" s="159"/>
    </row>
    <row r="112" spans="10:26" x14ac:dyDescent="0.3">
      <c r="J112"/>
      <c r="K112"/>
      <c r="L112"/>
      <c r="M112"/>
      <c r="N112"/>
      <c r="O112"/>
      <c r="P112"/>
      <c r="Q112"/>
      <c r="R112" s="162"/>
      <c r="S112" s="162"/>
      <c r="T112" s="162"/>
      <c r="U112" s="162"/>
      <c r="V112" s="162"/>
      <c r="W112" s="162"/>
      <c r="X112" s="162"/>
      <c r="Y112" s="162"/>
      <c r="Z112" s="159"/>
    </row>
    <row r="113" spans="10:26" x14ac:dyDescent="0.3">
      <c r="J113"/>
      <c r="K113"/>
      <c r="L113"/>
      <c r="M113"/>
      <c r="N113"/>
      <c r="O113"/>
      <c r="P113"/>
      <c r="Q113"/>
      <c r="R113" s="162"/>
      <c r="S113" s="162"/>
      <c r="T113" s="162"/>
      <c r="U113" s="162"/>
      <c r="V113" s="162"/>
      <c r="W113" s="162"/>
      <c r="X113" s="162"/>
      <c r="Y113" s="162"/>
      <c r="Z113" s="159"/>
    </row>
    <row r="114" spans="10:26" x14ac:dyDescent="0.3">
      <c r="J114"/>
      <c r="K114"/>
      <c r="L114"/>
      <c r="M114"/>
      <c r="N114"/>
      <c r="O114"/>
      <c r="P114"/>
      <c r="Q114"/>
      <c r="R114" s="162"/>
      <c r="S114" s="162"/>
      <c r="T114" s="162"/>
      <c r="U114" s="162"/>
      <c r="V114" s="162"/>
      <c r="W114" s="162"/>
      <c r="X114" s="162"/>
      <c r="Y114" s="162"/>
      <c r="Z114" s="159"/>
    </row>
    <row r="115" spans="10:26" x14ac:dyDescent="0.3">
      <c r="J115"/>
      <c r="K115"/>
      <c r="L115"/>
      <c r="M115"/>
      <c r="N115"/>
      <c r="O115"/>
      <c r="P115"/>
      <c r="Q115"/>
      <c r="R115" s="162"/>
      <c r="S115" s="162"/>
      <c r="T115" s="162"/>
      <c r="U115" s="162"/>
      <c r="V115" s="162"/>
      <c r="W115" s="162"/>
      <c r="X115" s="162"/>
      <c r="Y115" s="162"/>
      <c r="Z115" s="159"/>
    </row>
    <row r="116" spans="10:26" x14ac:dyDescent="0.3">
      <c r="J116"/>
      <c r="K116"/>
      <c r="L116"/>
      <c r="M116"/>
      <c r="N116"/>
      <c r="O116"/>
      <c r="P116"/>
      <c r="Q116"/>
      <c r="R116" s="162"/>
      <c r="S116" s="162"/>
      <c r="T116" s="162"/>
      <c r="U116" s="162"/>
      <c r="V116" s="162"/>
      <c r="W116" s="162"/>
      <c r="X116" s="162"/>
      <c r="Y116" s="162"/>
      <c r="Z116" s="159"/>
    </row>
    <row r="117" spans="10:26" x14ac:dyDescent="0.3">
      <c r="J117"/>
      <c r="K117"/>
      <c r="L117"/>
      <c r="M117"/>
      <c r="N117"/>
      <c r="O117"/>
      <c r="P117"/>
      <c r="Q117"/>
      <c r="R117" s="162"/>
      <c r="S117" s="162"/>
      <c r="T117" s="162"/>
      <c r="U117" s="162"/>
      <c r="V117" s="162"/>
      <c r="W117" s="162"/>
      <c r="X117" s="162"/>
      <c r="Y117" s="162"/>
      <c r="Z117" s="159"/>
    </row>
    <row r="118" spans="10:26" x14ac:dyDescent="0.3">
      <c r="J118"/>
      <c r="K118"/>
      <c r="L118"/>
      <c r="M118"/>
      <c r="N118"/>
      <c r="O118"/>
      <c r="P118"/>
      <c r="Q118"/>
      <c r="R118" s="162"/>
      <c r="S118" s="162"/>
      <c r="T118" s="162"/>
      <c r="U118" s="162"/>
      <c r="V118" s="162"/>
      <c r="W118" s="162"/>
      <c r="X118" s="162"/>
      <c r="Y118" s="162"/>
      <c r="Z118" s="159"/>
    </row>
    <row r="119" spans="10:26" x14ac:dyDescent="0.3">
      <c r="J119"/>
      <c r="K119"/>
      <c r="L119"/>
      <c r="M119"/>
      <c r="N119"/>
      <c r="O119"/>
      <c r="P119"/>
      <c r="Q119"/>
      <c r="R119" s="162"/>
      <c r="S119" s="162"/>
      <c r="T119" s="162"/>
      <c r="U119" s="162"/>
      <c r="V119" s="162"/>
      <c r="W119" s="162"/>
      <c r="X119" s="162"/>
      <c r="Y119" s="162"/>
      <c r="Z119" s="159"/>
    </row>
    <row r="120" spans="10:26" x14ac:dyDescent="0.3">
      <c r="J120"/>
      <c r="K120"/>
      <c r="L120"/>
      <c r="M120"/>
      <c r="N120"/>
      <c r="O120"/>
      <c r="P120"/>
      <c r="Q120"/>
      <c r="R120" s="162"/>
      <c r="S120" s="162"/>
      <c r="T120" s="162"/>
      <c r="U120" s="162"/>
      <c r="V120" s="162"/>
      <c r="W120" s="162"/>
      <c r="X120" s="162"/>
      <c r="Y120" s="162"/>
      <c r="Z120" s="159"/>
    </row>
    <row r="121" spans="10:26" x14ac:dyDescent="0.3">
      <c r="J121"/>
      <c r="K121"/>
      <c r="L121"/>
      <c r="M121"/>
      <c r="N121"/>
      <c r="O121"/>
      <c r="P121"/>
      <c r="Q121"/>
      <c r="R121" s="162"/>
      <c r="S121" s="162"/>
      <c r="T121" s="162"/>
      <c r="U121" s="162"/>
      <c r="V121" s="162"/>
      <c r="W121" s="162"/>
      <c r="X121" s="162"/>
      <c r="Y121" s="162"/>
      <c r="Z121" s="159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49" priority="3" operator="greaterThanOrEqual">
      <formula>4</formula>
    </cfRule>
    <cfRule type="cellIs" dxfId="48" priority="4" operator="lessThan">
      <formula>3</formula>
    </cfRule>
  </conditionalFormatting>
  <conditionalFormatting sqref="J7:J9">
    <cfRule type="cellIs" dxfId="47" priority="5" operator="equal">
      <formula>"OK"</formula>
    </cfRule>
    <cfRule type="cellIs" dxfId="46" priority="6" operator="equal">
      <formula>"REJEITADO"</formula>
    </cfRule>
  </conditionalFormatting>
  <conditionalFormatting sqref="O3">
    <cfRule type="expression" dxfId="45" priority="2">
      <formula>OR($G$3&lt;&gt;"",$G$4&lt;&gt;"")</formula>
    </cfRule>
  </conditionalFormatting>
  <conditionalFormatting sqref="G7:K9">
    <cfRule type="cellIs" dxfId="44" priority="1" operator="greaterThan">
      <formula>0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04" t="s">
        <v>230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</row>
    <row r="2" spans="1:13" ht="19.95" customHeight="1" x14ac:dyDescent="0.3">
      <c r="A2" s="21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43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204" t="s">
        <v>466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</row>
    <row r="2" spans="1:16" ht="19.95" customHeight="1" x14ac:dyDescent="0.3">
      <c r="A2" s="205" t="s">
        <v>240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42" priority="1" operator="equal">
      <formula>"OK"</formula>
    </cfRule>
    <cfRule type="cellIs" dxfId="41" priority="2" operator="equal">
      <formula>"OK-BIAS"</formula>
    </cfRule>
    <cfRule type="cellIs" dxfId="40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H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77734375" customWidth="1"/>
    <col min="4" max="4" width="30.77734375" customWidth="1"/>
    <col min="5" max="5" width="12.77734375" customWidth="1"/>
    <col min="6" max="6" width="14.109375" customWidth="1"/>
    <col min="7" max="7" width="46.77734375" customWidth="1"/>
    <col min="8" max="8" width="34.77734375" customWidth="1"/>
  </cols>
  <sheetData>
    <row r="1" spans="1:8" ht="17.399999999999999" x14ac:dyDescent="0.35">
      <c r="A1" s="140" t="s">
        <v>1107</v>
      </c>
    </row>
    <row r="2" spans="1:8" x14ac:dyDescent="0.3">
      <c r="A2" s="141" t="s">
        <v>1108</v>
      </c>
    </row>
    <row r="3" spans="1:8" ht="31.95" customHeight="1" x14ac:dyDescent="0.3">
      <c r="A3" s="132" t="s">
        <v>1109</v>
      </c>
      <c r="B3" s="132" t="s">
        <v>1110</v>
      </c>
      <c r="C3" s="132" t="s">
        <v>1111</v>
      </c>
      <c r="D3" s="132" t="s">
        <v>1112</v>
      </c>
      <c r="E3" s="132" t="s">
        <v>1113</v>
      </c>
      <c r="F3" s="132" t="s">
        <v>1114</v>
      </c>
      <c r="G3" s="132" t="s">
        <v>1115</v>
      </c>
      <c r="H3" s="132" t="s">
        <v>1116</v>
      </c>
    </row>
    <row r="4" spans="1:8" x14ac:dyDescent="0.3">
      <c r="A4">
        <v>6</v>
      </c>
      <c r="B4">
        <v>999</v>
      </c>
      <c r="C4" t="s">
        <v>419</v>
      </c>
      <c r="D4" t="s">
        <v>1117</v>
      </c>
      <c r="E4">
        <v>2</v>
      </c>
      <c r="F4">
        <v>1000</v>
      </c>
      <c r="G4" t="s">
        <v>1118</v>
      </c>
      <c r="H4" t="s">
        <v>1119</v>
      </c>
    </row>
    <row r="5" spans="1:8" x14ac:dyDescent="0.3">
      <c r="A5">
        <v>5</v>
      </c>
      <c r="B5">
        <v>6</v>
      </c>
      <c r="C5" t="s">
        <v>420</v>
      </c>
      <c r="D5" t="s">
        <v>1120</v>
      </c>
      <c r="E5">
        <v>2</v>
      </c>
      <c r="F5">
        <v>450</v>
      </c>
      <c r="G5" t="s">
        <v>1121</v>
      </c>
      <c r="H5" t="s">
        <v>1119</v>
      </c>
    </row>
    <row r="6" spans="1:8" x14ac:dyDescent="0.3">
      <c r="A6">
        <v>4</v>
      </c>
      <c r="B6">
        <v>5</v>
      </c>
      <c r="C6" t="s">
        <v>421</v>
      </c>
      <c r="D6" t="s">
        <v>1122</v>
      </c>
      <c r="E6">
        <v>4</v>
      </c>
      <c r="F6">
        <v>200</v>
      </c>
      <c r="G6" t="s">
        <v>1123</v>
      </c>
      <c r="H6" t="s">
        <v>1119</v>
      </c>
    </row>
    <row r="7" spans="1:8" x14ac:dyDescent="0.3">
      <c r="A7">
        <v>3</v>
      </c>
      <c r="B7">
        <v>4</v>
      </c>
      <c r="C7" t="s">
        <v>422</v>
      </c>
      <c r="D7" t="s">
        <v>1155</v>
      </c>
      <c r="E7">
        <v>6</v>
      </c>
      <c r="F7">
        <v>45</v>
      </c>
      <c r="G7" t="s">
        <v>1124</v>
      </c>
      <c r="H7" t="s">
        <v>1125</v>
      </c>
    </row>
    <row r="8" spans="1:8" x14ac:dyDescent="0.3">
      <c r="A8">
        <v>-999</v>
      </c>
      <c r="B8">
        <v>3</v>
      </c>
      <c r="C8" t="s">
        <v>1126</v>
      </c>
      <c r="G8" t="s">
        <v>1127</v>
      </c>
      <c r="H8" t="s">
        <v>1128</v>
      </c>
    </row>
    <row r="10" spans="1:8" x14ac:dyDescent="0.3">
      <c r="A10" s="141" t="s">
        <v>1129</v>
      </c>
    </row>
    <row r="11" spans="1:8" x14ac:dyDescent="0.3">
      <c r="A11" s="141" t="s">
        <v>1130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38" priority="1" stopIfTrue="1">
      <formula>mEQA.PadronizarStatus($L2)="NAO ACEITO"</formula>
    </cfRule>
    <cfRule type="expression" dxfId="37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1078</v>
      </c>
    </row>
    <row r="2" spans="1:10" x14ac:dyDescent="0.3">
      <c r="A2" s="130" t="s">
        <v>1079</v>
      </c>
    </row>
    <row r="4" spans="1:10" ht="30" customHeight="1" x14ac:dyDescent="0.3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COUNT(EQA.CAP_Dados!$T$2:$T$5000)</f>
        <v>6</v>
      </c>
    </row>
    <row r="17" spans="1:10" x14ac:dyDescent="0.3">
      <c r="I17" t="s">
        <v>1088</v>
      </c>
      <c r="J17">
        <f>COUNT(EQA.CAP_Dados!$U$2:$U$5000)</f>
        <v>37</v>
      </c>
    </row>
    <row r="18" spans="1:10" x14ac:dyDescent="0.3">
      <c r="I18" t="s">
        <v>1082</v>
      </c>
      <c r="J18">
        <f>COUNTA(EQA.CAP_Dados!$B$2:$B$5000)</f>
        <v>545</v>
      </c>
    </row>
    <row r="19" spans="1:10" x14ac:dyDescent="0.3">
      <c r="I19" t="s">
        <v>506</v>
      </c>
      <c r="J19">
        <f>COUNTIF(EQA.CAP_Dados!$W$2:$W$5000,"NAO ACEITO")</f>
        <v>15</v>
      </c>
    </row>
    <row r="20" spans="1:10" x14ac:dyDescent="0.3">
      <c r="I20" t="s">
        <v>1089</v>
      </c>
      <c r="J20">
        <f>SUM(EQA.CAP_Dados!$X$2:$X$5000)</f>
        <v>7</v>
      </c>
    </row>
    <row r="21" spans="1:10" x14ac:dyDescent="0.3">
      <c r="I21" t="s">
        <v>1090</v>
      </c>
      <c r="J21">
        <f>COUNTIF(EQA.CAP_Dados!$W$2:$W$5000,"NAO AVALIADO")</f>
        <v>0</v>
      </c>
    </row>
    <row r="22" spans="1:10" x14ac:dyDescent="0.3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1092</v>
      </c>
      <c r="J23">
        <f>SUMPRODUCT((EQA_Base!$A$2:$A$5001="CAP")*(EQA_Base!$T$2:$T$5001="NAO"))</f>
        <v>90</v>
      </c>
    </row>
    <row r="26" spans="1:10" ht="15.6" x14ac:dyDescent="0.3">
      <c r="A26" s="134" t="s">
        <v>1093</v>
      </c>
    </row>
    <row r="27" spans="1:10" ht="30" customHeight="1" x14ac:dyDescent="0.3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1102</v>
      </c>
    </row>
    <row r="2" spans="1:18" x14ac:dyDescent="0.3">
      <c r="A2" s="130" t="s">
        <v>1103</v>
      </c>
    </row>
    <row r="3" spans="1:18" x14ac:dyDescent="0.3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3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3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3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3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3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3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3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3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3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3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3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3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3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3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3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3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3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3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3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3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3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3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3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3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3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3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3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3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3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3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3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3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3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3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3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3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3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3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3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3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3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3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3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3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3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3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3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3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3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3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3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3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3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3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3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3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3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3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3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3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3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3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3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3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3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3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3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3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3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3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3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3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3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3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3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3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3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3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3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3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3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3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3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3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3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3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3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3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3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3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3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3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3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3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3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3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3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3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3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3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3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3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3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3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3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3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3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3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3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3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3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3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3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3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3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3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3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3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3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3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3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3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3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3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3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3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3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3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3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3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3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3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3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3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3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3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3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3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3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3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3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3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3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3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3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3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3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3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3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3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3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3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3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3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3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3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3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3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3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3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3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3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3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3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3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3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3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3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3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3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3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3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3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3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3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3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3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3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3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3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3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3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3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3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3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3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3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3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3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3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3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3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3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3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3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3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3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3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3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3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3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3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3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3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3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3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3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3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3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3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3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3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3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3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3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3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3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3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3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3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3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3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3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3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3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3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3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3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3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3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3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3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3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3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3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3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3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3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3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3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3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3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3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3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3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3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3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3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3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3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3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3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3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3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3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3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3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3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3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3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3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3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3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3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3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3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3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3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3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3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3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3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3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3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3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3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3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3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3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3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3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3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3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3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3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3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3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3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3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3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3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3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3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3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3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3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3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3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3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3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3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3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3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3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3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3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3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3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3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3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3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3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3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3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3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3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3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3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3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3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3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3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3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3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3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3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3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3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3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3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3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3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3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3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3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3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3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3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3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3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3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3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3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3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3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3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3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3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3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3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3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3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3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3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3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3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3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3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3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3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3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3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3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3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3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3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3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3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3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3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3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3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3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3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3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3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3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3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3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3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3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3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3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3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3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3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3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3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3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3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3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3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3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3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3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3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3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3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3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3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3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3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3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3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3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3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3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3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3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3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3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3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3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3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3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3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3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3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3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3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3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3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3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3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3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3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3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3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3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3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3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3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3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3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3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3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3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3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3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3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3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3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3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3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3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3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3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3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3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3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3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3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3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3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3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3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3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3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3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3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3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3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3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3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3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3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3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3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3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3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3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3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3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3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3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3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3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3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3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3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3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3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3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3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3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3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3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3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3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3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3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3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3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3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3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3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3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3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3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3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3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3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3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3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3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3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3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3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3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3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3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3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3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3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3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3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3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3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3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3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3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3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3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3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3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3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3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3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3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3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3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3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3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3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3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3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24" priority="1" stopIfTrue="1">
      <formula>mEQA.PadronizarStatus($L2)="NAO ACEITO"</formula>
    </cfRule>
    <cfRule type="expression" dxfId="23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1095</v>
      </c>
    </row>
    <row r="2" spans="1:10" x14ac:dyDescent="0.3">
      <c r="A2" s="130" t="s">
        <v>1096</v>
      </c>
    </row>
    <row r="4" spans="1:10" ht="30" customHeight="1" x14ac:dyDescent="0.3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COUNT(EQA.Controllab_Dados!$T$2:$T$5000)</f>
        <v>0</v>
      </c>
    </row>
    <row r="17" spans="1:10" x14ac:dyDescent="0.3">
      <c r="I17" t="s">
        <v>1088</v>
      </c>
      <c r="J17">
        <f>COUNT(EQA.Controllab_Dados!$U$2:$U$5000)</f>
        <v>0</v>
      </c>
    </row>
    <row r="18" spans="1:10" x14ac:dyDescent="0.3">
      <c r="I18" t="s">
        <v>1082</v>
      </c>
      <c r="J18">
        <f>COUNTA(EQA.Controllab_Dados!$B$2:$B$5000)</f>
        <v>0</v>
      </c>
    </row>
    <row r="19" spans="1:10" x14ac:dyDescent="0.3">
      <c r="I19" t="s">
        <v>1098</v>
      </c>
      <c r="J19">
        <f>COUNTIF(EQA.Controllab_Dados!$W$2:$W$5000,"NAO ACEITO")</f>
        <v>0</v>
      </c>
    </row>
    <row r="20" spans="1:10" x14ac:dyDescent="0.3">
      <c r="I20" t="s">
        <v>1100</v>
      </c>
      <c r="J20">
        <f>SUM(EQA.Controllab_Dados!$X$2:$X$5000)</f>
        <v>0</v>
      </c>
    </row>
    <row r="21" spans="1:10" x14ac:dyDescent="0.3">
      <c r="I21" t="s">
        <v>1090</v>
      </c>
      <c r="J21">
        <f>COUNTIF(EQA.Controllab_Dados!$W$2:$W$5000,"NAO AVALIADO")</f>
        <v>0</v>
      </c>
    </row>
    <row r="22" spans="1:10" x14ac:dyDescent="0.3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1092</v>
      </c>
      <c r="J23">
        <f>SUMPRODUCT((EQA_Base!$A$2:$A$5001="Controllab")*(EQA_Base!$T$2:$T$5001="NAO"))</f>
        <v>0</v>
      </c>
    </row>
    <row r="26" spans="1:10" ht="15.6" x14ac:dyDescent="0.3">
      <c r="A26" s="134" t="s">
        <v>1101</v>
      </c>
    </row>
    <row r="27" spans="1:10" ht="30" customHeight="1" x14ac:dyDescent="0.3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1104</v>
      </c>
    </row>
    <row r="2" spans="1:18" x14ac:dyDescent="0.3">
      <c r="A2" s="130" t="s">
        <v>1105</v>
      </c>
    </row>
    <row r="3" spans="1:18" x14ac:dyDescent="0.3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77734375" customWidth="1"/>
    <col min="4" max="5" width="27.77734375" customWidth="1"/>
    <col min="6" max="12" width="16.77734375" customWidth="1"/>
    <col min="13" max="13" width="18.21875" customWidth="1"/>
    <col min="14" max="14" width="19.6640625" customWidth="1"/>
    <col min="15" max="18" width="16.77734375" customWidth="1"/>
    <col min="19" max="19" width="42.77734375" customWidth="1"/>
    <col min="20" max="20" width="16.77734375" customWidth="1"/>
    <col min="21" max="21" width="46.77734375" customWidth="1"/>
    <col min="23" max="25" width="28.77734375" customWidth="1"/>
    <col min="26" max="26" width="90.77734375" customWidth="1"/>
  </cols>
  <sheetData>
    <row r="1" spans="1:26" x14ac:dyDescent="0.3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3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3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3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3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3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3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3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3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3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3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3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3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3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3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3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3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3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3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3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3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3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3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3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3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3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3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3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3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3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3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3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3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3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3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3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3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3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3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3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3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3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3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3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3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3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3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3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3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3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3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3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3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3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3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3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3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3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3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3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3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3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3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3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3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3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3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3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3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3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3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3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3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3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3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3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3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3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3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3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3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3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3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3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3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3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3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3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3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3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3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3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3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3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3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3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3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3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3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3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3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3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3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3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3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3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3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3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3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3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3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3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3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3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3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3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3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3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3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3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3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3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3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3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3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3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3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3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3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3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3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3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3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3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3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3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3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3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3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3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3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3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3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3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3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3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3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3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3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3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3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3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3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3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3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3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3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3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3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3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3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3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3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3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3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3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3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3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3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3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3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3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3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3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3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3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3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3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3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3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3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3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3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3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3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3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3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3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3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3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3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3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3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3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3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3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3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3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3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3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3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3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3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3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3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3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3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3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3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3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3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3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3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3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3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3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3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3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3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3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3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3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3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3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3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3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3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3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3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3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3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3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3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3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3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3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3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3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3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3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3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3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3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3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3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3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3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3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3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3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3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3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3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3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3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3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3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3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3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3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3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3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3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3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3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3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3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3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3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3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3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3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3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3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3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3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3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3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3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3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3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3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3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3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3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3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3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3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3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3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3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3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3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3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3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3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3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3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3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3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3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3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3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3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3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3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3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3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3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3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3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3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3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3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3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3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3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3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3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3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3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3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3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3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3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3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3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3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3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3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3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3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3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3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3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3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3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3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3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3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3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3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3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3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3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3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3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3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3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3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3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3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3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3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3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3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3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3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3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3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3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3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3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3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3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3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3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3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3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3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3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3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3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3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3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3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3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3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3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3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3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3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3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3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3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3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3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3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3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3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3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3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3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3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3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3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3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3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3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3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3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3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3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3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3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3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3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3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3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3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3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3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3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3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3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3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3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3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3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3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3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3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3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3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3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3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3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3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3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3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3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3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3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3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3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3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3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3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3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3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3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3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3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3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3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3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3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3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3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3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3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3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3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3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3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3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3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3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3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3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3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3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3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3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3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3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3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3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3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3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3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3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3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3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3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3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3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3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3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3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3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3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3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3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3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3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3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3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3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3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3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3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3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3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3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3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3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3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3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3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3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3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3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3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3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3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3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3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3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3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3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3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3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3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3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3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3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3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3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3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3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3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3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3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3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3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3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3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3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3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3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3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3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3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3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3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3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3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3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3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3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3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3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3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3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3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3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3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3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3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3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3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3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3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3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3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3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3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3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3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3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3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3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3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3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3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3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3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3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3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3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3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3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3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3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3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3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3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3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3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3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3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3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3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3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3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3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3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3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3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3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3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3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3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3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3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3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3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3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3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3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3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3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3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3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3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3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3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3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3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3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3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3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3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3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3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3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3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3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3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3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3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3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3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3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3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3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3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3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3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3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3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3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3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3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3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3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3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3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3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3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3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3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3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3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3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3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3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3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3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3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3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3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3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3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3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3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3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3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3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3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3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3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3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3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3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3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3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3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3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3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3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3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3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3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3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3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3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3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3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3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3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3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3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3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3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3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3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3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3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3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3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3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3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3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3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3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3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3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3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3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3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3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3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3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3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3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3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3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3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3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3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3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3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3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3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3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3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3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3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3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3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3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3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3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3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3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3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3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3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3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3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3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3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3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3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3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3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3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3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3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3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3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3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3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3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3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3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3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3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3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3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3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3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3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3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3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3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3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3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3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3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3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3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3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3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3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3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3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3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3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3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3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3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3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3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3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3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3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3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3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3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3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3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3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3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3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3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3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3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3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3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3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3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3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3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3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3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3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3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3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3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3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3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3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3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3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3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3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3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3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3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3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3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3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3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3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3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3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3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3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3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3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3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3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3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3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3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3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3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3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3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3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3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3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3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3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3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3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3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3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3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3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3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3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3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3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3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3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3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3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3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3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3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3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3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3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3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3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3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3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3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3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3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3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3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3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3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3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3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3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3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3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3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3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3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3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3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3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3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3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3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3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3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3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3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3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3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3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3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3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3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3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3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3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3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3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3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3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3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3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3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3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3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3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3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3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3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3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3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3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3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3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3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3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3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3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3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3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3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3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3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3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3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3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3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3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3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3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3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3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3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3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3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3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3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3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3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3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3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3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3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3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3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3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3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3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3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3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3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3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3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3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3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3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3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3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3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3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3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3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3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3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3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3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3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3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3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3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3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3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3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3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3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3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3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3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3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3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3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3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3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3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3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3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3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3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3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3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3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3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3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3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3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3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3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3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3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3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3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3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3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3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3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3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3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3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3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3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3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3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3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3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3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3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3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3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3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3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3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3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3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3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3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3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3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3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3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3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3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3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3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3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3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3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3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3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3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3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3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3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3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3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3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3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3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3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3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3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3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3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3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3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3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3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3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3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3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3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3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3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3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3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3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3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3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3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3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3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3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3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3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3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3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3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3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3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3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3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3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3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3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3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3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3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3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3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3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3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3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3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3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3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3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3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3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3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3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3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3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3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3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3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3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3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3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3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3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3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3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3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3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3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3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3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3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3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3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3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3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3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3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3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3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3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3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3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3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3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3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3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3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3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3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3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3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3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3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3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3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3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3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3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3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3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3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3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3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3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3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3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3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3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3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3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3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3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3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3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3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3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3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3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3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3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3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3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3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3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3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3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3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3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3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3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3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3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3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3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3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3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3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3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3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3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3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3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3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3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3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3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3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3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3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3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3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3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3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3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3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3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3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3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3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3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3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3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3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3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3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3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3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3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3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3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3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3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3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3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3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3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3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3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3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3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3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3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3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3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3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3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3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3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3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3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3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3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3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3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3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3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3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3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3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3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3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3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3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3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3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3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3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3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3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3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3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3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3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3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3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3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3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3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3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3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3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3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3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3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3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3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3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3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3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3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3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3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3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3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3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3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3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3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3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3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3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3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3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3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3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3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3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3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3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3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3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3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3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3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3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3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3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3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3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3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3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3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3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3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3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3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3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3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3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3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3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3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3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3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3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3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3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3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3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3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3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3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3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3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3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3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3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3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3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3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3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3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3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3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3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3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3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3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3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3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3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3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3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3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3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3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3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3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3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3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3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3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3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3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3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3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3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3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3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3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3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3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3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3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3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3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3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3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3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3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3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3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3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3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3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3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3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3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3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3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3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3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3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3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3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3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3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3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3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3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3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3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3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3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3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3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3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3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3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3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3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3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3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3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3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3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3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3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3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3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3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3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3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3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3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3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3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3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3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3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3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3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3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3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3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3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3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3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3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3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3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3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3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3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3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3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3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3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3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3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3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3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3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3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3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3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3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3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3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3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3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3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3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3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3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3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3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3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3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3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3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3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3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3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3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3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3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3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3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3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3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3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3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3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3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3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3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3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3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3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3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3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3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3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3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3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3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3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3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3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3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3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3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3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3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3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3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3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3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3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3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3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3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3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3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3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3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3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3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3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3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3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3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3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3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3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3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3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3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3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3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3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3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3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3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3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3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3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3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3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3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3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3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3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3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3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3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3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3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3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3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3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3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3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3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3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3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3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3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3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3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3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3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3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3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3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3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3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3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3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3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3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3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3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3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3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3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3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3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3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3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3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3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3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3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3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3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3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3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3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3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3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3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3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3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3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3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3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3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3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3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3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3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3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3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3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3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3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3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3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3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3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3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3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3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3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3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3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3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3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3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3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3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3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3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3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3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3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3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3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3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3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3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3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3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3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3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3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3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3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3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3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3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3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3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3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3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3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3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3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3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3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3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3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3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3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3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3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3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3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3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3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3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3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3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3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3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3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3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3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3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3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3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3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3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3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3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3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3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3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3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3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3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3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3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3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3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3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3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3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3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3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3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3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3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3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3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3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3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3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3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3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3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3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3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3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3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3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3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3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3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3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3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3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3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3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3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3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3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3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3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3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3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3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3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3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3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3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3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3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3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3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3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3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3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3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3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3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3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3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3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3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3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3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3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3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3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3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3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3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3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3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3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3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3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3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3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3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3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3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3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3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3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3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3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3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3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3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3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3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3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3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3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3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3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3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3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3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3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3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3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3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3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3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3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3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3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3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3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3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3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3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3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3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3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3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3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3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3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3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3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3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3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3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3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3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3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3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3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3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3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3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3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3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3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3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3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3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3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3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3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3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3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3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3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3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3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3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3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3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3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3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3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3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3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3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3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3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3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3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3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3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3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3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3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3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3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3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3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3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3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3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3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3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3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3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3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3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3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3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3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3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3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3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3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3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3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3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3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3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3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3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3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3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3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3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3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3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3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3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3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3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3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3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3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3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3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3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3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3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3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3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3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3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3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3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3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3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3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3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3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3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3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3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3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3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3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3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3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3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3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3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3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3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3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3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3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3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3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3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3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3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3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3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3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3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3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3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3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3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3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3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3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3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3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3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3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3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3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3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3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3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3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3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3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3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3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3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3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3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3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3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3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3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3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3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3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3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3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3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3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3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3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3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3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3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3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3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3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3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3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3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3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3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3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3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3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3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3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3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3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3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3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3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3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3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3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3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3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3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3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3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3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3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3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3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3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3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3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3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3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3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3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3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3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3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3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3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3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3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3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3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3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3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3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3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3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3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3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3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3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3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3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3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3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3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3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3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3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3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3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3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3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3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3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3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3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3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3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3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3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3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3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3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3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3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3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3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3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3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3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3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3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3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3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3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3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3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3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3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3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3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3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3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3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3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3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3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3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3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3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3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3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3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3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3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3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3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3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3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3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3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3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3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3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3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3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3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3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3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3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3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3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3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3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3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3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3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3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3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3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3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3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3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3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3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3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3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3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3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3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3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3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3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3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3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3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3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3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3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3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3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3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3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3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3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3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3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3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3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3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3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3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3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3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3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3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3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3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3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3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3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3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3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3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3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3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3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3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3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3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3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3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3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3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3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3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3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3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3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3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3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3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3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3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3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3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3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3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3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3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3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3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3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3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3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3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3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3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3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3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3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3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3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3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3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3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3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3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3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3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3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3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3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3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3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3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3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3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3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3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3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3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3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3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3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3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3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3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3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3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3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3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3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3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3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3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3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3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3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3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3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3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3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3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3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3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3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3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3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3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3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3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3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3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3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3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3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3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3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3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3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3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3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3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3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3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3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3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3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3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3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3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3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3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3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3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3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3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3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3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3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3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3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3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3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3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3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3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3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3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3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3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3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3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3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3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3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3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3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3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3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3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3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3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3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3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3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3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3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3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3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3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3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3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3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3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3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3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3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3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3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3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3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3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3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3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3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3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3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3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3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3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3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3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3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3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3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3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3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3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3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3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3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3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3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3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3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3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3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3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3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3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3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3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3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3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3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3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3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3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3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3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3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3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3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3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3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3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3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3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3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3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3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3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3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3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3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3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3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3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3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3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3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3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3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3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3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3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3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3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3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3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3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3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3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3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3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3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3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3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3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3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3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3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3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3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3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3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3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3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3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3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3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3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3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3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3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3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3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3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3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3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3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3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3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3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3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3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3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3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3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3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3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3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3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3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3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3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3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3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3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3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3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3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3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3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3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3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3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3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3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3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3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3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3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3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3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3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3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3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3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3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3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3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3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3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3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3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3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3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3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3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3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3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3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3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3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3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3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3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3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3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3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3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3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3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3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3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3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3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3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3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3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3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3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3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3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3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3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3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3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3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3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3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3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3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3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3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3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3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3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3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3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3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3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3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3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3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3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3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3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3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3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3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3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3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3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3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3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3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3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3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3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3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3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3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3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3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3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3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3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3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3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3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3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3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3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3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3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3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3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3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3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3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3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3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3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3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3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3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3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3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3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3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3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3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3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3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3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3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3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3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3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3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3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3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3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3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3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3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3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3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3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3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3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3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3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3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3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3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3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3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3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3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3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3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3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3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3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3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3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3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3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3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3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3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3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3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3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3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3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3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3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3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3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3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3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3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3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3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3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3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3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3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3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3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3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3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3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3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3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3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3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3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3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3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3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3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3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3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3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3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3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3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3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3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3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3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3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3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3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3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3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3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3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3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3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3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3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3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3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3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3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3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3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3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3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3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3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3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3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3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3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3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3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3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3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3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3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3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3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3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3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3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3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3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3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3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3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3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3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3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3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3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3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3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3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3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3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3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3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3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3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3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3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3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3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3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3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3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3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3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3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3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3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3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3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3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3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3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3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3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3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3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3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3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3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3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3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3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3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3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3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3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3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3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3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3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3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3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3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3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3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3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3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3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3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3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3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3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3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3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3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3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3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3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3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3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3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3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3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3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3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3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3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3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3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3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3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3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3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3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3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3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3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3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3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3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3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3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3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3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3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3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3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3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3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3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3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3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3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3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3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3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3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3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3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3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3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3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3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3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3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3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3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3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3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3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3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3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3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3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3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3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3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3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3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3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3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3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3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3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3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3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3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3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3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3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3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3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3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3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3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3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3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3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3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3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3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3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3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3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3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3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3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3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3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3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3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3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3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3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3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3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3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3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3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3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3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3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3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3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3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3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3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3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3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3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3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3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3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3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3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3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3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3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3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3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3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3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3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3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3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3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3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3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3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3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3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3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3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3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3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3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3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3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3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3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3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3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3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3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3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3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3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3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3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3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3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3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3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3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3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3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3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3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3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3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3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3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3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3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3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3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3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3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3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3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3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3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3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3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3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3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3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3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3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3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3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3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3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3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3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3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3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3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3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3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3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3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3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3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3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3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3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3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3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3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3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3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3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3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3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3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3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3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3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3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3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3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3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3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3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3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3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3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3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3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3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3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3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3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3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3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3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3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3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3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3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3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3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3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3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3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3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3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3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3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3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3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3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3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3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3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3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3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3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3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3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3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3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3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3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3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3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3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3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3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3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3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3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3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3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3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3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3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3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3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3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3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3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3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3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3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3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3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3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3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3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3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3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3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3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3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3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3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3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3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3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3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3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3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3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3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3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3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3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3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3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3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3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3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3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3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3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3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3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3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3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3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3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3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3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3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3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3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3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3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3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3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3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3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3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3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3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3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3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3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3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3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3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3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3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3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3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3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3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3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3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3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3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3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3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3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3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3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3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3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3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3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3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3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3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3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3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3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3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3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3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3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3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3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3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3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3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3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3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3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3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3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3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3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3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3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3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3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3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3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3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3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3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3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3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3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3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3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3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3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3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3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3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3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3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3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3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3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3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3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3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3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3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3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3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3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3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3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3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3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3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3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3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3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3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3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3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3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3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3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3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3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3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3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3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3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3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3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3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3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3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3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3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3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3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3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3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3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3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3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3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3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3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3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3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3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3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3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3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3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3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3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3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3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3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3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3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3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3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3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3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3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3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3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3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3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3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3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3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3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3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3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3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3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3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3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3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3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3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3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3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3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3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3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3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3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3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3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3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3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3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3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3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3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3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3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3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3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3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3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3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3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3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3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3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3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3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3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3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3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3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3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3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3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3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3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3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3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3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3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3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3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3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3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3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3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3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3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3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3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3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3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3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3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3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3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3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3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3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3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3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3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3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3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3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3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3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3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3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3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3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3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3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3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3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3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3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3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3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3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3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3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3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3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3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3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3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3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3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3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3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3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3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3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3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3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3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3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3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3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3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3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3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3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3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3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3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3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3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3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3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3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3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3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3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3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3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3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3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3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3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3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3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3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3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3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3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3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3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3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3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3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3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3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3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3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3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3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3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3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3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3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3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3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3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3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3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3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3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3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3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3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3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3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3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3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3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3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3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3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3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3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3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3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3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3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3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3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3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3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3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3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3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3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3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3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3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3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3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3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3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3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3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3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3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3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3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3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3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3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3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3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3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3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3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3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3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3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3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3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3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3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3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3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3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3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3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3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3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3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3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3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3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3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3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3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3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3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3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3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3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3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3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3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3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3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3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3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3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3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3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3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3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3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3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3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3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3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3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3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3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3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3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3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3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3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3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3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3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3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3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3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3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3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3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3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3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3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3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3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3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3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3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3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3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3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3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3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3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3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3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3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3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3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3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3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3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3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3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3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3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3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3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3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3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3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3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3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3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3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3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3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3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3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3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3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3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3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3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3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3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3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3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3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3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3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3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3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3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3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3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3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3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3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3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3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3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3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3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3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3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3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3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3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3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3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3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3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3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3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3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3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3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3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3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3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3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3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3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3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3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3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3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3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3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3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3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3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3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3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3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3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3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3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3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3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3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3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3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3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3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3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3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3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3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3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3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3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3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3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3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3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3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3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3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3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3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3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3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3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3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3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3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3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3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3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3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3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3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3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3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3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3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3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3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3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3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3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3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3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3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3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3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3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3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3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3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3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3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3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3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3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3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3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3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3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3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3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3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3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3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3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3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3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3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3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3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3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3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3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3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3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3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3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3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3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3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3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3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3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3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3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3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3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3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3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3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3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3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3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3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3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3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3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3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3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3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3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3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3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3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3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3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3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3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3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3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3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3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3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3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3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3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3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3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3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3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3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3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3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3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3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3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3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3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3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3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3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3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3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3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3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3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3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3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3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3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3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3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3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3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3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3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3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3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3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3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3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3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3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3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3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3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3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3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3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3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3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3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3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3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3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3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3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3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3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3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3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3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3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3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3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3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3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3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3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3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3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3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3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3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3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3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3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3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3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3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3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3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3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3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3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3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3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3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3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3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3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3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3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3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3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3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3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3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3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3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3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3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3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3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3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3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3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3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3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3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3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3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3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3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3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3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3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3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3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3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3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3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3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3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3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3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3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3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3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3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3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3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3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3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3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3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3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3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3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3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3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3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3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3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3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3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3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3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3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3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3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3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3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3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3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3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3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3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3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3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3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3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3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3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3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3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3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3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3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3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3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3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3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3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3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3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3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3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3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3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3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3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3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3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3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3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3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3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3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3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3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3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3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3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3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3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3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3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3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3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3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3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3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3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3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3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3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3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3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3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3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3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3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3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3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3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3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3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3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3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3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3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3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3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3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3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3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3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3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3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3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3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3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3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3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3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3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3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3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3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3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3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3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3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3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3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3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3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3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3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3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3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3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3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3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3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3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3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3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3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3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3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3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3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3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3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3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3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3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3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3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3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3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3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3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3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3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3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3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3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3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3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3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3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3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3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3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3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3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3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3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3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3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3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3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3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3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3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3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3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3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3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3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3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3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3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3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3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3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3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3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3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3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3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3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3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3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3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3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3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3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3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3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3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3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3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3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3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3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3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3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3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3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3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3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3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3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3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3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3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3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3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3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3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3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3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3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3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3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3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3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3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3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3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3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3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3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3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3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3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3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3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3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3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3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3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3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3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3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3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3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3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3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3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3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3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3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3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3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3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3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3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3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3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3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3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3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3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3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3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3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3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3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3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3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3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3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3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3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3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3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3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3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3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3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3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3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3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3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3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3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3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3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3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3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3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3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3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3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3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3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3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3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3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3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3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3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3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3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3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3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3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3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3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3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3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3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3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3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3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3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3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3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3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3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3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3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3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3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3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3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3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3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3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3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3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3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3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3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3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3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3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3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3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3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3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3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3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3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3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3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3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3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3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3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3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3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3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3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3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3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3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3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3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3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3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3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3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3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3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3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3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3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3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3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3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3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3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3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3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3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3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3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3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3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3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3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3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3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3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3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3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3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3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3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3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3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3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3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3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3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3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3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3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3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3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3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3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3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3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3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3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3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3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3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3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3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3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3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3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3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3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3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3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3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3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3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3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3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3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3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3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3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3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3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3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3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3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3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3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3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3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3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3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3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3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3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3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3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3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3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3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3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3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3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3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3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3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3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3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3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3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3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3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3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3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3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3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3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3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3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3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3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3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3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3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3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3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3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3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3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3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3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3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3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3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3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3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3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3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3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3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3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3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3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3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3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3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3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3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3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3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3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3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3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3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3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3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3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3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3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3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3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3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3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3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3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3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3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3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3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3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3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3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3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3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3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3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3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3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3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3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3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3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3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3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3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3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3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3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3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3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3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3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3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3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3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3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3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3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3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3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3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3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3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3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3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3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3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3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3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3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3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3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3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3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3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3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3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3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3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3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3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3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3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3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3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3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3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3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3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3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3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3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3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3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3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3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3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3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3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3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3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3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3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3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3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3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3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3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3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3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3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3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3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3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3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3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3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3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3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3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3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3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3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3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3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3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3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3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3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3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3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3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3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3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3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3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3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3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3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3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3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3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3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3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3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3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3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3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3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3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3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3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3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3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3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3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3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3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3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3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3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3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3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3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3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3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3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3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3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3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3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3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3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3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3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3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3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3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3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3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3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3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3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3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3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3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3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3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3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3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3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3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3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3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3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3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3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3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3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3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3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3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3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3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3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3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3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3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3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3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3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3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3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3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3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3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3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3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3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3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3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3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3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3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3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3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3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3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3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3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3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3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3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3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3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3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3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3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3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3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3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3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3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3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3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3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3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3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3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3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3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3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3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3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3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3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3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3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3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3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3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3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3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3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3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3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3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3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3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3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3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3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3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3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3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3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3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3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3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3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3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3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3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3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3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3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3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3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3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3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3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3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3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3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3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3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3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3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3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3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3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3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3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3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3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3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3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3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3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3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3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3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3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3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3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3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3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3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3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3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3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3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3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3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3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3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3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3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3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3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3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3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3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3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3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3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3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3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3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3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3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3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3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3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3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3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3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3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3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3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3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3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3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3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3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3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3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3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3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3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3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3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3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3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3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3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3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3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3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3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3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3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3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3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3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3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3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3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3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3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3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3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3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3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3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3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3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3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3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3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3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3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3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3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3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3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3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3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3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3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3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3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3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3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3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3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3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3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3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3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3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3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3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3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3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3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3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3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3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3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3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3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3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3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3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3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3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3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3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3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3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3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3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3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3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3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3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3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3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3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3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3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3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3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3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3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3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3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3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3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3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3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3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3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3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3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3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3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3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3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3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3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3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3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3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3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3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3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3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3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3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3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3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3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3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3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3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3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3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3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3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3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3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3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3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3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3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3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3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3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3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3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3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3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3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3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3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3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3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3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3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3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3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3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3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3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3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3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3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3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3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3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3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3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3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3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3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3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3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3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3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3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3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3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3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3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3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3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3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3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3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3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3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3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3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3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3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3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3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3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3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3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3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3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3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3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3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3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3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3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3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3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3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3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3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3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3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3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3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3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3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3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3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3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3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3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3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3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3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3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3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3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3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3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3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3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3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3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3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3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3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3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3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3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3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3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3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3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3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3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3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3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3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3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3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3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3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3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3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3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3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3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3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3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3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3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3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3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3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3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3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3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3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3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3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3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3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3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3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3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3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3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3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3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3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3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3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3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3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3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3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3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3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3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3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3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3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3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3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3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3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3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3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3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3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3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3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3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3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3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3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3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3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3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3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3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3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3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3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3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3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3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3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3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3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3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3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3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3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3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3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3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3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3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3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3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3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3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3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3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3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3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3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3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3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3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3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3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3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3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3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3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3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3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3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3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3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3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3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3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3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8671875" defaultRowHeight="14.4" x14ac:dyDescent="0.3"/>
  <cols>
    <col min="1" max="1" width="25.33203125" style="1" customWidth="1"/>
    <col min="2" max="2" width="16.77734375" style="30" customWidth="1"/>
    <col min="3" max="3" width="22.77734375" style="30" customWidth="1"/>
    <col min="4" max="6" width="13.77734375" style="30" customWidth="1"/>
    <col min="7" max="12" width="16.33203125" style="30" customWidth="1"/>
    <col min="13" max="13" width="22.21875" style="30" customWidth="1"/>
    <col min="14" max="15" width="16.33203125" style="30" customWidth="1"/>
    <col min="16" max="16" width="22.5546875" style="30" customWidth="1"/>
    <col min="17" max="20" width="16.33203125" style="30" customWidth="1"/>
    <col min="21" max="21" width="13.77734375" style="30" hidden="1" customWidth="1"/>
    <col min="22" max="22" width="14.77734375" style="30" customWidth="1"/>
    <col min="23" max="23" width="16.77734375" style="30" customWidth="1"/>
    <col min="24" max="24" width="30.77734375" style="30" customWidth="1"/>
    <col min="25" max="25" width="12.77734375" style="30" customWidth="1"/>
    <col min="26" max="26" width="14.77734375" style="30" customWidth="1"/>
    <col min="27" max="27" width="26.77734375" style="30" customWidth="1"/>
    <col min="28" max="28" width="18.77734375" style="30" hidden="1" customWidth="1"/>
    <col min="29" max="30" width="16.77734375" style="30" customWidth="1"/>
    <col min="31" max="32" width="13.77734375" style="30" customWidth="1"/>
    <col min="33" max="16384" width="8.88671875" style="1"/>
  </cols>
  <sheetData>
    <row r="1" spans="1:32" s="89" customFormat="1" ht="40.200000000000003" customHeight="1" x14ac:dyDescent="0.3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95" customHeight="1" x14ac:dyDescent="0.3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3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95" customHeight="1" x14ac:dyDescent="0.3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95" customHeight="1" x14ac:dyDescent="0.3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3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95" customHeight="1" x14ac:dyDescent="0.3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95" customHeight="1" x14ac:dyDescent="0.3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95" customHeight="1" x14ac:dyDescent="0.3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3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6" x14ac:dyDescent="0.3">
      <c r="A11" s="95" t="s">
        <v>371</v>
      </c>
      <c r="B11" s="212" t="str">
        <f>PeriodoEfetivo(Estat_Ini_Efetiva,Estat_Fim_Efetiva,Estat_Exclusoes)</f>
        <v>01/01/2026 a 31/12/2026  |  sem exclusoes</v>
      </c>
      <c r="C11" s="213"/>
      <c r="D11" s="213"/>
      <c r="E11" s="213"/>
      <c r="F11" s="213"/>
      <c r="G11" s="213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3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2" customHeight="1" x14ac:dyDescent="0.3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2" t="s">
        <v>1131</v>
      </c>
      <c r="W13" s="142" t="s">
        <v>1132</v>
      </c>
      <c r="X13" s="142" t="s">
        <v>1133</v>
      </c>
      <c r="Y13" s="142" t="s">
        <v>1134</v>
      </c>
      <c r="Z13" s="142" t="s">
        <v>1135</v>
      </c>
      <c r="AA13" s="142" t="s">
        <v>1136</v>
      </c>
      <c r="AB13" s="142" t="s">
        <v>1137</v>
      </c>
      <c r="AC13" s="111" t="s">
        <v>1157</v>
      </c>
      <c r="AD13" s="111" t="s">
        <v>1158</v>
      </c>
      <c r="AE13" s="110"/>
      <c r="AF13" s="110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1">
        <f t="shared" ref="N14:N45" si="2">IF(OR(NOT(ISNUMBER($K14)),NOT(ISNUMBER($H14))),"",$K14-$H14)</f>
        <v>9.5557007052088938</v>
      </c>
      <c r="O14" s="152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2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3">
        <f t="shared" ref="V14:V45" si="5">IF(NOT(ISNUMBER($L14)),"",mPlanoQC.DPMdoSigma($L14))</f>
        <v>2.0188403171417235E-2</v>
      </c>
      <c r="W14" s="144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5">
        <f>IF(NOT(ISNUMBER($L14)),"",mPlanoQC.PlanoQC($L14,"N"))</f>
        <v>2</v>
      </c>
      <c r="Z14" s="143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5">
        <f>IF($A14="","",mCEQ.BiasEQ($A14,eqAnoEP,"N",eqProvedor,eqRodada))</f>
        <v>15</v>
      </c>
      <c r="AD14" s="145">
        <f>IF($A14="","",mCEQ.BiasEQ($A14,eqAnoEP,"NRODADAS",eqProvedor,eqRodada))</f>
        <v>3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1">
        <f t="shared" si="2"/>
        <v>1.1968823110859343</v>
      </c>
      <c r="O15" s="152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2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3">
        <f t="shared" si="5"/>
        <v>372748.47875515668</v>
      </c>
      <c r="W15" s="144">
        <f t="shared" si="6"/>
        <v>62.725152124484332</v>
      </c>
      <c r="X15" s="30" t="str">
        <f>IF(NOT(ISNUMBER($L15)),"",mPlanoQC.PlanoQC($L15,"REGRAS"))</f>
        <v/>
      </c>
      <c r="Y15" s="145" t="str">
        <f>IF(NOT(ISNUMBER($L15)),"",mPlanoQC.PlanoQC($L15,"N"))</f>
        <v/>
      </c>
      <c r="Z15" s="143" t="str">
        <f>IF(NOT(ISNUMBER($L15)),"",mPlanoQC.PlanoQC($L15,"RUNSIZE"))</f>
        <v/>
      </c>
      <c r="AA15" s="30" t="str">
        <f>IF(NOT(ISNUMBER($L15)),"",mPlanoQC.CoberturaWestgard($L15))</f>
        <v>não aplicável</v>
      </c>
      <c r="AB15" s="30" t="str">
        <f t="shared" si="7"/>
        <v>Lactato|2</v>
      </c>
      <c r="AC15" s="145">
        <f>IF($A15="","",mCEQ.BiasEQ($A15,eqAnoEP,"N",eqProvedor,eqRodada))</f>
        <v>15</v>
      </c>
      <c r="AD15" s="145">
        <f>IF($A15="","",mCEQ.BiasEQ($A15,eqAnoEP,"NRODADAS",eqProvedor,eqRodada))</f>
        <v>3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1">
        <f t="shared" si="2"/>
        <v>11.011865431617233</v>
      </c>
      <c r="O16" s="152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2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3">
        <f t="shared" si="5"/>
        <v>1.9646655993188489</v>
      </c>
      <c r="W16" s="144">
        <f t="shared" si="6"/>
        <v>99.999803533440073</v>
      </c>
      <c r="X16" s="30" t="str">
        <f>IF(NOT(ISNUMBER($L16)),"",mPlanoQC.PlanoQC($L16,"REGRAS"))</f>
        <v>1_3s</v>
      </c>
      <c r="Y16" s="145">
        <f>IF(NOT(ISNUMBER($L16)),"",mPlanoQC.PlanoQC($L16,"N"))</f>
        <v>2</v>
      </c>
      <c r="Z16" s="143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5">
        <f>IF($A16="","",mCEQ.BiasEQ($A16,eqAnoEP,"N",eqProvedor,eqRodada))</f>
        <v>15</v>
      </c>
      <c r="AD16" s="145">
        <f>IF($A16="","",mCEQ.BiasEQ($A16,eqAnoEP,"NRODADAS",eqProvedor,eqRodada))</f>
        <v>3</v>
      </c>
    </row>
    <row r="17" spans="1:30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1">
        <f t="shared" si="2"/>
        <v>12.553524736288409</v>
      </c>
      <c r="O17" s="152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2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3">
        <f t="shared" si="5"/>
        <v>0</v>
      </c>
      <c r="W17" s="144">
        <f t="shared" si="6"/>
        <v>100</v>
      </c>
      <c r="X17" s="30" t="str">
        <f>IF(NOT(ISNUMBER($L17)),"",mPlanoQC.PlanoQC($L17,"REGRAS"))</f>
        <v>1_3s</v>
      </c>
      <c r="Y17" s="145">
        <f>IF(NOT(ISNUMBER($L17)),"",mPlanoQC.PlanoQC($L17,"N"))</f>
        <v>2</v>
      </c>
      <c r="Z17" s="143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5">
        <f>IF($A17="","",mCEQ.BiasEQ($A17,eqAnoEP,"N",eqProvedor,eqRodada))</f>
        <v>15</v>
      </c>
      <c r="AD17" s="145">
        <f>IF($A17="","",mCEQ.BiasEQ($A17,eqAnoEP,"NRODADAS",eqProvedor,eqRodada))</f>
        <v>3</v>
      </c>
    </row>
    <row r="18" spans="1:30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1">
        <f t="shared" si="2"/>
        <v>0.21771186310439994</v>
      </c>
      <c r="O18" s="152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2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3">
        <f t="shared" si="5"/>
        <v>410701.21282278869</v>
      </c>
      <c r="W18" s="144">
        <f t="shared" si="6"/>
        <v>58.929878717721131</v>
      </c>
      <c r="X18" s="30" t="str">
        <f>IF(NOT(ISNUMBER($L18)),"",mPlanoQC.PlanoQC($L18,"REGRAS"))</f>
        <v/>
      </c>
      <c r="Y18" s="145" t="str">
        <f>IF(NOT(ISNUMBER($L18)),"",mPlanoQC.PlanoQC($L18,"N"))</f>
        <v/>
      </c>
      <c r="Z18" s="143" t="str">
        <f>IF(NOT(ISNUMBER($L18)),"",mPlanoQC.PlanoQC($L18,"RUNSIZE"))</f>
        <v/>
      </c>
      <c r="AA18" s="30" t="str">
        <f>IF(NOT(ISNUMBER($L18)),"",mPlanoQC.CoberturaWestgard($L18))</f>
        <v>não aplicável</v>
      </c>
      <c r="AB18" s="30" t="str">
        <f t="shared" si="7"/>
        <v>Albumina|1</v>
      </c>
      <c r="AC18" s="145">
        <f>IF($A18="","",mCEQ.BiasEQ($A18,eqAnoEP,"N",eqProvedor,eqRodada))</f>
        <v>15</v>
      </c>
      <c r="AD18" s="145">
        <f>IF($A18="","",mCEQ.BiasEQ($A18,eqAnoEP,"NRODADAS",eqProvedor,eqRodada))</f>
        <v>3</v>
      </c>
    </row>
    <row r="19" spans="1:30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1">
        <f t="shared" si="2"/>
        <v>0.58098394334977499</v>
      </c>
      <c r="O19" s="152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2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3">
        <f t="shared" si="5"/>
        <v>356105.20173541451</v>
      </c>
      <c r="W19" s="144">
        <f t="shared" si="6"/>
        <v>64.389479826458555</v>
      </c>
      <c r="X19" s="30" t="str">
        <f>IF(NOT(ISNUMBER($L19)),"",mPlanoQC.PlanoQC($L19,"REGRAS"))</f>
        <v/>
      </c>
      <c r="Y19" s="145" t="str">
        <f>IF(NOT(ISNUMBER($L19)),"",mPlanoQC.PlanoQC($L19,"N"))</f>
        <v/>
      </c>
      <c r="Z19" s="143" t="str">
        <f>IF(NOT(ISNUMBER($L19)),"",mPlanoQC.PlanoQC($L19,"RUNSIZE"))</f>
        <v/>
      </c>
      <c r="AA19" s="30" t="str">
        <f>IF(NOT(ISNUMBER($L19)),"",mPlanoQC.CoberturaWestgard($L19))</f>
        <v>não aplicável</v>
      </c>
      <c r="AB19" s="30" t="str">
        <f t="shared" si="7"/>
        <v>Albumina|2</v>
      </c>
      <c r="AC19" s="145">
        <f>IF($A19="","",mCEQ.BiasEQ($A19,eqAnoEP,"N",eqProvedor,eqRodada))</f>
        <v>15</v>
      </c>
      <c r="AD19" s="145">
        <f>IF($A19="","",mCEQ.BiasEQ($A19,eqAnoEP,"NRODADAS",eqProvedor,eqRodada))</f>
        <v>3</v>
      </c>
    </row>
    <row r="20" spans="1:30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1">
        <f t="shared" si="2"/>
        <v>-0.66372170308691381</v>
      </c>
      <c r="O20" s="152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2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3">
        <f t="shared" si="5"/>
        <v>484707.99372651608</v>
      </c>
      <c r="W20" s="144">
        <f t="shared" si="6"/>
        <v>51.529200627348395</v>
      </c>
      <c r="X20" s="30" t="str">
        <f>IF(NOT(ISNUMBER($L20)),"",mPlanoQC.PlanoQC($L20,"REGRAS"))</f>
        <v/>
      </c>
      <c r="Y20" s="145" t="str">
        <f>IF(NOT(ISNUMBER($L20)),"",mPlanoQC.PlanoQC($L20,"N"))</f>
        <v/>
      </c>
      <c r="Z20" s="143" t="str">
        <f>IF(NOT(ISNUMBER($L20)),"",mPlanoQC.PlanoQC($L20,"RUNSIZE"))</f>
        <v/>
      </c>
      <c r="AA20" s="30" t="str">
        <f>IF(NOT(ISNUMBER($L20)),"",mPlanoQC.CoberturaWestgard($L20))</f>
        <v>não aplicável</v>
      </c>
      <c r="AB20" s="30" t="str">
        <f t="shared" si="7"/>
        <v>Bilirrubina direta|1</v>
      </c>
      <c r="AC20" s="145">
        <f>IF($A20="","",mCEQ.BiasEQ($A20,eqAnoEP,"N",eqProvedor,eqRodada))</f>
        <v>15</v>
      </c>
      <c r="AD20" s="145">
        <f>IF($A20="","",mCEQ.BiasEQ($A20,eqAnoEP,"NRODADAS",eqProvedor,eqRodada))</f>
        <v>3</v>
      </c>
    </row>
    <row r="21" spans="1:30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1">
        <f t="shared" si="2"/>
        <v>-0.21865911957231532</v>
      </c>
      <c r="O21" s="152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2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3">
        <f t="shared" si="5"/>
        <v>455623.43760846346</v>
      </c>
      <c r="W21" s="144">
        <f t="shared" si="6"/>
        <v>54.437656239153654</v>
      </c>
      <c r="X21" s="30" t="str">
        <f>IF(NOT(ISNUMBER($L21)),"",mPlanoQC.PlanoQC($L21,"REGRAS"))</f>
        <v/>
      </c>
      <c r="Y21" s="145" t="str">
        <f>IF(NOT(ISNUMBER($L21)),"",mPlanoQC.PlanoQC($L21,"N"))</f>
        <v/>
      </c>
      <c r="Z21" s="143" t="str">
        <f>IF(NOT(ISNUMBER($L21)),"",mPlanoQC.PlanoQC($L21,"RUNSIZE"))</f>
        <v/>
      </c>
      <c r="AA21" s="30" t="str">
        <f>IF(NOT(ISNUMBER($L21)),"",mPlanoQC.CoberturaWestgard($L21))</f>
        <v>não aplicável</v>
      </c>
      <c r="AB21" s="30" t="str">
        <f t="shared" si="7"/>
        <v>Bilirrubina direta|2</v>
      </c>
      <c r="AC21" s="145">
        <f>IF($A21="","",mCEQ.BiasEQ($A21,eqAnoEP,"N",eqProvedor,eqRodada))</f>
        <v>15</v>
      </c>
      <c r="AD21" s="145">
        <f>IF($A21="","",mCEQ.BiasEQ($A21,eqAnoEP,"NRODADAS",eqProvedor,eqRodada))</f>
        <v>3</v>
      </c>
    </row>
    <row r="22" spans="1:30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1">
        <f t="shared" si="2"/>
        <v>4.4340842480394738</v>
      </c>
      <c r="O22" s="152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2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3">
        <f t="shared" si="5"/>
        <v>45290.65283659206</v>
      </c>
      <c r="W22" s="144">
        <f t="shared" si="6"/>
        <v>95.470934716340793</v>
      </c>
      <c r="X22" s="30" t="str">
        <f>IF(NOT(ISNUMBER($L22)),"",mPlanoQC.PlanoQC($L22,"REGRAS"))</f>
        <v>1_3s / 2_2s / R_4s / 4_1s / 8x</v>
      </c>
      <c r="Y22" s="145">
        <f>IF(NOT(ISNUMBER($L22)),"",mPlanoQC.PlanoQC($L22,"N"))</f>
        <v>6</v>
      </c>
      <c r="Z22" s="143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5">
        <f>IF($A22="","",mCEQ.BiasEQ($A22,eqAnoEP,"N",eqProvedor,eqRodada))</f>
        <v>15</v>
      </c>
      <c r="AD22" s="145">
        <f>IF($A22="","",mCEQ.BiasEQ($A22,eqAnoEP,"NRODADAS",eqProvedor,eqRodada))</f>
        <v>3</v>
      </c>
    </row>
    <row r="23" spans="1:30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1">
        <f t="shared" si="2"/>
        <v>5.4055877120018128</v>
      </c>
      <c r="O23" s="152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2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3">
        <f t="shared" si="5"/>
        <v>5959.6179704778369</v>
      </c>
      <c r="W23" s="144">
        <f t="shared" si="6"/>
        <v>99.404038202952222</v>
      </c>
      <c r="X23" s="30" t="str">
        <f>IF(NOT(ISNUMBER($L23)),"",mPlanoQC.PlanoQC($L23,"REGRAS"))</f>
        <v>1_3s / 2_2s / R_4s / 4_1s</v>
      </c>
      <c r="Y23" s="145">
        <f>IF(NOT(ISNUMBER($L23)),"",mPlanoQC.PlanoQC($L23,"N"))</f>
        <v>4</v>
      </c>
      <c r="Z23" s="143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5">
        <f>IF($A23="","",mCEQ.BiasEQ($A23,eqAnoEP,"N",eqProvedor,eqRodada))</f>
        <v>15</v>
      </c>
      <c r="AD23" s="145">
        <f>IF($A23="","",mCEQ.BiasEQ($A23,eqAnoEP,"NRODADAS",eqProvedor,eqRodada))</f>
        <v>3</v>
      </c>
    </row>
    <row r="24" spans="1:30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1">
        <f t="shared" si="2"/>
        <v>4.9047559696993677</v>
      </c>
      <c r="O24" s="152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2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3">
        <f t="shared" si="5"/>
        <v>4386.9802011714528</v>
      </c>
      <c r="W24" s="144">
        <f t="shared" si="6"/>
        <v>99.561301979882856</v>
      </c>
      <c r="X24" s="30" t="str">
        <f>IF(NOT(ISNUMBER($L24)),"",mPlanoQC.PlanoQC($L24,"REGRAS"))</f>
        <v>1_3s / 2_2s / R_4s / 4_1s</v>
      </c>
      <c r="Y24" s="145">
        <f>IF(NOT(ISNUMBER($L24)),"",mPlanoQC.PlanoQC($L24,"N"))</f>
        <v>4</v>
      </c>
      <c r="Z24" s="143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5">
        <f>IF($A24="","",mCEQ.BiasEQ($A24,eqAnoEP,"N",eqProvedor,eqRodada))</f>
        <v>15</v>
      </c>
      <c r="AD24" s="145">
        <f>IF($A24="","",mCEQ.BiasEQ($A24,eqAnoEP,"NRODADAS",eqProvedor,eqRodada))</f>
        <v>3</v>
      </c>
    </row>
    <row r="25" spans="1:30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1">
        <f t="shared" si="2"/>
        <v>5.0003588066792357</v>
      </c>
      <c r="O25" s="152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2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3">
        <f t="shared" si="5"/>
        <v>3028.9752791122783</v>
      </c>
      <c r="W25" s="144">
        <f t="shared" si="6"/>
        <v>99.697102472088773</v>
      </c>
      <c r="X25" s="30" t="str">
        <f>IF(NOT(ISNUMBER($L25)),"",mPlanoQC.PlanoQC($L25,"REGRAS"))</f>
        <v>1_3s / 2_2s / R_4s / 4_1s</v>
      </c>
      <c r="Y25" s="145">
        <f>IF(NOT(ISNUMBER($L25)),"",mPlanoQC.PlanoQC($L25,"N"))</f>
        <v>4</v>
      </c>
      <c r="Z25" s="143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5">
        <f>IF($A25="","",mCEQ.BiasEQ($A25,eqAnoEP,"N",eqProvedor,eqRodada))</f>
        <v>15</v>
      </c>
      <c r="AD25" s="145">
        <f>IF($A25="","",mCEQ.BiasEQ($A25,eqAnoEP,"NRODADAS",eqProvedor,eqRodada))</f>
        <v>3</v>
      </c>
    </row>
    <row r="26" spans="1:30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1">
        <f t="shared" si="2"/>
        <v>4.3563388746614784</v>
      </c>
      <c r="O26" s="152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2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3">
        <f t="shared" si="5"/>
        <v>151393.60402617641</v>
      </c>
      <c r="W26" s="144">
        <f t="shared" si="6"/>
        <v>84.86063959738236</v>
      </c>
      <c r="X26" s="30" t="str">
        <f>IF(NOT(ISNUMBER($L26)),"",mPlanoQC.PlanoQC($L26,"REGRAS"))</f>
        <v/>
      </c>
      <c r="Y26" s="145" t="str">
        <f>IF(NOT(ISNUMBER($L26)),"",mPlanoQC.PlanoQC($L26,"N"))</f>
        <v/>
      </c>
      <c r="Z26" s="143" t="str">
        <f>IF(NOT(ISNUMBER($L26)),"",mPlanoQC.PlanoQC($L26,"RUNSIZE"))</f>
        <v/>
      </c>
      <c r="AA26" s="30" t="str">
        <f>IF(NOT(ISNUMBER($L26)),"",mPlanoQC.CoberturaWestgard($L26))</f>
        <v>não aplicável</v>
      </c>
      <c r="AB26" s="30" t="str">
        <f t="shared" si="7"/>
        <v>Capacidade de fixação do ferro|1</v>
      </c>
      <c r="AC26" s="145">
        <f>IF($A26="","",mCEQ.BiasEQ($A26,eqAnoEP,"N",eqProvedor,eqRodada))</f>
        <v>15</v>
      </c>
      <c r="AD26" s="145">
        <f>IF($A26="","",mCEQ.BiasEQ($A26,eqAnoEP,"NRODADAS",eqProvedor,eqRodada))</f>
        <v>3</v>
      </c>
    </row>
    <row r="27" spans="1:30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1">
        <f t="shared" si="2"/>
        <v>2.7049598547307099</v>
      </c>
      <c r="O27" s="152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2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3">
        <f t="shared" si="5"/>
        <v>272680.60605776624</v>
      </c>
      <c r="W27" s="144">
        <f t="shared" si="6"/>
        <v>72.731939394223375</v>
      </c>
      <c r="X27" s="30" t="str">
        <f>IF(NOT(ISNUMBER($L27)),"",mPlanoQC.PlanoQC($L27,"REGRAS"))</f>
        <v/>
      </c>
      <c r="Y27" s="145" t="str">
        <f>IF(NOT(ISNUMBER($L27)),"",mPlanoQC.PlanoQC($L27,"N"))</f>
        <v/>
      </c>
      <c r="Z27" s="143" t="str">
        <f>IF(NOT(ISNUMBER($L27)),"",mPlanoQC.PlanoQC($L27,"RUNSIZE"))</f>
        <v/>
      </c>
      <c r="AA27" s="30" t="str">
        <f>IF(NOT(ISNUMBER($L27)),"",mPlanoQC.CoberturaWestgard($L27))</f>
        <v>não aplicável</v>
      </c>
      <c r="AB27" s="30" t="str">
        <f t="shared" si="7"/>
        <v>Capacidade de fixação do ferro|2</v>
      </c>
      <c r="AC27" s="145">
        <f>IF($A27="","",mCEQ.BiasEQ($A27,eqAnoEP,"N",eqProvedor,eqRodada))</f>
        <v>15</v>
      </c>
      <c r="AD27" s="145">
        <f>IF($A27="","",mCEQ.BiasEQ($A27,eqAnoEP,"NRODADAS",eqProvedor,eqRodada))</f>
        <v>3</v>
      </c>
    </row>
    <row r="28" spans="1:30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1">
        <f t="shared" si="2"/>
        <v>3.0084198436874132</v>
      </c>
      <c r="O28" s="152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2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3">
        <f t="shared" si="5"/>
        <v>115994.10835396951</v>
      </c>
      <c r="W28" s="144">
        <f t="shared" si="6"/>
        <v>88.400589164603048</v>
      </c>
      <c r="X28" s="30" t="str">
        <f>IF(NOT(ISNUMBER($L28)),"",mPlanoQC.PlanoQC($L28,"REGRAS"))</f>
        <v/>
      </c>
      <c r="Y28" s="145" t="str">
        <f>IF(NOT(ISNUMBER($L28)),"",mPlanoQC.PlanoQC($L28,"N"))</f>
        <v/>
      </c>
      <c r="Z28" s="143" t="str">
        <f>IF(NOT(ISNUMBER($L28)),"",mPlanoQC.PlanoQC($L28,"RUNSIZE"))</f>
        <v/>
      </c>
      <c r="AA28" s="30" t="str">
        <f>IF(NOT(ISNUMBER($L28)),"",mPlanoQC.CoberturaWestgard($L28))</f>
        <v>não aplicável</v>
      </c>
      <c r="AB28" s="30" t="str">
        <f t="shared" si="7"/>
        <v>Colesterol total|1</v>
      </c>
      <c r="AC28" s="145">
        <f>IF($A28="","",mCEQ.BiasEQ($A28,eqAnoEP,"N",eqProvedor,eqRodada))</f>
        <v>15</v>
      </c>
      <c r="AD28" s="145">
        <f>IF($A28="","",mCEQ.BiasEQ($A28,eqAnoEP,"NRODADAS",eqProvedor,eqRodada))</f>
        <v>3</v>
      </c>
    </row>
    <row r="29" spans="1:30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1">
        <f t="shared" si="2"/>
        <v>1.0505125833439521</v>
      </c>
      <c r="O29" s="152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2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3">
        <f t="shared" si="5"/>
        <v>341474.46087647701</v>
      </c>
      <c r="W29" s="144">
        <f t="shared" si="6"/>
        <v>65.852553912352306</v>
      </c>
      <c r="X29" s="30" t="str">
        <f>IF(NOT(ISNUMBER($L29)),"",mPlanoQC.PlanoQC($L29,"REGRAS"))</f>
        <v/>
      </c>
      <c r="Y29" s="145" t="str">
        <f>IF(NOT(ISNUMBER($L29)),"",mPlanoQC.PlanoQC($L29,"N"))</f>
        <v/>
      </c>
      <c r="Z29" s="143" t="str">
        <f>IF(NOT(ISNUMBER($L29)),"",mPlanoQC.PlanoQC($L29,"RUNSIZE"))</f>
        <v/>
      </c>
      <c r="AA29" s="30" t="str">
        <f>IF(NOT(ISNUMBER($L29)),"",mPlanoQC.CoberturaWestgard($L29))</f>
        <v>não aplicável</v>
      </c>
      <c r="AB29" s="30" t="str">
        <f t="shared" si="7"/>
        <v>Colesterol total|2</v>
      </c>
      <c r="AC29" s="145">
        <f>IF($A29="","",mCEQ.BiasEQ($A29,eqAnoEP,"N",eqProvedor,eqRodada))</f>
        <v>15</v>
      </c>
      <c r="AD29" s="145">
        <f>IF($A29="","",mCEQ.BiasEQ($A29,eqAnoEP,"NRODADAS",eqProvedor,eqRodada))</f>
        <v>3</v>
      </c>
    </row>
    <row r="30" spans="1:30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1">
        <f t="shared" si="2"/>
        <v>22.336424531716084</v>
      </c>
      <c r="O30" s="152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2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3">
        <f t="shared" si="5"/>
        <v>0</v>
      </c>
      <c r="W30" s="144">
        <f t="shared" si="6"/>
        <v>100</v>
      </c>
      <c r="X30" s="30" t="str">
        <f>IF(NOT(ISNUMBER($L30)),"",mPlanoQC.PlanoQC($L30,"REGRAS"))</f>
        <v>1_3s</v>
      </c>
      <c r="Y30" s="145">
        <f>IF(NOT(ISNUMBER($L30)),"",mPlanoQC.PlanoQC($L30,"N"))</f>
        <v>2</v>
      </c>
      <c r="Z30" s="143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5">
        <f>IF($A30="","",mCEQ.BiasEQ($A30,eqAnoEP,"N",eqProvedor,eqRodada))</f>
        <v>15</v>
      </c>
      <c r="AD30" s="145">
        <f>IF($A30="","",mCEQ.BiasEQ($A30,eqAnoEP,"NRODADAS",eqProvedor,eqRodada))</f>
        <v>3</v>
      </c>
    </row>
    <row r="31" spans="1:30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1">
        <f t="shared" si="2"/>
        <v>22.905385537328435</v>
      </c>
      <c r="O31" s="152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2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3">
        <f t="shared" si="5"/>
        <v>0</v>
      </c>
      <c r="W31" s="144">
        <f t="shared" si="6"/>
        <v>100</v>
      </c>
      <c r="X31" s="30" t="str">
        <f>IF(NOT(ISNUMBER($L31)),"",mPlanoQC.PlanoQC($L31,"REGRAS"))</f>
        <v>1_3s</v>
      </c>
      <c r="Y31" s="145">
        <f>IF(NOT(ISNUMBER($L31)),"",mPlanoQC.PlanoQC($L31,"N"))</f>
        <v>2</v>
      </c>
      <c r="Z31" s="143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5">
        <f>IF($A31="","",mCEQ.BiasEQ($A31,eqAnoEP,"N",eqProvedor,eqRodada))</f>
        <v>15</v>
      </c>
      <c r="AD31" s="145">
        <f>IF($A31="","",mCEQ.BiasEQ($A31,eqAnoEP,"NRODADAS",eqProvedor,eqRodada))</f>
        <v>3</v>
      </c>
    </row>
    <row r="32" spans="1:30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1">
        <f t="shared" si="2"/>
        <v>7.3883650665462213</v>
      </c>
      <c r="O32" s="152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2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3">
        <f t="shared" si="5"/>
        <v>2944.5739639957224</v>
      </c>
      <c r="W32" s="144">
        <f t="shared" si="6"/>
        <v>99.705542603600435</v>
      </c>
      <c r="X32" s="30" t="str">
        <f>IF(NOT(ISNUMBER($L32)),"",mPlanoQC.PlanoQC($L32,"REGRAS"))</f>
        <v>1_3s / 2_2s / R_4s / 4_1s</v>
      </c>
      <c r="Y32" s="145">
        <f>IF(NOT(ISNUMBER($L32)),"",mPlanoQC.PlanoQC($L32,"N"))</f>
        <v>4</v>
      </c>
      <c r="Z32" s="143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5">
        <f>IF($A32="","",mCEQ.BiasEQ($A32,eqAnoEP,"N",eqProvedor,eqRodada))</f>
        <v>15</v>
      </c>
      <c r="AD32" s="145">
        <f>IF($A32="","",mCEQ.BiasEQ($A32,eqAnoEP,"NRODADAS",eqProvedor,eqRodada))</f>
        <v>3</v>
      </c>
    </row>
    <row r="33" spans="1:30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1">
        <f t="shared" si="2"/>
        <v>8.9409262804233709</v>
      </c>
      <c r="O33" s="152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2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3">
        <f t="shared" si="5"/>
        <v>0.57382664753191648</v>
      </c>
      <c r="W33" s="144">
        <f t="shared" si="6"/>
        <v>99.99994261733525</v>
      </c>
      <c r="X33" s="30" t="str">
        <f>IF(NOT(ISNUMBER($L33)),"",mPlanoQC.PlanoQC($L33,"REGRAS"))</f>
        <v>1_3s</v>
      </c>
      <c r="Y33" s="145">
        <f>IF(NOT(ISNUMBER($L33)),"",mPlanoQC.PlanoQC($L33,"N"))</f>
        <v>2</v>
      </c>
      <c r="Z33" s="143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5">
        <f>IF($A33="","",mCEQ.BiasEQ($A33,eqAnoEP,"N",eqProvedor,eqRodada))</f>
        <v>15</v>
      </c>
      <c r="AD33" s="145">
        <f>IF($A33="","",mCEQ.BiasEQ($A33,eqAnoEP,"NRODADAS",eqProvedor,eqRodada))</f>
        <v>3</v>
      </c>
    </row>
    <row r="34" spans="1:30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1">
        <f t="shared" si="2"/>
        <v>12.300613177584324</v>
      </c>
      <c r="O34" s="152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2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3">
        <f t="shared" si="5"/>
        <v>0</v>
      </c>
      <c r="W34" s="144">
        <f t="shared" si="6"/>
        <v>100</v>
      </c>
      <c r="X34" s="30" t="str">
        <f>IF(NOT(ISNUMBER($L34)),"",mPlanoQC.PlanoQC($L34,"REGRAS"))</f>
        <v>1_3s</v>
      </c>
      <c r="Y34" s="145">
        <f>IF(NOT(ISNUMBER($L34)),"",mPlanoQC.PlanoQC($L34,"N"))</f>
        <v>2</v>
      </c>
      <c r="Z34" s="143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5">
        <f>IF($A34="","",mCEQ.BiasEQ($A34,eqAnoEP,"N",eqProvedor,eqRodada))</f>
        <v>15</v>
      </c>
      <c r="AD34" s="145">
        <f>IF($A34="","",mCEQ.BiasEQ($A34,eqAnoEP,"NRODADAS",eqProvedor,eqRodada))</f>
        <v>3</v>
      </c>
    </row>
    <row r="35" spans="1:30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1">
        <f t="shared" si="2"/>
        <v>10.74472620145654</v>
      </c>
      <c r="O35" s="152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2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3">
        <f t="shared" si="5"/>
        <v>2.3585349229193753E-3</v>
      </c>
      <c r="W35" s="144">
        <f t="shared" si="6"/>
        <v>99.999999764146509</v>
      </c>
      <c r="X35" s="30" t="str">
        <f>IF(NOT(ISNUMBER($L35)),"",mPlanoQC.PlanoQC($L35,"REGRAS"))</f>
        <v>1_3s</v>
      </c>
      <c r="Y35" s="145">
        <f>IF(NOT(ISNUMBER($L35)),"",mPlanoQC.PlanoQC($L35,"N"))</f>
        <v>2</v>
      </c>
      <c r="Z35" s="143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5">
        <f>IF($A35="","",mCEQ.BiasEQ($A35,eqAnoEP,"N",eqProvedor,eqRodada))</f>
        <v>15</v>
      </c>
      <c r="AD35" s="145">
        <f>IF($A35="","",mCEQ.BiasEQ($A35,eqAnoEP,"NRODADAS",eqProvedor,eqRodada))</f>
        <v>3</v>
      </c>
    </row>
    <row r="36" spans="1:30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1">
        <f t="shared" si="2"/>
        <v>3.6259046915681781</v>
      </c>
      <c r="O36" s="152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2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3">
        <f t="shared" si="5"/>
        <v>73584.057340523097</v>
      </c>
      <c r="W36" s="144">
        <f t="shared" si="6"/>
        <v>92.641594265947688</v>
      </c>
      <c r="X36" s="30" t="str">
        <f>IF(NOT(ISNUMBER($L36)),"",mPlanoQC.PlanoQC($L36,"REGRAS"))</f>
        <v/>
      </c>
      <c r="Y36" s="145" t="str">
        <f>IF(NOT(ISNUMBER($L36)),"",mPlanoQC.PlanoQC($L36,"N"))</f>
        <v/>
      </c>
      <c r="Z36" s="143" t="str">
        <f>IF(NOT(ISNUMBER($L36)),"",mPlanoQC.PlanoQC($L36,"RUNSIZE"))</f>
        <v/>
      </c>
      <c r="AA36" s="30" t="str">
        <f>IF(NOT(ISNUMBER($L36)),"",mPlanoQC.CoberturaWestgard($L36))</f>
        <v>não aplicável</v>
      </c>
      <c r="AB36" s="30" t="str">
        <f t="shared" si="7"/>
        <v>Fósforo|1</v>
      </c>
      <c r="AC36" s="145">
        <f>IF($A36="","",mCEQ.BiasEQ($A36,eqAnoEP,"N",eqProvedor,eqRodada))</f>
        <v>15</v>
      </c>
      <c r="AD36" s="145">
        <f>IF($A36="","",mCEQ.BiasEQ($A36,eqAnoEP,"NRODADAS",eqProvedor,eqRodada))</f>
        <v>3</v>
      </c>
    </row>
    <row r="37" spans="1:30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1">
        <f t="shared" si="2"/>
        <v>4.9418748253982816</v>
      </c>
      <c r="O37" s="152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2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3">
        <f t="shared" si="5"/>
        <v>4265.3615636376599</v>
      </c>
      <c r="W37" s="144">
        <f t="shared" si="6"/>
        <v>99.573463843636233</v>
      </c>
      <c r="X37" s="30" t="str">
        <f>IF(NOT(ISNUMBER($L37)),"",mPlanoQC.PlanoQC($L37,"REGRAS"))</f>
        <v>1_3s / 2_2s / R_4s / 4_1s</v>
      </c>
      <c r="Y37" s="145">
        <f>IF(NOT(ISNUMBER($L37)),"",mPlanoQC.PlanoQC($L37,"N"))</f>
        <v>4</v>
      </c>
      <c r="Z37" s="143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5">
        <f>IF($A37="","",mCEQ.BiasEQ($A37,eqAnoEP,"N",eqProvedor,eqRodada))</f>
        <v>15</v>
      </c>
      <c r="AD37" s="145">
        <f>IF($A37="","",mCEQ.BiasEQ($A37,eqAnoEP,"NRODADAS",eqProvedor,eqRodada))</f>
        <v>3</v>
      </c>
    </row>
    <row r="38" spans="1:30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1">
        <f t="shared" si="2"/>
        <v>4.4039766055455036</v>
      </c>
      <c r="O38" s="152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2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3">
        <f t="shared" si="5"/>
        <v>3590.4796139961668</v>
      </c>
      <c r="W38" s="144">
        <f t="shared" si="6"/>
        <v>99.640952038600389</v>
      </c>
      <c r="X38" s="30" t="str">
        <f>IF(NOT(ISNUMBER($L38)),"",mPlanoQC.PlanoQC($L38,"REGRAS"))</f>
        <v>1_3s / 2_2s / R_4s / 4_1s</v>
      </c>
      <c r="Y38" s="145">
        <f>IF(NOT(ISNUMBER($L38)),"",mPlanoQC.PlanoQC($L38,"N"))</f>
        <v>4</v>
      </c>
      <c r="Z38" s="143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5">
        <f>IF($A38="","",mCEQ.BiasEQ($A38,eqAnoEP,"N",eqProvedor,eqRodada))</f>
        <v>15</v>
      </c>
      <c r="AD38" s="145">
        <f>IF($A38="","",mCEQ.BiasEQ($A38,eqAnoEP,"NRODADAS",eqProvedor,eqRodada))</f>
        <v>3</v>
      </c>
    </row>
    <row r="39" spans="1:30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1">
        <f t="shared" si="2"/>
        <v>5.2173904780496958</v>
      </c>
      <c r="O39" s="152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2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3">
        <f t="shared" si="5"/>
        <v>6.7831205938784223</v>
      </c>
      <c r="W39" s="144">
        <f t="shared" si="6"/>
        <v>99.999321687940608</v>
      </c>
      <c r="X39" s="30" t="str">
        <f>IF(NOT(ISNUMBER($L39)),"",mPlanoQC.PlanoQC($L39,"REGRAS"))</f>
        <v>1_3s / 2_2s / R_4s</v>
      </c>
      <c r="Y39" s="145">
        <f>IF(NOT(ISNUMBER($L39)),"",mPlanoQC.PlanoQC($L39,"N"))</f>
        <v>2</v>
      </c>
      <c r="Z39" s="143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5">
        <f>IF($A39="","",mCEQ.BiasEQ($A39,eqAnoEP,"N",eqProvedor,eqRodada))</f>
        <v>15</v>
      </c>
      <c r="AD39" s="145">
        <f>IF($A39="","",mCEQ.BiasEQ($A39,eqAnoEP,"NRODADAS",eqProvedor,eqRodada))</f>
        <v>3</v>
      </c>
    </row>
    <row r="40" spans="1:30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1" t="str">
        <f t="shared" si="2"/>
        <v/>
      </c>
      <c r="O40" s="152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2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3" t="str">
        <f t="shared" si="5"/>
        <v/>
      </c>
      <c r="W40" s="144" t="str">
        <f t="shared" si="6"/>
        <v/>
      </c>
      <c r="X40" s="30" t="str">
        <f>IF(NOT(ISNUMBER($L40)),"",mPlanoQC.PlanoQC($L40,"REGRAS"))</f>
        <v/>
      </c>
      <c r="Y40" s="145" t="str">
        <f>IF(NOT(ISNUMBER($L40)),"",mPlanoQC.PlanoQC($L40,"N"))</f>
        <v/>
      </c>
      <c r="Z40" s="143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5" t="str">
        <f>IF($A40="","",mCEQ.BiasEQ($A40,eqAnoEP,"N",eqProvedor,eqRodada))</f>
        <v>SEM EP</v>
      </c>
      <c r="AD40" s="145" t="str">
        <f>IF($A40="","",mCEQ.BiasEQ($A40,eqAnoEP,"NRODADAS",eqProvedor,eqRodada))</f>
        <v>SEM EP</v>
      </c>
    </row>
    <row r="41" spans="1:30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1" t="str">
        <f t="shared" si="2"/>
        <v/>
      </c>
      <c r="O41" s="152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2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3" t="str">
        <f t="shared" si="5"/>
        <v/>
      </c>
      <c r="W41" s="144" t="str">
        <f t="shared" si="6"/>
        <v/>
      </c>
      <c r="X41" s="30" t="str">
        <f>IF(NOT(ISNUMBER($L41)),"",mPlanoQC.PlanoQC($L41,"REGRAS"))</f>
        <v/>
      </c>
      <c r="Y41" s="145" t="str">
        <f>IF(NOT(ISNUMBER($L41)),"",mPlanoQC.PlanoQC($L41,"N"))</f>
        <v/>
      </c>
      <c r="Z41" s="143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5" t="str">
        <f>IF($A41="","",mCEQ.BiasEQ($A41,eqAnoEP,"N",eqProvedor,eqRodada))</f>
        <v>SEM EP</v>
      </c>
      <c r="AD41" s="145" t="str">
        <f>IF($A41="","",mCEQ.BiasEQ($A41,eqAnoEP,"NRODADAS",eqProvedor,eqRodada))</f>
        <v>SEM EP</v>
      </c>
    </row>
    <row r="42" spans="1:30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1">
        <f t="shared" si="2"/>
        <v>1.9102305691167629</v>
      </c>
      <c r="O42" s="152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2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3">
        <f t="shared" si="5"/>
        <v>303742.74970328284</v>
      </c>
      <c r="W42" s="144">
        <f t="shared" si="6"/>
        <v>69.625725029671713</v>
      </c>
      <c r="X42" s="30" t="str">
        <f>IF(NOT(ISNUMBER($L42)),"",mPlanoQC.PlanoQC($L42,"REGRAS"))</f>
        <v/>
      </c>
      <c r="Y42" s="145" t="str">
        <f>IF(NOT(ISNUMBER($L42)),"",mPlanoQC.PlanoQC($L42,"N"))</f>
        <v/>
      </c>
      <c r="Z42" s="143" t="str">
        <f>IF(NOT(ISNUMBER($L42)),"",mPlanoQC.PlanoQC($L42,"RUNSIZE"))</f>
        <v/>
      </c>
      <c r="AA42" s="30" t="str">
        <f>IF(NOT(ISNUMBER($L42)),"",mPlanoQC.CoberturaWestgard($L42))</f>
        <v>não aplicável</v>
      </c>
      <c r="AB42" s="30" t="str">
        <f t="shared" si="7"/>
        <v>Magnésio|1</v>
      </c>
      <c r="AC42" s="145">
        <f>IF($A42="","",mCEQ.BiasEQ($A42,eqAnoEP,"N",eqProvedor,eqRodada))</f>
        <v>15</v>
      </c>
      <c r="AD42" s="145">
        <f>IF($A42="","",mCEQ.BiasEQ($A42,eqAnoEP,"NRODADAS",eqProvedor,eqRodada))</f>
        <v>3</v>
      </c>
    </row>
    <row r="43" spans="1:30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1">
        <f t="shared" si="2"/>
        <v>4.6164220336856197</v>
      </c>
      <c r="O43" s="152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2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3">
        <f t="shared" si="5"/>
        <v>76664.541711095051</v>
      </c>
      <c r="W43" s="144">
        <f t="shared" si="6"/>
        <v>92.333545828890493</v>
      </c>
      <c r="X43" s="30" t="str">
        <f>IF(NOT(ISNUMBER($L43)),"",mPlanoQC.PlanoQC($L43,"REGRAS"))</f>
        <v/>
      </c>
      <c r="Y43" s="145" t="str">
        <f>IF(NOT(ISNUMBER($L43)),"",mPlanoQC.PlanoQC($L43,"N"))</f>
        <v/>
      </c>
      <c r="Z43" s="143" t="str">
        <f>IF(NOT(ISNUMBER($L43)),"",mPlanoQC.PlanoQC($L43,"RUNSIZE"))</f>
        <v/>
      </c>
      <c r="AA43" s="30" t="str">
        <f>IF(NOT(ISNUMBER($L43)),"",mPlanoQC.CoberturaWestgard($L43))</f>
        <v>não aplicável</v>
      </c>
      <c r="AB43" s="30" t="str">
        <f t="shared" si="7"/>
        <v>Magnésio|2</v>
      </c>
      <c r="AC43" s="145">
        <f>IF($A43="","",mCEQ.BiasEQ($A43,eqAnoEP,"N",eqProvedor,eqRodada))</f>
        <v>15</v>
      </c>
      <c r="AD43" s="145">
        <f>IF($A43="","",mCEQ.BiasEQ($A43,eqAnoEP,"NRODADAS",eqProvedor,eqRodada))</f>
        <v>3</v>
      </c>
    </row>
    <row r="44" spans="1:30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1">
        <f t="shared" si="2"/>
        <v>2.5927346571498608</v>
      </c>
      <c r="O44" s="152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2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3">
        <f t="shared" si="5"/>
        <v>112739.48392650446</v>
      </c>
      <c r="W44" s="144">
        <f t="shared" si="6"/>
        <v>88.726051607349561</v>
      </c>
      <c r="X44" s="30" t="str">
        <f>IF(NOT(ISNUMBER($L44)),"",mPlanoQC.PlanoQC($L44,"REGRAS"))</f>
        <v/>
      </c>
      <c r="Y44" s="145" t="str">
        <f>IF(NOT(ISNUMBER($L44)),"",mPlanoQC.PlanoQC($L44,"N"))</f>
        <v/>
      </c>
      <c r="Z44" s="143" t="str">
        <f>IF(NOT(ISNUMBER($L44)),"",mPlanoQC.PlanoQC($L44,"RUNSIZE"))</f>
        <v/>
      </c>
      <c r="AA44" s="30" t="str">
        <f>IF(NOT(ISNUMBER($L44)),"",mPlanoQC.CoberturaWestgard($L44))</f>
        <v>não aplicável</v>
      </c>
      <c r="AB44" s="30" t="str">
        <f t="shared" si="7"/>
        <v>Proteína total|1</v>
      </c>
      <c r="AC44" s="145">
        <f>IF($A44="","",mCEQ.BiasEQ($A44,eqAnoEP,"N",eqProvedor,eqRodada))</f>
        <v>15</v>
      </c>
      <c r="AD44" s="145">
        <f>IF($A44="","",mCEQ.BiasEQ($A44,eqAnoEP,"NRODADAS",eqProvedor,eqRodada))</f>
        <v>3</v>
      </c>
    </row>
    <row r="45" spans="1:30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1">
        <f t="shared" si="2"/>
        <v>2.6456295727877341</v>
      </c>
      <c r="O45" s="152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2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3">
        <f t="shared" si="5"/>
        <v>105983.22336577781</v>
      </c>
      <c r="W45" s="144">
        <f t="shared" si="6"/>
        <v>89.40167766342222</v>
      </c>
      <c r="X45" s="30" t="str">
        <f>IF(NOT(ISNUMBER($L45)),"",mPlanoQC.PlanoQC($L45,"REGRAS"))</f>
        <v/>
      </c>
      <c r="Y45" s="145" t="str">
        <f>IF(NOT(ISNUMBER($L45)),"",mPlanoQC.PlanoQC($L45,"N"))</f>
        <v/>
      </c>
      <c r="Z45" s="143" t="str">
        <f>IF(NOT(ISNUMBER($L45)),"",mPlanoQC.PlanoQC($L45,"RUNSIZE"))</f>
        <v/>
      </c>
      <c r="AA45" s="30" t="str">
        <f>IF(NOT(ISNUMBER($L45)),"",mPlanoQC.CoberturaWestgard($L45))</f>
        <v>não aplicável</v>
      </c>
      <c r="AB45" s="30" t="str">
        <f t="shared" si="7"/>
        <v>Proteína total|2</v>
      </c>
      <c r="AC45" s="145">
        <f>IF($A45="","",mCEQ.BiasEQ($A45,eqAnoEP,"N",eqProvedor,eqRodada))</f>
        <v>15</v>
      </c>
      <c r="AD45" s="145">
        <f>IF($A45="","",mCEQ.BiasEQ($A45,eqAnoEP,"NRODADAS",eqProvedor,eqRodada))</f>
        <v>3</v>
      </c>
    </row>
    <row r="46" spans="1:30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1">
        <f t="shared" ref="N46:N77" si="10">IF(OR(NOT(ISNUMBER($K46)),NOT(ISNUMBER($H46))),"",$K46-$H46)</f>
        <v>20.401477468833367</v>
      </c>
      <c r="O46" s="152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2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3">
        <f t="shared" ref="V46:V77" si="13">IF(NOT(ISNUMBER($L46)),"",mPlanoQC.DPMdoSigma($L46))</f>
        <v>0</v>
      </c>
      <c r="W46" s="144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5">
        <f>IF(NOT(ISNUMBER($L46)),"",mPlanoQC.PlanoQC($L46,"N"))</f>
        <v>2</v>
      </c>
      <c r="Z46" s="143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5">
        <f>IF($A46="","",mCEQ.BiasEQ($A46,eqAnoEP,"N",eqProvedor,eqRodada))</f>
        <v>15</v>
      </c>
      <c r="AD46" s="145">
        <f>IF($A46="","",mCEQ.BiasEQ($A46,eqAnoEP,"NRODADAS",eqProvedor,eqRodada))</f>
        <v>3</v>
      </c>
    </row>
    <row r="47" spans="1:30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1">
        <f t="shared" si="10"/>
        <v>19.230486713552285</v>
      </c>
      <c r="O47" s="152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2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3">
        <f t="shared" si="13"/>
        <v>2.2204460492503131E-10</v>
      </c>
      <c r="W47" s="144">
        <f t="shared" si="14"/>
        <v>99.999999999999972</v>
      </c>
      <c r="X47" s="30" t="str">
        <f>IF(NOT(ISNUMBER($L47)),"",mPlanoQC.PlanoQC($L47,"REGRAS"))</f>
        <v>1_3s</v>
      </c>
      <c r="Y47" s="145">
        <f>IF(NOT(ISNUMBER($L47)),"",mPlanoQC.PlanoQC($L47,"N"))</f>
        <v>2</v>
      </c>
      <c r="Z47" s="143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5">
        <f>IF($A47="","",mCEQ.BiasEQ($A47,eqAnoEP,"N",eqProvedor,eqRodada))</f>
        <v>15</v>
      </c>
      <c r="AD47" s="145">
        <f>IF($A47="","",mCEQ.BiasEQ($A47,eqAnoEP,"NRODADAS",eqProvedor,eqRodada))</f>
        <v>3</v>
      </c>
    </row>
    <row r="48" spans="1:30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1">
        <f t="shared" si="10"/>
        <v>-3.9296244834306204</v>
      </c>
      <c r="O48" s="152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2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3">
        <f t="shared" si="13"/>
        <v>780457.24352383765</v>
      </c>
      <c r="W48" s="144">
        <f t="shared" si="14"/>
        <v>21.954275647616235</v>
      </c>
      <c r="X48" s="30" t="str">
        <f>IF(NOT(ISNUMBER($L48)),"",mPlanoQC.PlanoQC($L48,"REGRAS"))</f>
        <v/>
      </c>
      <c r="Y48" s="145" t="str">
        <f>IF(NOT(ISNUMBER($L48)),"",mPlanoQC.PlanoQC($L48,"N"))</f>
        <v/>
      </c>
      <c r="Z48" s="143" t="str">
        <f>IF(NOT(ISNUMBER($L48)),"",mPlanoQC.PlanoQC($L48,"RUNSIZE"))</f>
        <v/>
      </c>
      <c r="AA48" s="30" t="str">
        <f>IF(NOT(ISNUMBER($L48)),"",mPlanoQC.CoberturaWestgard($L48))</f>
        <v>não aplicável</v>
      </c>
      <c r="AB48" s="30" t="str">
        <f t="shared" si="15"/>
        <v>Ureia|1</v>
      </c>
      <c r="AC48" s="145">
        <f>IF($A48="","",mCEQ.BiasEQ($A48,eqAnoEP,"N",eqProvedor,eqRodada))</f>
        <v>15</v>
      </c>
      <c r="AD48" s="145">
        <f>IF($A48="","",mCEQ.BiasEQ($A48,eqAnoEP,"NRODADAS",eqProvedor,eqRodada))</f>
        <v>3</v>
      </c>
    </row>
    <row r="49" spans="1:30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1">
        <f t="shared" si="10"/>
        <v>-1.2065933072870099</v>
      </c>
      <c r="O49" s="152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2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3">
        <f t="shared" si="13"/>
        <v>623015.7116755778</v>
      </c>
      <c r="W49" s="144">
        <f t="shared" si="14"/>
        <v>37.698428832442218</v>
      </c>
      <c r="X49" s="30" t="str">
        <f>IF(NOT(ISNUMBER($L49)),"",mPlanoQC.PlanoQC($L49,"REGRAS"))</f>
        <v/>
      </c>
      <c r="Y49" s="145" t="str">
        <f>IF(NOT(ISNUMBER($L49)),"",mPlanoQC.PlanoQC($L49,"N"))</f>
        <v/>
      </c>
      <c r="Z49" s="143" t="str">
        <f>IF(NOT(ISNUMBER($L49)),"",mPlanoQC.PlanoQC($L49,"RUNSIZE"))</f>
        <v/>
      </c>
      <c r="AA49" s="30" t="str">
        <f>IF(NOT(ISNUMBER($L49)),"",mPlanoQC.CoberturaWestgard($L49))</f>
        <v>não aplicável</v>
      </c>
      <c r="AB49" s="30" t="str">
        <f t="shared" si="15"/>
        <v>Ureia|2</v>
      </c>
      <c r="AC49" s="145">
        <f>IF($A49="","",mCEQ.BiasEQ($A49,eqAnoEP,"N",eqProvedor,eqRodada))</f>
        <v>15</v>
      </c>
      <c r="AD49" s="145">
        <f>IF($A49="","",mCEQ.BiasEQ($A49,eqAnoEP,"NRODADAS",eqProvedor,eqRodada))</f>
        <v>3</v>
      </c>
    </row>
    <row r="50" spans="1:30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1">
        <f t="shared" si="10"/>
        <v>26.258057087809881</v>
      </c>
      <c r="O50" s="152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2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3">
        <f t="shared" si="13"/>
        <v>0</v>
      </c>
      <c r="W50" s="144">
        <f t="shared" si="14"/>
        <v>100</v>
      </c>
      <c r="X50" s="30" t="str">
        <f>IF(NOT(ISNUMBER($L50)),"",mPlanoQC.PlanoQC($L50,"REGRAS"))</f>
        <v>1_3s</v>
      </c>
      <c r="Y50" s="145">
        <f>IF(NOT(ISNUMBER($L50)),"",mPlanoQC.PlanoQC($L50,"N"))</f>
        <v>2</v>
      </c>
      <c r="Z50" s="143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5">
        <f>IF($A50="","",mCEQ.BiasEQ($A50,eqAnoEP,"N",eqProvedor,eqRodada))</f>
        <v>15</v>
      </c>
      <c r="AD50" s="145">
        <f>IF($A50="","",mCEQ.BiasEQ($A50,eqAnoEP,"NRODADAS",eqProvedor,eqRodada))</f>
        <v>3</v>
      </c>
    </row>
    <row r="51" spans="1:30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1">
        <f t="shared" si="10"/>
        <v>26.548917687612551</v>
      </c>
      <c r="O51" s="152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2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3">
        <f t="shared" si="13"/>
        <v>0</v>
      </c>
      <c r="W51" s="144">
        <f t="shared" si="14"/>
        <v>100</v>
      </c>
      <c r="X51" s="30" t="str">
        <f>IF(NOT(ISNUMBER($L51)),"",mPlanoQC.PlanoQC($L51,"REGRAS"))</f>
        <v>1_3s</v>
      </c>
      <c r="Y51" s="145">
        <f>IF(NOT(ISNUMBER($L51)),"",mPlanoQC.PlanoQC($L51,"N"))</f>
        <v>2</v>
      </c>
      <c r="Z51" s="143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5">
        <f>IF($A51="","",mCEQ.BiasEQ($A51,eqAnoEP,"N",eqProvedor,eqRodada))</f>
        <v>15</v>
      </c>
      <c r="AD51" s="145">
        <f>IF($A51="","",mCEQ.BiasEQ($A51,eqAnoEP,"NRODADAS",eqProvedor,eqRodada))</f>
        <v>3</v>
      </c>
    </row>
    <row r="52" spans="1:30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1">
        <f t="shared" si="10"/>
        <v>8.5003840619445796</v>
      </c>
      <c r="O52" s="152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2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3">
        <f t="shared" si="13"/>
        <v>1080.3404265403715</v>
      </c>
      <c r="W52" s="144">
        <f t="shared" si="14"/>
        <v>99.89196595734596</v>
      </c>
      <c r="X52" s="30" t="str">
        <f>IF(NOT(ISNUMBER($L52)),"",mPlanoQC.PlanoQC($L52,"REGRAS"))</f>
        <v>1_3s / 2_2s / R_4s / 4_1s</v>
      </c>
      <c r="Y52" s="145">
        <f>IF(NOT(ISNUMBER($L52)),"",mPlanoQC.PlanoQC($L52,"N"))</f>
        <v>4</v>
      </c>
      <c r="Z52" s="143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5">
        <f>IF($A52="","",mCEQ.BiasEQ($A52,eqAnoEP,"N",eqProvedor,eqRodada))</f>
        <v>15</v>
      </c>
      <c r="AD52" s="145">
        <f>IF($A52="","",mCEQ.BiasEQ($A52,eqAnoEP,"NRODADAS",eqProvedor,eqRodada))</f>
        <v>3</v>
      </c>
    </row>
    <row r="53" spans="1:30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1">
        <f t="shared" si="10"/>
        <v>10.049806968053058</v>
      </c>
      <c r="O53" s="152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2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3">
        <f t="shared" si="13"/>
        <v>8.0749441910832331E-2</v>
      </c>
      <c r="W53" s="144">
        <f t="shared" si="14"/>
        <v>99.999991925055809</v>
      </c>
      <c r="X53" s="30" t="str">
        <f>IF(NOT(ISNUMBER($L53)),"",mPlanoQC.PlanoQC($L53,"REGRAS"))</f>
        <v>1_3s</v>
      </c>
      <c r="Y53" s="145">
        <f>IF(NOT(ISNUMBER($L53)),"",mPlanoQC.PlanoQC($L53,"N"))</f>
        <v>2</v>
      </c>
      <c r="Z53" s="143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5">
        <f>IF($A53="","",mCEQ.BiasEQ($A53,eqAnoEP,"N",eqProvedor,eqRodada))</f>
        <v>15</v>
      </c>
      <c r="AD53" s="145">
        <f>IF($A53="","",mCEQ.BiasEQ($A53,eqAnoEP,"NRODADAS",eqProvedor,eqRodada))</f>
        <v>3</v>
      </c>
    </row>
    <row r="54" spans="1:30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1">
        <f t="shared" si="10"/>
        <v>11.670343293068804</v>
      </c>
      <c r="O54" s="152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2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3">
        <f t="shared" si="13"/>
        <v>6356.4848753991928</v>
      </c>
      <c r="W54" s="144">
        <f t="shared" si="14"/>
        <v>99.364351512460075</v>
      </c>
      <c r="X54" s="30" t="str">
        <f>IF(NOT(ISNUMBER($L54)),"",mPlanoQC.PlanoQC($L54,"REGRAS"))</f>
        <v>1_3s / 2_2s / R_4s / 4_1s / 8x</v>
      </c>
      <c r="Y54" s="145">
        <f>IF(NOT(ISNUMBER($L54)),"",mPlanoQC.PlanoQC($L54,"N"))</f>
        <v>6</v>
      </c>
      <c r="Z54" s="143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5">
        <f>IF($A54="","",mCEQ.BiasEQ($A54,eqAnoEP,"N",eqProvedor,eqRodada))</f>
        <v>15</v>
      </c>
      <c r="AD54" s="145">
        <f>IF($A54="","",mCEQ.BiasEQ($A54,eqAnoEP,"NRODADAS",eqProvedor,eqRodada))</f>
        <v>3</v>
      </c>
    </row>
    <row r="55" spans="1:30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1">
        <f t="shared" si="10"/>
        <v>16.419536504293006</v>
      </c>
      <c r="O55" s="152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2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3">
        <f t="shared" si="13"/>
        <v>8.8817841970012523E-10</v>
      </c>
      <c r="W55" s="144">
        <f t="shared" si="14"/>
        <v>99.999999999999915</v>
      </c>
      <c r="X55" s="30" t="str">
        <f>IF(NOT(ISNUMBER($L55)),"",mPlanoQC.PlanoQC($L55,"REGRAS"))</f>
        <v>1_3s</v>
      </c>
      <c r="Y55" s="145">
        <f>IF(NOT(ISNUMBER($L55)),"",mPlanoQC.PlanoQC($L55,"N"))</f>
        <v>2</v>
      </c>
      <c r="Z55" s="143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5">
        <f>IF($A55="","",mCEQ.BiasEQ($A55,eqAnoEP,"N",eqProvedor,eqRodada))</f>
        <v>15</v>
      </c>
      <c r="AD55" s="145">
        <f>IF($A55="","",mCEQ.BiasEQ($A55,eqAnoEP,"NRODADAS",eqProvedor,eqRodada))</f>
        <v>3</v>
      </c>
    </row>
    <row r="56" spans="1:30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1">
        <f t="shared" si="10"/>
        <v>16.054617364157838</v>
      </c>
      <c r="O56" s="152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2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3">
        <f t="shared" si="13"/>
        <v>2.2204460492503131E-10</v>
      </c>
      <c r="W56" s="144">
        <f t="shared" si="14"/>
        <v>99.999999999999972</v>
      </c>
      <c r="X56" s="30" t="str">
        <f>IF(NOT(ISNUMBER($L56)),"",mPlanoQC.PlanoQC($L56,"REGRAS"))</f>
        <v>1_3s</v>
      </c>
      <c r="Y56" s="145">
        <f>IF(NOT(ISNUMBER($L56)),"",mPlanoQC.PlanoQC($L56,"N"))</f>
        <v>2</v>
      </c>
      <c r="Z56" s="143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5">
        <f>IF($A56="","",mCEQ.BiasEQ($A56,eqAnoEP,"N",eqProvedor,eqRodada))</f>
        <v>15</v>
      </c>
      <c r="AD56" s="145">
        <f>IF($A56="","",mCEQ.BiasEQ($A56,eqAnoEP,"NRODADAS",eqProvedor,eqRodada))</f>
        <v>3</v>
      </c>
    </row>
    <row r="57" spans="1:30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1">
        <f t="shared" si="10"/>
        <v>16.86548459157239</v>
      </c>
      <c r="O57" s="152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2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3">
        <f t="shared" si="13"/>
        <v>0</v>
      </c>
      <c r="W57" s="144">
        <f t="shared" si="14"/>
        <v>100</v>
      </c>
      <c r="X57" s="30" t="str">
        <f>IF(NOT(ISNUMBER($L57)),"",mPlanoQC.PlanoQC($L57,"REGRAS"))</f>
        <v>1_3s</v>
      </c>
      <c r="Y57" s="145">
        <f>IF(NOT(ISNUMBER($L57)),"",mPlanoQC.PlanoQC($L57,"N"))</f>
        <v>2</v>
      </c>
      <c r="Z57" s="143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5">
        <f>IF($A57="","",mCEQ.BiasEQ($A57,eqAnoEP,"N",eqProvedor,eqRodada))</f>
        <v>15</v>
      </c>
      <c r="AD57" s="145">
        <f>IF($A57="","",mCEQ.BiasEQ($A57,eqAnoEP,"NRODADAS",eqProvedor,eqRodada))</f>
        <v>3</v>
      </c>
    </row>
    <row r="58" spans="1:30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1">
        <f t="shared" si="10"/>
        <v>4.3047665736374103</v>
      </c>
      <c r="O58" s="152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2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3">
        <f t="shared" si="13"/>
        <v>176042.40103493296</v>
      </c>
      <c r="W58" s="144">
        <f t="shared" si="14"/>
        <v>82.395759896506704</v>
      </c>
      <c r="X58" s="30" t="str">
        <f>IF(NOT(ISNUMBER($L58)),"",mPlanoQC.PlanoQC($L58,"REGRAS"))</f>
        <v/>
      </c>
      <c r="Y58" s="145" t="str">
        <f>IF(NOT(ISNUMBER($L58)),"",mPlanoQC.PlanoQC($L58,"N"))</f>
        <v/>
      </c>
      <c r="Z58" s="143" t="str">
        <f>IF(NOT(ISNUMBER($L58)),"",mPlanoQC.PlanoQC($L58,"RUNSIZE"))</f>
        <v/>
      </c>
      <c r="AA58" s="30" t="str">
        <f>IF(NOT(ISNUMBER($L58)),"",mPlanoQC.CoberturaWestgard($L58))</f>
        <v>não aplicável</v>
      </c>
      <c r="AB58" s="30" t="str">
        <f t="shared" si="15"/>
        <v>Lactato desidrogenase|1</v>
      </c>
      <c r="AC58" s="145">
        <f>IF($A58="","",mCEQ.BiasEQ($A58,eqAnoEP,"N",eqProvedor,eqRodada))</f>
        <v>15</v>
      </c>
      <c r="AD58" s="145">
        <f>IF($A58="","",mCEQ.BiasEQ($A58,eqAnoEP,"NRODADAS",eqProvedor,eqRodada))</f>
        <v>3</v>
      </c>
    </row>
    <row r="59" spans="1:30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1">
        <f t="shared" si="10"/>
        <v>7.6090075509932094</v>
      </c>
      <c r="O59" s="152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2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3">
        <f t="shared" si="13"/>
        <v>10271.059695900476</v>
      </c>
      <c r="W59" s="144">
        <f t="shared" si="14"/>
        <v>98.972894030409947</v>
      </c>
      <c r="X59" s="30" t="str">
        <f>IF(NOT(ISNUMBER($L59)),"",mPlanoQC.PlanoQC($L59,"REGRAS"))</f>
        <v>1_3s / 2_2s / R_4s / 4_1s / 8x</v>
      </c>
      <c r="Y59" s="145">
        <f>IF(NOT(ISNUMBER($L59)),"",mPlanoQC.PlanoQC($L59,"N"))</f>
        <v>6</v>
      </c>
      <c r="Z59" s="143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5">
        <f>IF($A59="","",mCEQ.BiasEQ($A59,eqAnoEP,"N",eqProvedor,eqRodada))</f>
        <v>15</v>
      </c>
      <c r="AD59" s="145">
        <f>IF($A59="","",mCEQ.BiasEQ($A59,eqAnoEP,"NRODADAS",eqProvedor,eqRodada))</f>
        <v>3</v>
      </c>
    </row>
    <row r="60" spans="1:30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1">
        <f t="shared" si="10"/>
        <v>-12.754768277746711</v>
      </c>
      <c r="O60" s="152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2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3">
        <f t="shared" si="13"/>
        <v>999961.22122138389</v>
      </c>
      <c r="W60" s="144">
        <f t="shared" si="14"/>
        <v>3.8778778616106162E-3</v>
      </c>
      <c r="X60" s="30" t="str">
        <f>IF(NOT(ISNUMBER($L60)),"",mPlanoQC.PlanoQC($L60,"REGRAS"))</f>
        <v/>
      </c>
      <c r="Y60" s="145" t="str">
        <f>IF(NOT(ISNUMBER($L60)),"",mPlanoQC.PlanoQC($L60,"N"))</f>
        <v/>
      </c>
      <c r="Z60" s="143" t="str">
        <f>IF(NOT(ISNUMBER($L60)),"",mPlanoQC.PlanoQC($L60,"RUNSIZE"))</f>
        <v/>
      </c>
      <c r="AA60" s="30" t="str">
        <f>IF(NOT(ISNUMBER($L60)),"",mPlanoQC.CoberturaWestgard($L60))</f>
        <v>não aplicável</v>
      </c>
      <c r="AB60" s="30" t="str">
        <f t="shared" si="15"/>
        <v>Lipase|1</v>
      </c>
      <c r="AC60" s="145">
        <f>IF($A60="","",mCEQ.BiasEQ($A60,eqAnoEP,"N",eqProvedor,eqRodada))</f>
        <v>15</v>
      </c>
      <c r="AD60" s="145">
        <f>IF($A60="","",mCEQ.BiasEQ($A60,eqAnoEP,"NRODADAS",eqProvedor,eqRodada))</f>
        <v>3</v>
      </c>
    </row>
    <row r="61" spans="1:30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1">
        <f t="shared" si="10"/>
        <v>-11.714684459662248</v>
      </c>
      <c r="O61" s="152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2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3">
        <f t="shared" si="13"/>
        <v>999997.62143284536</v>
      </c>
      <c r="W61" s="144">
        <f t="shared" si="14"/>
        <v>2.3785671546356843E-4</v>
      </c>
      <c r="X61" s="30" t="str">
        <f>IF(NOT(ISNUMBER($L61)),"",mPlanoQC.PlanoQC($L61,"REGRAS"))</f>
        <v/>
      </c>
      <c r="Y61" s="145" t="str">
        <f>IF(NOT(ISNUMBER($L61)),"",mPlanoQC.PlanoQC($L61,"N"))</f>
        <v/>
      </c>
      <c r="Z61" s="143" t="str">
        <f>IF(NOT(ISNUMBER($L61)),"",mPlanoQC.PlanoQC($L61,"RUNSIZE"))</f>
        <v/>
      </c>
      <c r="AA61" s="30" t="str">
        <f>IF(NOT(ISNUMBER($L61)),"",mPlanoQC.CoberturaWestgard($L61))</f>
        <v>não aplicável</v>
      </c>
      <c r="AB61" s="30" t="str">
        <f t="shared" si="15"/>
        <v>Lipase|2</v>
      </c>
      <c r="AC61" s="145">
        <f>IF($A61="","",mCEQ.BiasEQ($A61,eqAnoEP,"N",eqProvedor,eqRodada))</f>
        <v>15</v>
      </c>
      <c r="AD61" s="145">
        <f>IF($A61="","",mCEQ.BiasEQ($A61,eqAnoEP,"NRODADAS",eqProvedor,eqRodada))</f>
        <v>3</v>
      </c>
    </row>
    <row r="62" spans="1:30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1">
        <f t="shared" si="10"/>
        <v>5.1340391693568375</v>
      </c>
      <c r="O62" s="152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2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3">
        <f t="shared" si="13"/>
        <v>30680.112620612654</v>
      </c>
      <c r="W62" s="144">
        <f t="shared" si="14"/>
        <v>96.931988737938738</v>
      </c>
      <c r="X62" s="30" t="str">
        <f>IF(NOT(ISNUMBER($L62)),"",mPlanoQC.PlanoQC($L62,"REGRAS"))</f>
        <v>1_3s / 2_2s / R_4s / 4_1s / 8x</v>
      </c>
      <c r="Y62" s="145">
        <f>IF(NOT(ISNUMBER($L62)),"",mPlanoQC.PlanoQC($L62,"N"))</f>
        <v>6</v>
      </c>
      <c r="Z62" s="143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5">
        <f>IF($A62="","",mCEQ.BiasEQ($A62,eqAnoEP,"N",eqProvedor,eqRodada))</f>
        <v>15</v>
      </c>
      <c r="AD62" s="145">
        <f>IF($A62="","",mCEQ.BiasEQ($A62,eqAnoEP,"NRODADAS",eqProvedor,eqRodada))</f>
        <v>3</v>
      </c>
    </row>
    <row r="63" spans="1:30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1">
        <f t="shared" si="10"/>
        <v>6.8358508251923826</v>
      </c>
      <c r="O63" s="152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2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3">
        <f t="shared" si="13"/>
        <v>130.08081123488947</v>
      </c>
      <c r="W63" s="144">
        <f t="shared" si="14"/>
        <v>99.986991918876512</v>
      </c>
      <c r="X63" s="30" t="str">
        <f>IF(NOT(ISNUMBER($L63)),"",mPlanoQC.PlanoQC($L63,"REGRAS"))</f>
        <v>1_3s / 2_2s / R_4s</v>
      </c>
      <c r="Y63" s="145">
        <f>IF(NOT(ISNUMBER($L63)),"",mPlanoQC.PlanoQC($L63,"N"))</f>
        <v>2</v>
      </c>
      <c r="Z63" s="143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5">
        <f>IF($A63="","",mCEQ.BiasEQ($A63,eqAnoEP,"N",eqProvedor,eqRodada))</f>
        <v>15</v>
      </c>
      <c r="AD63" s="145">
        <f>IF($A63="","",mCEQ.BiasEQ($A63,eqAnoEP,"NRODADAS",eqProvedor,eqRodada))</f>
        <v>3</v>
      </c>
    </row>
    <row r="64" spans="1:30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1">
        <f t="shared" si="10"/>
        <v>4.798472168197204</v>
      </c>
      <c r="O64" s="152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2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3">
        <f t="shared" si="13"/>
        <v>151945.63939979556</v>
      </c>
      <c r="W64" s="144">
        <f t="shared" si="14"/>
        <v>84.80543606002044</v>
      </c>
      <c r="X64" s="30" t="str">
        <f>IF(NOT(ISNUMBER($L64)),"",mPlanoQC.PlanoQC($L64,"REGRAS"))</f>
        <v/>
      </c>
      <c r="Y64" s="145" t="str">
        <f>IF(NOT(ISNUMBER($L64)),"",mPlanoQC.PlanoQC($L64,"N"))</f>
        <v/>
      </c>
      <c r="Z64" s="143" t="str">
        <f>IF(NOT(ISNUMBER($L64)),"",mPlanoQC.PlanoQC($L64,"RUNSIZE"))</f>
        <v/>
      </c>
      <c r="AA64" s="30" t="str">
        <f>IF(NOT(ISNUMBER($L64)),"",mPlanoQC.CoberturaWestgard($L64))</f>
        <v>não aplicável</v>
      </c>
      <c r="AB64" s="30" t="str">
        <f t="shared" si="15"/>
        <v>ALT (TGP)|1</v>
      </c>
      <c r="AC64" s="145">
        <f>IF($A64="","",mCEQ.BiasEQ($A64,eqAnoEP,"N",eqProvedor,eqRodada))</f>
        <v>15</v>
      </c>
      <c r="AD64" s="145">
        <f>IF($A64="","",mCEQ.BiasEQ($A64,eqAnoEP,"NRODADAS",eqProvedor,eqRodada))</f>
        <v>3</v>
      </c>
    </row>
    <row r="65" spans="1:30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1">
        <f t="shared" si="10"/>
        <v>9.3832138250320121</v>
      </c>
      <c r="O65" s="152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2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3">
        <f t="shared" si="13"/>
        <v>134.42201736169056</v>
      </c>
      <c r="W65" s="144">
        <f t="shared" si="14"/>
        <v>99.986557798263831</v>
      </c>
      <c r="X65" s="30" t="str">
        <f>IF(NOT(ISNUMBER($L65)),"",mPlanoQC.PlanoQC($L65,"REGRAS"))</f>
        <v>1_3s / 2_2s / R_4s</v>
      </c>
      <c r="Y65" s="145">
        <f>IF(NOT(ISNUMBER($L65)),"",mPlanoQC.PlanoQC($L65,"N"))</f>
        <v>2</v>
      </c>
      <c r="Z65" s="143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5">
        <f>IF($A65="","",mCEQ.BiasEQ($A65,eqAnoEP,"N",eqProvedor,eqRodada))</f>
        <v>15</v>
      </c>
      <c r="AD65" s="145">
        <f>IF($A65="","",mCEQ.BiasEQ($A65,eqAnoEP,"NRODADAS",eqProvedor,eqRodada))</f>
        <v>3</v>
      </c>
    </row>
    <row r="66" spans="1:30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1" t="str">
        <f t="shared" si="10"/>
        <v/>
      </c>
      <c r="O66" s="152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2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3" t="str">
        <f t="shared" si="13"/>
        <v/>
      </c>
      <c r="W66" s="144" t="str">
        <f t="shared" si="14"/>
        <v/>
      </c>
      <c r="X66" s="30" t="str">
        <f>IF(NOT(ISNUMBER($L66)),"",mPlanoQC.PlanoQC($L66,"REGRAS"))</f>
        <v/>
      </c>
      <c r="Y66" s="145" t="str">
        <f>IF(NOT(ISNUMBER($L66)),"",mPlanoQC.PlanoQC($L66,"N"))</f>
        <v/>
      </c>
      <c r="Z66" s="143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5" t="str">
        <f>IF($A66="","",mCEQ.BiasEQ($A66,eqAnoEP,"N",eqProvedor,eqRodada))</f>
        <v>SEM EP</v>
      </c>
      <c r="AD66" s="145" t="str">
        <f>IF($A66="","",mCEQ.BiasEQ($A66,eqAnoEP,"NRODADAS",eqProvedor,eqRodada))</f>
        <v>SEM EP</v>
      </c>
    </row>
    <row r="67" spans="1:30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1" t="str">
        <f t="shared" si="10"/>
        <v/>
      </c>
      <c r="O67" s="152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2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3" t="str">
        <f t="shared" si="13"/>
        <v/>
      </c>
      <c r="W67" s="144" t="str">
        <f t="shared" si="14"/>
        <v/>
      </c>
      <c r="X67" s="30" t="str">
        <f>IF(NOT(ISNUMBER($L67)),"",mPlanoQC.PlanoQC($L67,"REGRAS"))</f>
        <v/>
      </c>
      <c r="Y67" s="145" t="str">
        <f>IF(NOT(ISNUMBER($L67)),"",mPlanoQC.PlanoQC($L67,"N"))</f>
        <v/>
      </c>
      <c r="Z67" s="143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5" t="str">
        <f>IF($A67="","",mCEQ.BiasEQ($A67,eqAnoEP,"N",eqProvedor,eqRodada))</f>
        <v>SEM EP</v>
      </c>
      <c r="AD67" s="145" t="str">
        <f>IF($A67="","",mCEQ.BiasEQ($A67,eqAnoEP,"NRODADAS",eqProvedor,eqRodada))</f>
        <v>SEM EP</v>
      </c>
    </row>
    <row r="68" spans="1:30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1">
        <f t="shared" si="10"/>
        <v>-12.898267137637475</v>
      </c>
      <c r="O68" s="152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2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3">
        <f t="shared" si="13"/>
        <v>880045.05931537261</v>
      </c>
      <c r="W68" s="144">
        <f t="shared" si="14"/>
        <v>11.995494068462738</v>
      </c>
      <c r="X68" s="30" t="str">
        <f>IF(NOT(ISNUMBER($L68)),"",mPlanoQC.PlanoQC($L68,"REGRAS"))</f>
        <v/>
      </c>
      <c r="Y68" s="145" t="str">
        <f>IF(NOT(ISNUMBER($L68)),"",mPlanoQC.PlanoQC($L68,"N"))</f>
        <v/>
      </c>
      <c r="Z68" s="143" t="str">
        <f>IF(NOT(ISNUMBER($L68)),"",mPlanoQC.PlanoQC($L68,"RUNSIZE"))</f>
        <v/>
      </c>
      <c r="AA68" s="30" t="str">
        <f>IF(NOT(ISNUMBER($L68)),"",mPlanoQC.CoberturaWestgard($L68))</f>
        <v>não aplicável</v>
      </c>
      <c r="AB68" s="30" t="str">
        <f t="shared" si="15"/>
        <v>Bicarbonato|1</v>
      </c>
      <c r="AC68" s="145">
        <f>IF($A68="","",mCEQ.BiasEQ($A68,eqAnoEP,"N",eqProvedor,eqRodada))</f>
        <v>15</v>
      </c>
      <c r="AD68" s="145">
        <f>IF($A68="","",mCEQ.BiasEQ($A68,eqAnoEP,"NRODADAS",eqProvedor,eqRodada))</f>
        <v>3</v>
      </c>
    </row>
    <row r="69" spans="1:30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1">
        <f t="shared" si="10"/>
        <v>-19.922199883124392</v>
      </c>
      <c r="O69" s="152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2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3">
        <f t="shared" si="13"/>
        <v>898675.44414806459</v>
      </c>
      <c r="W69" s="144">
        <f t="shared" si="14"/>
        <v>10.13245558519354</v>
      </c>
      <c r="X69" s="30" t="str">
        <f>IF(NOT(ISNUMBER($L69)),"",mPlanoQC.PlanoQC($L69,"REGRAS"))</f>
        <v/>
      </c>
      <c r="Y69" s="145" t="str">
        <f>IF(NOT(ISNUMBER($L69)),"",mPlanoQC.PlanoQC($L69,"N"))</f>
        <v/>
      </c>
      <c r="Z69" s="143" t="str">
        <f>IF(NOT(ISNUMBER($L69)),"",mPlanoQC.PlanoQC($L69,"RUNSIZE"))</f>
        <v/>
      </c>
      <c r="AA69" s="30" t="str">
        <f>IF(NOT(ISNUMBER($L69)),"",mPlanoQC.CoberturaWestgard($L69))</f>
        <v>não aplicável</v>
      </c>
      <c r="AB69" s="30" t="str">
        <f t="shared" si="15"/>
        <v>Bicarbonato|2</v>
      </c>
      <c r="AC69" s="145">
        <f>IF($A69="","",mCEQ.BiasEQ($A69,eqAnoEP,"N",eqProvedor,eqRodada))</f>
        <v>15</v>
      </c>
      <c r="AD69" s="145">
        <f>IF($A69="","",mCEQ.BiasEQ($A69,eqAnoEP,"NRODADAS",eqProvedor,eqRodada))</f>
        <v>3</v>
      </c>
    </row>
    <row r="70" spans="1:30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1">
        <f t="shared" si="10"/>
        <v>-0.47231862053806495</v>
      </c>
      <c r="O70" s="152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2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3">
        <f t="shared" si="13"/>
        <v>571114.38780313497</v>
      </c>
      <c r="W70" s="144">
        <f t="shared" si="14"/>
        <v>42.888561219686501</v>
      </c>
      <c r="X70" s="30" t="str">
        <f>IF(NOT(ISNUMBER($L70)),"",mPlanoQC.PlanoQC($L70,"REGRAS"))</f>
        <v/>
      </c>
      <c r="Y70" s="145" t="str">
        <f>IF(NOT(ISNUMBER($L70)),"",mPlanoQC.PlanoQC($L70,"N"))</f>
        <v/>
      </c>
      <c r="Z70" s="143" t="str">
        <f>IF(NOT(ISNUMBER($L70)),"",mPlanoQC.PlanoQC($L70,"RUNSIZE"))</f>
        <v/>
      </c>
      <c r="AA70" s="30" t="str">
        <f>IF(NOT(ISNUMBER($L70)),"",mPlanoQC.CoberturaWestgard($L70))</f>
        <v>não aplicável</v>
      </c>
      <c r="AB70" s="30" t="str">
        <f t="shared" si="15"/>
        <v>Sódio|1</v>
      </c>
      <c r="AC70" s="145">
        <f>IF($A70="","",mCEQ.BiasEQ($A70,eqAnoEP,"N",eqProvedor,eqRodada))</f>
        <v>15</v>
      </c>
      <c r="AD70" s="145">
        <f>IF($A70="","",mCEQ.BiasEQ($A70,eqAnoEP,"NRODADAS",eqProvedor,eqRodada))</f>
        <v>3</v>
      </c>
    </row>
    <row r="71" spans="1:30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1">
        <f t="shared" si="10"/>
        <v>-0.61045782153067929</v>
      </c>
      <c r="O71" s="152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2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3">
        <f t="shared" si="13"/>
        <v>599493.4590372768</v>
      </c>
      <c r="W71" s="144">
        <f t="shared" si="14"/>
        <v>40.050654096272318</v>
      </c>
      <c r="X71" s="30" t="str">
        <f>IF(NOT(ISNUMBER($L71)),"",mPlanoQC.PlanoQC($L71,"REGRAS"))</f>
        <v/>
      </c>
      <c r="Y71" s="145" t="str">
        <f>IF(NOT(ISNUMBER($L71)),"",mPlanoQC.PlanoQC($L71,"N"))</f>
        <v/>
      </c>
      <c r="Z71" s="143" t="str">
        <f>IF(NOT(ISNUMBER($L71)),"",mPlanoQC.PlanoQC($L71,"RUNSIZE"))</f>
        <v/>
      </c>
      <c r="AA71" s="30" t="str">
        <f>IF(NOT(ISNUMBER($L71)),"",mPlanoQC.CoberturaWestgard($L71))</f>
        <v>não aplicável</v>
      </c>
      <c r="AB71" s="30" t="str">
        <f t="shared" si="15"/>
        <v>Sódio|2</v>
      </c>
      <c r="AC71" s="145">
        <f>IF($A71="","",mCEQ.BiasEQ($A71,eqAnoEP,"N",eqProvedor,eqRodada))</f>
        <v>15</v>
      </c>
      <c r="AD71" s="145">
        <f>IF($A71="","",mCEQ.BiasEQ($A71,eqAnoEP,"NRODADAS",eqProvedor,eqRodada))</f>
        <v>3</v>
      </c>
    </row>
    <row r="72" spans="1:30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1">
        <f t="shared" si="10"/>
        <v>-0.26957038546278334</v>
      </c>
      <c r="O72" s="152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2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3">
        <f t="shared" si="13"/>
        <v>488252.17114405509</v>
      </c>
      <c r="W72" s="144">
        <f t="shared" si="14"/>
        <v>51.174782885594489</v>
      </c>
      <c r="X72" s="30" t="str">
        <f>IF(NOT(ISNUMBER($L72)),"",mPlanoQC.PlanoQC($L72,"REGRAS"))</f>
        <v/>
      </c>
      <c r="Y72" s="145" t="str">
        <f>IF(NOT(ISNUMBER($L72)),"",mPlanoQC.PlanoQC($L72,"N"))</f>
        <v/>
      </c>
      <c r="Z72" s="143" t="str">
        <f>IF(NOT(ISNUMBER($L72)),"",mPlanoQC.PlanoQC($L72,"RUNSIZE"))</f>
        <v/>
      </c>
      <c r="AA72" s="30" t="str">
        <f>IF(NOT(ISNUMBER($L72)),"",mPlanoQC.CoberturaWestgard($L72))</f>
        <v>não aplicável</v>
      </c>
      <c r="AB72" s="30" t="str">
        <f t="shared" si="15"/>
        <v>Potássio|1</v>
      </c>
      <c r="AC72" s="145">
        <f>IF($A72="","",mCEQ.BiasEQ($A72,eqAnoEP,"N",eqProvedor,eqRodada))</f>
        <v>15</v>
      </c>
      <c r="AD72" s="145">
        <f>IF($A72="","",mCEQ.BiasEQ($A72,eqAnoEP,"NRODADAS",eqProvedor,eqRodada))</f>
        <v>3</v>
      </c>
    </row>
    <row r="73" spans="1:30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1">
        <f t="shared" si="10"/>
        <v>0.56876562638900019</v>
      </c>
      <c r="O73" s="152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2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3">
        <f t="shared" si="13"/>
        <v>315925.22476791043</v>
      </c>
      <c r="W73" s="144">
        <f t="shared" si="14"/>
        <v>68.407477523208954</v>
      </c>
      <c r="X73" s="30" t="str">
        <f>IF(NOT(ISNUMBER($L73)),"",mPlanoQC.PlanoQC($L73,"REGRAS"))</f>
        <v/>
      </c>
      <c r="Y73" s="145" t="str">
        <f>IF(NOT(ISNUMBER($L73)),"",mPlanoQC.PlanoQC($L73,"N"))</f>
        <v/>
      </c>
      <c r="Z73" s="143" t="str">
        <f>IF(NOT(ISNUMBER($L73)),"",mPlanoQC.PlanoQC($L73,"RUNSIZE"))</f>
        <v/>
      </c>
      <c r="AA73" s="30" t="str">
        <f>IF(NOT(ISNUMBER($L73)),"",mPlanoQC.CoberturaWestgard($L73))</f>
        <v>não aplicável</v>
      </c>
      <c r="AB73" s="30" t="str">
        <f t="shared" si="15"/>
        <v>Potássio|2</v>
      </c>
      <c r="AC73" s="145">
        <f>IF($A73="","",mCEQ.BiasEQ($A73,eqAnoEP,"N",eqProvedor,eqRodada))</f>
        <v>15</v>
      </c>
      <c r="AD73" s="145">
        <f>IF($A73="","",mCEQ.BiasEQ($A73,eqAnoEP,"NRODADAS",eqProvedor,eqRodada))</f>
        <v>3</v>
      </c>
    </row>
    <row r="74" spans="1:30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1">
        <f t="shared" si="10"/>
        <v>-3.6388008882140355</v>
      </c>
      <c r="O74" s="152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2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3">
        <f t="shared" si="13"/>
        <v>845872.67817910993</v>
      </c>
      <c r="W74" s="144">
        <f t="shared" si="14"/>
        <v>15.412732182089007</v>
      </c>
      <c r="X74" s="30" t="str">
        <f>IF(NOT(ISNUMBER($L74)),"",mPlanoQC.PlanoQC($L74,"REGRAS"))</f>
        <v/>
      </c>
      <c r="Y74" s="145" t="str">
        <f>IF(NOT(ISNUMBER($L74)),"",mPlanoQC.PlanoQC($L74,"N"))</f>
        <v/>
      </c>
      <c r="Z74" s="143" t="str">
        <f>IF(NOT(ISNUMBER($L74)),"",mPlanoQC.PlanoQC($L74,"RUNSIZE"))</f>
        <v/>
      </c>
      <c r="AA74" s="30" t="str">
        <f>IF(NOT(ISNUMBER($L74)),"",mPlanoQC.CoberturaWestgard($L74))</f>
        <v>não aplicável</v>
      </c>
      <c r="AB74" s="30" t="str">
        <f t="shared" si="15"/>
        <v>Cloro|1</v>
      </c>
      <c r="AC74" s="145">
        <f>IF($A74="","",mCEQ.BiasEQ($A74,eqAnoEP,"N",eqProvedor,eqRodada))</f>
        <v>15</v>
      </c>
      <c r="AD74" s="145">
        <f>IF($A74="","",mCEQ.BiasEQ($A74,eqAnoEP,"NRODADAS",eqProvedor,eqRodada))</f>
        <v>3</v>
      </c>
    </row>
    <row r="75" spans="1:30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1">
        <f t="shared" si="10"/>
        <v>-4.036705781298803</v>
      </c>
      <c r="O75" s="152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2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3">
        <f t="shared" si="13"/>
        <v>853939.74231433379</v>
      </c>
      <c r="W75" s="144">
        <f t="shared" si="14"/>
        <v>14.606025768566621</v>
      </c>
      <c r="X75" s="30" t="str">
        <f>IF(NOT(ISNUMBER($L75)),"",mPlanoQC.PlanoQC($L75,"REGRAS"))</f>
        <v/>
      </c>
      <c r="Y75" s="145" t="str">
        <f>IF(NOT(ISNUMBER($L75)),"",mPlanoQC.PlanoQC($L75,"N"))</f>
        <v/>
      </c>
      <c r="Z75" s="143" t="str">
        <f>IF(NOT(ISNUMBER($L75)),"",mPlanoQC.PlanoQC($L75,"RUNSIZE"))</f>
        <v/>
      </c>
      <c r="AA75" s="30" t="str">
        <f>IF(NOT(ISNUMBER($L75)),"",mPlanoQC.CoberturaWestgard($L75))</f>
        <v>não aplicável</v>
      </c>
      <c r="AB75" s="30" t="str">
        <f t="shared" si="15"/>
        <v>Cloro|2</v>
      </c>
      <c r="AC75" s="145">
        <f>IF($A75="","",mCEQ.BiasEQ($A75,eqAnoEP,"N",eqProvedor,eqRodada))</f>
        <v>15</v>
      </c>
      <c r="AD75" s="145">
        <f>IF($A75="","",mCEQ.BiasEQ($A75,eqAnoEP,"NRODADAS",eqProvedor,eqRodada))</f>
        <v>3</v>
      </c>
    </row>
    <row r="76" spans="1:30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1" t="str">
        <f t="shared" si="10"/>
        <v/>
      </c>
      <c r="O76" s="152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2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3" t="str">
        <f t="shared" si="13"/>
        <v/>
      </c>
      <c r="W76" s="144" t="str">
        <f t="shared" si="14"/>
        <v/>
      </c>
      <c r="X76" s="30" t="str">
        <f>IF(NOT(ISNUMBER($L76)),"",mPlanoQC.PlanoQC($L76,"REGRAS"))</f>
        <v/>
      </c>
      <c r="Y76" s="145" t="str">
        <f>IF(NOT(ISNUMBER($L76)),"",mPlanoQC.PlanoQC($L76,"N"))</f>
        <v/>
      </c>
      <c r="Z76" s="143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5" t="str">
        <f>IF($A76="","",mCEQ.BiasEQ($A76,eqAnoEP,"N",eqProvedor,eqRodada))</f>
        <v>SEM EP</v>
      </c>
      <c r="AD76" s="145" t="str">
        <f>IF($A76="","",mCEQ.BiasEQ($A76,eqAnoEP,"NRODADAS",eqProvedor,eqRodada))</f>
        <v>SEM EP</v>
      </c>
    </row>
    <row r="77" spans="1:30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1" t="str">
        <f t="shared" si="10"/>
        <v/>
      </c>
      <c r="O77" s="152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2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3" t="str">
        <f t="shared" si="13"/>
        <v/>
      </c>
      <c r="W77" s="144" t="str">
        <f t="shared" si="14"/>
        <v/>
      </c>
      <c r="X77" s="30" t="str">
        <f>IF(NOT(ISNUMBER($L77)),"",mPlanoQC.PlanoQC($L77,"REGRAS"))</f>
        <v/>
      </c>
      <c r="Y77" s="145" t="str">
        <f>IF(NOT(ISNUMBER($L77)),"",mPlanoQC.PlanoQC($L77,"N"))</f>
        <v/>
      </c>
      <c r="Z77" s="143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5" t="str">
        <f>IF($A77="","",mCEQ.BiasEQ($A77,eqAnoEP,"N",eqProvedor,eqRodada))</f>
        <v>SEM EP</v>
      </c>
      <c r="AD77" s="145" t="str">
        <f>IF($A77="","",mCEQ.BiasEQ($A77,eqAnoEP,"NRODADAS",eqProvedor,eqRodada))</f>
        <v>SEM EP</v>
      </c>
    </row>
    <row r="78" spans="1:30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1" t="str">
        <f t="shared" ref="N78:N93" si="18">IF(OR(NOT(ISNUMBER($K78)),NOT(ISNUMBER($H78))),"",$K78-$H78)</f>
        <v/>
      </c>
      <c r="O78" s="152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2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3" t="str">
        <f t="shared" ref="V78:V93" si="21">IF(NOT(ISNUMBER($L78)),"",mPlanoQC.DPMdoSigma($L78))</f>
        <v/>
      </c>
      <c r="W78" s="144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5" t="str">
        <f>IF(NOT(ISNUMBER($L78)),"",mPlanoQC.PlanoQC($L78,"N"))</f>
        <v/>
      </c>
      <c r="Z78" s="143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5" t="str">
        <f>IF($A78="","",mCEQ.BiasEQ($A78,eqAnoEP,"N",eqProvedor,eqRodada))</f>
        <v>SEM EP</v>
      </c>
      <c r="AD78" s="145" t="str">
        <f>IF($A78="","",mCEQ.BiasEQ($A78,eqAnoEP,"NRODADAS",eqProvedor,eqRodada))</f>
        <v>SEM EP</v>
      </c>
    </row>
    <row r="79" spans="1:30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1" t="str">
        <f t="shared" si="18"/>
        <v/>
      </c>
      <c r="O79" s="152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2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3" t="str">
        <f t="shared" si="21"/>
        <v/>
      </c>
      <c r="W79" s="144" t="str">
        <f t="shared" si="22"/>
        <v/>
      </c>
      <c r="X79" s="30" t="str">
        <f>IF(NOT(ISNUMBER($L79)),"",mPlanoQC.PlanoQC($L79,"REGRAS"))</f>
        <v/>
      </c>
      <c r="Y79" s="145" t="str">
        <f>IF(NOT(ISNUMBER($L79)),"",mPlanoQC.PlanoQC($L79,"N"))</f>
        <v/>
      </c>
      <c r="Z79" s="143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5" t="str">
        <f>IF($A79="","",mCEQ.BiasEQ($A79,eqAnoEP,"N",eqProvedor,eqRodada))</f>
        <v>SEM EP</v>
      </c>
      <c r="AD79" s="145" t="str">
        <f>IF($A79="","",mCEQ.BiasEQ($A79,eqAnoEP,"NRODADAS",eqProvedor,eqRodada))</f>
        <v>SEM EP</v>
      </c>
    </row>
    <row r="80" spans="1:30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1" t="str">
        <f t="shared" si="18"/>
        <v/>
      </c>
      <c r="O80" s="152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2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3" t="str">
        <f t="shared" si="21"/>
        <v/>
      </c>
      <c r="W80" s="144" t="str">
        <f t="shared" si="22"/>
        <v/>
      </c>
      <c r="X80" s="30" t="str">
        <f>IF(NOT(ISNUMBER($L80)),"",mPlanoQC.PlanoQC($L80,"REGRAS"))</f>
        <v/>
      </c>
      <c r="Y80" s="145" t="str">
        <f>IF(NOT(ISNUMBER($L80)),"",mPlanoQC.PlanoQC($L80,"N"))</f>
        <v/>
      </c>
      <c r="Z80" s="143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5" t="str">
        <f>IF($A80="","",mCEQ.BiasEQ($A80,eqAnoEP,"N",eqProvedor,eqRodada))</f>
        <v>SEM EP</v>
      </c>
      <c r="AD80" s="145" t="str">
        <f>IF($A80="","",mCEQ.BiasEQ($A80,eqAnoEP,"NRODADAS",eqProvedor,eqRodada))</f>
        <v>SEM EP</v>
      </c>
    </row>
    <row r="81" spans="1:30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1" t="str">
        <f t="shared" si="18"/>
        <v/>
      </c>
      <c r="O81" s="152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2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3" t="str">
        <f t="shared" si="21"/>
        <v/>
      </c>
      <c r="W81" s="144" t="str">
        <f t="shared" si="22"/>
        <v/>
      </c>
      <c r="X81" s="30" t="str">
        <f>IF(NOT(ISNUMBER($L81)),"",mPlanoQC.PlanoQC($L81,"REGRAS"))</f>
        <v/>
      </c>
      <c r="Y81" s="145" t="str">
        <f>IF(NOT(ISNUMBER($L81)),"",mPlanoQC.PlanoQC($L81,"N"))</f>
        <v/>
      </c>
      <c r="Z81" s="143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5" t="str">
        <f>IF($A81="","",mCEQ.BiasEQ($A81,eqAnoEP,"N",eqProvedor,eqRodada))</f>
        <v>SEM EP</v>
      </c>
      <c r="AD81" s="145" t="str">
        <f>IF($A81="","",mCEQ.BiasEQ($A81,eqAnoEP,"NRODADAS",eqProvedor,eqRodada))</f>
        <v>SEM EP</v>
      </c>
    </row>
    <row r="82" spans="1:30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1" t="str">
        <f t="shared" si="18"/>
        <v/>
      </c>
      <c r="O82" s="152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2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3" t="str">
        <f t="shared" si="21"/>
        <v/>
      </c>
      <c r="W82" s="144" t="str">
        <f t="shared" si="22"/>
        <v/>
      </c>
      <c r="X82" s="30" t="str">
        <f>IF(NOT(ISNUMBER($L82)),"",mPlanoQC.PlanoQC($L82,"REGRAS"))</f>
        <v/>
      </c>
      <c r="Y82" s="145" t="str">
        <f>IF(NOT(ISNUMBER($L82)),"",mPlanoQC.PlanoQC($L82,"N"))</f>
        <v/>
      </c>
      <c r="Z82" s="143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5" t="str">
        <f>IF($A82="","",mCEQ.BiasEQ($A82,eqAnoEP,"N",eqProvedor,eqRodada))</f>
        <v>SEM EP</v>
      </c>
      <c r="AD82" s="145" t="str">
        <f>IF($A82="","",mCEQ.BiasEQ($A82,eqAnoEP,"NRODADAS",eqProvedor,eqRodada))</f>
        <v>SEM EP</v>
      </c>
    </row>
    <row r="83" spans="1:30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1" t="str">
        <f t="shared" si="18"/>
        <v/>
      </c>
      <c r="O83" s="152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2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3" t="str">
        <f t="shared" si="21"/>
        <v/>
      </c>
      <c r="W83" s="144" t="str">
        <f t="shared" si="22"/>
        <v/>
      </c>
      <c r="X83" s="30" t="str">
        <f>IF(NOT(ISNUMBER($L83)),"",mPlanoQC.PlanoQC($L83,"REGRAS"))</f>
        <v/>
      </c>
      <c r="Y83" s="145" t="str">
        <f>IF(NOT(ISNUMBER($L83)),"",mPlanoQC.PlanoQC($L83,"N"))</f>
        <v/>
      </c>
      <c r="Z83" s="143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5" t="str">
        <f>IF($A83="","",mCEQ.BiasEQ($A83,eqAnoEP,"N",eqProvedor,eqRodada))</f>
        <v>SEM EP</v>
      </c>
      <c r="AD83" s="145" t="str">
        <f>IF($A83="","",mCEQ.BiasEQ($A83,eqAnoEP,"NRODADAS",eqProvedor,eqRodada))</f>
        <v>SEM EP</v>
      </c>
    </row>
    <row r="84" spans="1:30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1" t="str">
        <f t="shared" si="18"/>
        <v/>
      </c>
      <c r="O84" s="152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2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3" t="str">
        <f t="shared" si="21"/>
        <v/>
      </c>
      <c r="W84" s="144" t="str">
        <f t="shared" si="22"/>
        <v/>
      </c>
      <c r="X84" s="30" t="str">
        <f>IF(NOT(ISNUMBER($L84)),"",mPlanoQC.PlanoQC($L84,"REGRAS"))</f>
        <v/>
      </c>
      <c r="Y84" s="145" t="str">
        <f>IF(NOT(ISNUMBER($L84)),"",mPlanoQC.PlanoQC($L84,"N"))</f>
        <v/>
      </c>
      <c r="Z84" s="143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5" t="str">
        <f>IF($A84="","",mCEQ.BiasEQ($A84,eqAnoEP,"N",eqProvedor,eqRodada))</f>
        <v>SEM EP</v>
      </c>
      <c r="AD84" s="145" t="str">
        <f>IF($A84="","",mCEQ.BiasEQ($A84,eqAnoEP,"NRODADAS",eqProvedor,eqRodada))</f>
        <v>SEM EP</v>
      </c>
    </row>
    <row r="85" spans="1:30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1" t="str">
        <f t="shared" si="18"/>
        <v/>
      </c>
      <c r="O85" s="152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2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3" t="str">
        <f t="shared" si="21"/>
        <v/>
      </c>
      <c r="W85" s="144" t="str">
        <f t="shared" si="22"/>
        <v/>
      </c>
      <c r="X85" s="30" t="str">
        <f>IF(NOT(ISNUMBER($L85)),"",mPlanoQC.PlanoQC($L85,"REGRAS"))</f>
        <v/>
      </c>
      <c r="Y85" s="145" t="str">
        <f>IF(NOT(ISNUMBER($L85)),"",mPlanoQC.PlanoQC($L85,"N"))</f>
        <v/>
      </c>
      <c r="Z85" s="143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5" t="str">
        <f>IF($A85="","",mCEQ.BiasEQ($A85,eqAnoEP,"N",eqProvedor,eqRodada))</f>
        <v>SEM EP</v>
      </c>
      <c r="AD85" s="145" t="str">
        <f>IF($A85="","",mCEQ.BiasEQ($A85,eqAnoEP,"NRODADAS",eqProvedor,eqRodada))</f>
        <v>SEM EP</v>
      </c>
    </row>
    <row r="86" spans="1:30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1" t="str">
        <f t="shared" si="18"/>
        <v/>
      </c>
      <c r="O86" s="152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2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3" t="str">
        <f t="shared" si="21"/>
        <v/>
      </c>
      <c r="W86" s="144" t="str">
        <f t="shared" si="22"/>
        <v/>
      </c>
      <c r="X86" s="30" t="str">
        <f>IF(NOT(ISNUMBER($L86)),"",mPlanoQC.PlanoQC($L86,"REGRAS"))</f>
        <v/>
      </c>
      <c r="Y86" s="145" t="str">
        <f>IF(NOT(ISNUMBER($L86)),"",mPlanoQC.PlanoQC($L86,"N"))</f>
        <v/>
      </c>
      <c r="Z86" s="143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5" t="str">
        <f>IF($A86="","",mCEQ.BiasEQ($A86,eqAnoEP,"N",eqProvedor,eqRodada))</f>
        <v>SEM EP</v>
      </c>
      <c r="AD86" s="145" t="str">
        <f>IF($A86="","",mCEQ.BiasEQ($A86,eqAnoEP,"NRODADAS",eqProvedor,eqRodada))</f>
        <v>SEM EP</v>
      </c>
    </row>
    <row r="87" spans="1:30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1" t="str">
        <f t="shared" si="18"/>
        <v/>
      </c>
      <c r="O87" s="152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2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3" t="str">
        <f t="shared" si="21"/>
        <v/>
      </c>
      <c r="W87" s="144" t="str">
        <f t="shared" si="22"/>
        <v/>
      </c>
      <c r="X87" s="30" t="str">
        <f>IF(NOT(ISNUMBER($L87)),"",mPlanoQC.PlanoQC($L87,"REGRAS"))</f>
        <v/>
      </c>
      <c r="Y87" s="145" t="str">
        <f>IF(NOT(ISNUMBER($L87)),"",mPlanoQC.PlanoQC($L87,"N"))</f>
        <v/>
      </c>
      <c r="Z87" s="143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5" t="str">
        <f>IF($A87="","",mCEQ.BiasEQ($A87,eqAnoEP,"N",eqProvedor,eqRodada))</f>
        <v>SEM EP</v>
      </c>
      <c r="AD87" s="145" t="str">
        <f>IF($A87="","",mCEQ.BiasEQ($A87,eqAnoEP,"NRODADAS",eqProvedor,eqRodada))</f>
        <v>SEM EP</v>
      </c>
    </row>
    <row r="88" spans="1:30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1" t="str">
        <f t="shared" si="18"/>
        <v/>
      </c>
      <c r="O88" s="152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2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3" t="str">
        <f t="shared" si="21"/>
        <v/>
      </c>
      <c r="W88" s="144" t="str">
        <f t="shared" si="22"/>
        <v/>
      </c>
      <c r="X88" s="30" t="str">
        <f>IF(NOT(ISNUMBER($L88)),"",mPlanoQC.PlanoQC($L88,"REGRAS"))</f>
        <v/>
      </c>
      <c r="Y88" s="145" t="str">
        <f>IF(NOT(ISNUMBER($L88)),"",mPlanoQC.PlanoQC($L88,"N"))</f>
        <v/>
      </c>
      <c r="Z88" s="143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5" t="str">
        <f>IF($A88="","",mCEQ.BiasEQ($A88,eqAnoEP,"N",eqProvedor,eqRodada))</f>
        <v>SEM EP</v>
      </c>
      <c r="AD88" s="145" t="str">
        <f>IF($A88="","",mCEQ.BiasEQ($A88,eqAnoEP,"NRODADAS",eqProvedor,eqRodada))</f>
        <v>SEM EP</v>
      </c>
    </row>
    <row r="89" spans="1:30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1" t="str">
        <f t="shared" si="18"/>
        <v/>
      </c>
      <c r="O89" s="152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2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3" t="str">
        <f t="shared" si="21"/>
        <v/>
      </c>
      <c r="W89" s="144" t="str">
        <f t="shared" si="22"/>
        <v/>
      </c>
      <c r="X89" s="30" t="str">
        <f>IF(NOT(ISNUMBER($L89)),"",mPlanoQC.PlanoQC($L89,"REGRAS"))</f>
        <v/>
      </c>
      <c r="Y89" s="145" t="str">
        <f>IF(NOT(ISNUMBER($L89)),"",mPlanoQC.PlanoQC($L89,"N"))</f>
        <v/>
      </c>
      <c r="Z89" s="143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5" t="str">
        <f>IF($A89="","",mCEQ.BiasEQ($A89,eqAnoEP,"N",eqProvedor,eqRodada))</f>
        <v>SEM EP</v>
      </c>
      <c r="AD89" s="145" t="str">
        <f>IF($A89="","",mCEQ.BiasEQ($A89,eqAnoEP,"NRODADAS",eqProvedor,eqRodada))</f>
        <v>SEM EP</v>
      </c>
    </row>
    <row r="90" spans="1:30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1" t="str">
        <f t="shared" si="18"/>
        <v/>
      </c>
      <c r="O90" s="152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2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3" t="str">
        <f t="shared" si="21"/>
        <v/>
      </c>
      <c r="W90" s="144" t="str">
        <f t="shared" si="22"/>
        <v/>
      </c>
      <c r="X90" s="30" t="str">
        <f>IF(NOT(ISNUMBER($L90)),"",mPlanoQC.PlanoQC($L90,"REGRAS"))</f>
        <v/>
      </c>
      <c r="Y90" s="145" t="str">
        <f>IF(NOT(ISNUMBER($L90)),"",mPlanoQC.PlanoQC($L90,"N"))</f>
        <v/>
      </c>
      <c r="Z90" s="143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5" t="str">
        <f>IF($A90="","",mCEQ.BiasEQ($A90,eqAnoEP,"N",eqProvedor,eqRodada))</f>
        <v>SEM EP</v>
      </c>
      <c r="AD90" s="145" t="str">
        <f>IF($A90="","",mCEQ.BiasEQ($A90,eqAnoEP,"NRODADAS",eqProvedor,eqRodada))</f>
        <v>SEM EP</v>
      </c>
    </row>
    <row r="91" spans="1:30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1" t="str">
        <f t="shared" si="18"/>
        <v/>
      </c>
      <c r="O91" s="152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2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3" t="str">
        <f t="shared" si="21"/>
        <v/>
      </c>
      <c r="W91" s="144" t="str">
        <f t="shared" si="22"/>
        <v/>
      </c>
      <c r="X91" s="30" t="str">
        <f>IF(NOT(ISNUMBER($L91)),"",mPlanoQC.PlanoQC($L91,"REGRAS"))</f>
        <v/>
      </c>
      <c r="Y91" s="145" t="str">
        <f>IF(NOT(ISNUMBER($L91)),"",mPlanoQC.PlanoQC($L91,"N"))</f>
        <v/>
      </c>
      <c r="Z91" s="143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5" t="str">
        <f>IF($A91="","",mCEQ.BiasEQ($A91,eqAnoEP,"N",eqProvedor,eqRodada))</f>
        <v>SEM EP</v>
      </c>
      <c r="AD91" s="145" t="str">
        <f>IF($A91="","",mCEQ.BiasEQ($A91,eqAnoEP,"NRODADAS",eqProvedor,eqRodada))</f>
        <v>SEM EP</v>
      </c>
    </row>
    <row r="92" spans="1:30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1" t="str">
        <f t="shared" si="18"/>
        <v/>
      </c>
      <c r="O92" s="152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2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3" t="str">
        <f t="shared" si="21"/>
        <v/>
      </c>
      <c r="W92" s="144" t="str">
        <f t="shared" si="22"/>
        <v/>
      </c>
      <c r="X92" s="30" t="str">
        <f>IF(NOT(ISNUMBER($L92)),"",mPlanoQC.PlanoQC($L92,"REGRAS"))</f>
        <v/>
      </c>
      <c r="Y92" s="145" t="str">
        <f>IF(NOT(ISNUMBER($L92)),"",mPlanoQC.PlanoQC($L92,"N"))</f>
        <v/>
      </c>
      <c r="Z92" s="143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5" t="str">
        <f>IF($A92="","",mCEQ.BiasEQ($A92,eqAnoEP,"N",eqProvedor,eqRodada))</f>
        <v>SEM EP</v>
      </c>
      <c r="AD92" s="145" t="str">
        <f>IF($A92="","",mCEQ.BiasEQ($A92,eqAnoEP,"NRODADAS",eqProvedor,eqRodada))</f>
        <v>SEM EP</v>
      </c>
    </row>
    <row r="93" spans="1:30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1" t="str">
        <f t="shared" si="18"/>
        <v/>
      </c>
      <c r="O93" s="152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2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3" t="str">
        <f t="shared" si="21"/>
        <v/>
      </c>
      <c r="W93" s="144" t="str">
        <f t="shared" si="22"/>
        <v/>
      </c>
      <c r="X93" s="30" t="str">
        <f>IF(NOT(ISNUMBER($L93)),"",mPlanoQC.PlanoQC($L93,"REGRAS"))</f>
        <v/>
      </c>
      <c r="Y93" s="145" t="str">
        <f>IF(NOT(ISNUMBER($L93)),"",mPlanoQC.PlanoQC($L93,"N"))</f>
        <v/>
      </c>
      <c r="Z93" s="143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5" t="str">
        <f>IF($A93="","",mCEQ.BiasEQ($A93,eqAnoEP,"N",eqProvedor,eqRodada))</f>
        <v>SEM EP</v>
      </c>
      <c r="AD93" s="145" t="str">
        <f>IF($A93="","",mCEQ.BiasEQ($A93,eqAnoEP,"NRODADAS",eqProvedor,eqRodada))</f>
        <v>SEM EP</v>
      </c>
    </row>
    <row r="96" spans="1:30" x14ac:dyDescent="0.3">
      <c r="A96" s="96" t="s">
        <v>415</v>
      </c>
      <c r="E96" s="30" t="s">
        <v>416</v>
      </c>
    </row>
    <row r="97" spans="1:8" x14ac:dyDescent="0.3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1126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96" t="s">
        <v>427</v>
      </c>
    </row>
    <row r="107" spans="1:8" x14ac:dyDescent="0.3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46" t="s">
        <v>1138</v>
      </c>
    </row>
    <row r="128" spans="1:8" x14ac:dyDescent="0.3">
      <c r="A128" s="147" t="s">
        <v>1139</v>
      </c>
    </row>
    <row r="129" spans="1:3" ht="31.95" customHeight="1" x14ac:dyDescent="0.3">
      <c r="A129" s="148" t="s">
        <v>220</v>
      </c>
      <c r="B129" s="142" t="s">
        <v>1131</v>
      </c>
      <c r="C129" s="142" t="s">
        <v>1132</v>
      </c>
    </row>
    <row r="130" spans="1:3" x14ac:dyDescent="0.3">
      <c r="A130" s="149">
        <v>6</v>
      </c>
      <c r="B130" s="153">
        <f t="shared" ref="B130:B138" si="24">mPlanoQC.DPMdoSigma($A130)</f>
        <v>3.3976731247387093</v>
      </c>
      <c r="C130" s="150">
        <f t="shared" ref="C130:C138" si="25">mPlanoQC.RendimentoDoSigma($A130)</f>
        <v>99.999660232687532</v>
      </c>
    </row>
    <row r="131" spans="1:3" x14ac:dyDescent="0.3">
      <c r="A131" s="149">
        <v>5.5</v>
      </c>
      <c r="B131" s="153">
        <f t="shared" si="24"/>
        <v>31.671241833119979</v>
      </c>
      <c r="C131" s="150">
        <f t="shared" si="25"/>
        <v>99.996832875816693</v>
      </c>
    </row>
    <row r="132" spans="1:3" x14ac:dyDescent="0.3">
      <c r="A132" s="149">
        <v>5</v>
      </c>
      <c r="B132" s="153">
        <f t="shared" si="24"/>
        <v>232.62907903554009</v>
      </c>
      <c r="C132" s="150">
        <f t="shared" si="25"/>
        <v>99.976737092096442</v>
      </c>
    </row>
    <row r="133" spans="1:3" x14ac:dyDescent="0.3">
      <c r="A133" s="149">
        <v>4.5</v>
      </c>
      <c r="B133" s="153">
        <f t="shared" si="24"/>
        <v>1349.8980316301036</v>
      </c>
      <c r="C133" s="150">
        <f t="shared" si="25"/>
        <v>99.865010196836991</v>
      </c>
    </row>
    <row r="134" spans="1:3" x14ac:dyDescent="0.3">
      <c r="A134" s="149">
        <v>4</v>
      </c>
      <c r="B134" s="153">
        <f t="shared" si="24"/>
        <v>6209.6653257761591</v>
      </c>
      <c r="C134" s="150">
        <f t="shared" si="25"/>
        <v>99.379033467422389</v>
      </c>
    </row>
    <row r="135" spans="1:3" x14ac:dyDescent="0.3">
      <c r="A135" s="149">
        <v>3.5</v>
      </c>
      <c r="B135" s="153">
        <f t="shared" si="24"/>
        <v>22750.131948179209</v>
      </c>
      <c r="C135" s="150">
        <f t="shared" si="25"/>
        <v>97.724986805182084</v>
      </c>
    </row>
    <row r="136" spans="1:3" x14ac:dyDescent="0.3">
      <c r="A136" s="149">
        <v>3</v>
      </c>
      <c r="B136" s="153">
        <f t="shared" si="24"/>
        <v>66807.201268858087</v>
      </c>
      <c r="C136" s="150">
        <f t="shared" si="25"/>
        <v>93.319279873114198</v>
      </c>
    </row>
    <row r="137" spans="1:3" x14ac:dyDescent="0.3">
      <c r="A137" s="149">
        <v>2.5</v>
      </c>
      <c r="B137" s="153">
        <f t="shared" si="24"/>
        <v>158655.25393145697</v>
      </c>
      <c r="C137" s="150">
        <f t="shared" si="25"/>
        <v>84.134474606854297</v>
      </c>
    </row>
    <row r="138" spans="1:3" x14ac:dyDescent="0.3">
      <c r="A138" s="149">
        <v>2</v>
      </c>
      <c r="B138" s="153">
        <f t="shared" si="24"/>
        <v>308537.5387259869</v>
      </c>
      <c r="C138" s="150">
        <f t="shared" si="25"/>
        <v>69.146246127401312</v>
      </c>
    </row>
    <row r="140" spans="1:3" x14ac:dyDescent="0.3">
      <c r="A140" s="147" t="s">
        <v>1130</v>
      </c>
    </row>
  </sheetData>
  <mergeCells count="1">
    <mergeCell ref="B11:G11"/>
  </mergeCells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04" t="s">
        <v>257</v>
      </c>
      <c r="B1" s="200"/>
      <c r="C1" s="200"/>
      <c r="D1" s="200"/>
      <c r="E1" s="200"/>
      <c r="F1" s="200"/>
      <c r="G1" s="200"/>
      <c r="H1" s="200"/>
      <c r="I1" s="200"/>
      <c r="J1" s="200"/>
      <c r="M1" s="48" t="s">
        <v>258</v>
      </c>
      <c r="N1" s="98" t="s">
        <v>267</v>
      </c>
    </row>
    <row r="2" spans="1:14" ht="19.95" customHeight="1" x14ac:dyDescent="0.3">
      <c r="A2" s="205" t="s">
        <v>259</v>
      </c>
      <c r="B2" s="200"/>
      <c r="C2" s="200"/>
      <c r="D2" s="200"/>
      <c r="E2" s="200"/>
      <c r="F2" s="200"/>
      <c r="G2" s="200"/>
      <c r="H2" s="200"/>
      <c r="I2" s="200"/>
      <c r="J2" s="200"/>
      <c r="M2" s="48" t="s">
        <v>260</v>
      </c>
      <c r="N2" s="98" t="s">
        <v>269</v>
      </c>
    </row>
    <row r="3" spans="1:14" ht="28.2" customHeight="1" x14ac:dyDescent="0.3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3" t="s">
        <v>266</v>
      </c>
      <c r="H3" s="200"/>
      <c r="I3" s="200"/>
      <c r="J3" s="200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214" t="s">
        <v>303</v>
      </c>
      <c r="H11" s="200"/>
      <c r="I11" s="200"/>
      <c r="J11" s="200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04" t="s">
        <v>277</v>
      </c>
      <c r="B1" s="200"/>
      <c r="C1" s="200"/>
      <c r="D1" s="200"/>
      <c r="E1" s="200"/>
      <c r="F1" s="200"/>
      <c r="H1" s="215" t="str">
        <f>"Assinaturas do lote em uso: "&amp;loteAtivo</f>
        <v>Assinaturas do lote em uso: 8974</v>
      </c>
      <c r="I1" s="202"/>
      <c r="J1" s="203"/>
    </row>
    <row r="2" spans="1:10" ht="19.95" customHeight="1" x14ac:dyDescent="0.3">
      <c r="A2" s="205" t="s">
        <v>278</v>
      </c>
      <c r="B2" s="200"/>
      <c r="C2" s="200"/>
      <c r="D2" s="200"/>
      <c r="E2" s="200"/>
      <c r="F2" s="200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16" t="s">
        <v>297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</row>
    <row r="2" spans="1:27" ht="19.95" customHeight="1" x14ac:dyDescent="0.3">
      <c r="A2" s="217"/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</row>
    <row r="3" spans="1:27" ht="24" customHeight="1" x14ac:dyDescent="0.3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3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topLeftCell="A5" zoomScale="145" zoomScaleNormal="145" workbookViewId="0">
      <selection activeCell="I15" sqref="I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18" t="s">
        <v>290</v>
      </c>
      <c r="D8" s="200"/>
      <c r="E8" s="200"/>
      <c r="F8" s="200"/>
      <c r="G8" s="200"/>
      <c r="H8" s="200"/>
      <c r="I8" s="200"/>
    </row>
    <row r="9" spans="3:9" ht="18" customHeight="1" x14ac:dyDescent="0.3">
      <c r="C9" s="200"/>
      <c r="D9" s="200"/>
      <c r="E9" s="200"/>
      <c r="F9" s="200"/>
      <c r="G9" s="200"/>
      <c r="H9" s="200"/>
      <c r="I9" s="200"/>
    </row>
    <row r="10" spans="3:9" ht="18" customHeight="1" x14ac:dyDescent="0.3">
      <c r="C10" s="224" t="s">
        <v>291</v>
      </c>
      <c r="D10" s="200"/>
      <c r="E10" s="200"/>
      <c r="F10" s="200"/>
      <c r="G10" s="200"/>
      <c r="H10" s="200"/>
      <c r="I10" s="200"/>
    </row>
    <row r="11" spans="3:9" ht="18" customHeight="1" x14ac:dyDescent="0.3"/>
    <row r="12" spans="3:9" ht="18" customHeight="1" x14ac:dyDescent="0.3"/>
    <row r="13" spans="3:9" ht="18" customHeight="1" x14ac:dyDescent="0.3">
      <c r="C13" s="219" t="s">
        <v>292</v>
      </c>
      <c r="D13" s="200"/>
      <c r="E13" s="225" t="s">
        <v>267</v>
      </c>
      <c r="F13" s="222"/>
      <c r="G13" s="222"/>
      <c r="H13" s="223"/>
    </row>
    <row r="14" spans="3:9" ht="18" customHeight="1" x14ac:dyDescent="0.3"/>
    <row r="15" spans="3:9" ht="18" customHeight="1" x14ac:dyDescent="0.3">
      <c r="C15" s="219" t="s">
        <v>276</v>
      </c>
      <c r="D15" s="200"/>
      <c r="E15" s="221"/>
      <c r="F15" s="222"/>
      <c r="G15" s="222"/>
      <c r="H15" s="223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20"/>
      <c r="D20" s="200"/>
      <c r="E20" s="200"/>
      <c r="F20" s="200"/>
      <c r="G20" s="200"/>
      <c r="H20" s="200"/>
      <c r="I20" s="200"/>
    </row>
    <row r="21" spans="3:9" ht="18" customHeight="1" x14ac:dyDescent="0.3"/>
    <row r="22" spans="3:9" ht="18" customHeight="1" x14ac:dyDescent="0.3">
      <c r="C22" s="208"/>
      <c r="D22" s="200"/>
      <c r="E22" s="200"/>
      <c r="F22" s="200"/>
      <c r="G22" s="200"/>
      <c r="H22" s="200"/>
      <c r="I22" s="200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4" t="s">
        <v>304</v>
      </c>
    </row>
    <row r="2" spans="2:37" s="1" customFormat="1" x14ac:dyDescent="0.3">
      <c r="B2" s="105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63</vt:i4>
      </vt:variant>
    </vt:vector>
  </HeadingPairs>
  <TitlesOfParts>
    <vt:vector size="88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2026-08-23T17:51:17Z</dcterms:modified>
</cp:coreProperties>
</file>