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b37c1e3af42fa/Documenti/GitHub/PND/"/>
    </mc:Choice>
  </mc:AlternateContent>
  <xr:revisionPtr revIDLastSave="13" documentId="11_F5647AA53EFA715EB727DEB513FF0CF0D9EB5B92" xr6:coauthVersionLast="47" xr6:coauthVersionMax="47" xr10:uidLastSave="{2E54E0F1-A134-4786-BF6A-C89666203D67}"/>
  <bookViews>
    <workbookView xWindow="-110" yWindow="-110" windowWidth="19420" windowHeight="10560" tabRatio="500" xr2:uid="{00000000-000D-0000-FFFF-FFFF00000000}"/>
  </bookViews>
  <sheets>
    <sheet name="Foglio1" sheetId="1" r:id="rId1"/>
    <sheet name="Foglio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A15" i="2"/>
  <c r="F130" i="1"/>
  <c r="E130" i="1"/>
  <c r="F129" i="1"/>
  <c r="E129" i="1"/>
  <c r="F128" i="1"/>
  <c r="H128" i="1" s="1"/>
  <c r="E128" i="1"/>
  <c r="D128" i="1"/>
  <c r="F126" i="1"/>
  <c r="E126" i="1"/>
  <c r="F125" i="1"/>
  <c r="E125" i="1"/>
  <c r="F124" i="1"/>
  <c r="H124" i="1" s="1"/>
  <c r="E124" i="1"/>
  <c r="D124" i="1"/>
  <c r="M117" i="1"/>
  <c r="N117" i="1" s="1"/>
  <c r="L117" i="1"/>
  <c r="K117" i="1"/>
  <c r="K118" i="1" s="1"/>
  <c r="H117" i="1"/>
  <c r="J117" i="1" s="1"/>
  <c r="F117" i="1"/>
  <c r="D117" i="1"/>
  <c r="M116" i="1"/>
  <c r="N116" i="1" s="1"/>
  <c r="L116" i="1"/>
  <c r="K116" i="1"/>
  <c r="H116" i="1"/>
  <c r="J116" i="1" s="1"/>
  <c r="F116" i="1"/>
  <c r="D116" i="1"/>
  <c r="F96" i="1"/>
  <c r="G96" i="1" s="1"/>
  <c r="E94" i="1"/>
  <c r="E93" i="1"/>
  <c r="F87" i="1"/>
  <c r="G87" i="1" s="1"/>
  <c r="G86" i="1"/>
  <c r="G85" i="1"/>
  <c r="G84" i="1"/>
  <c r="D77" i="1"/>
  <c r="D78" i="1" s="1"/>
  <c r="D79" i="1" s="1"/>
  <c r="J56" i="1"/>
  <c r="J55" i="1"/>
  <c r="J54" i="1"/>
  <c r="F49" i="1"/>
  <c r="E48" i="1"/>
  <c r="E49" i="1" s="1"/>
  <c r="H46" i="1"/>
  <c r="G48" i="1" s="1"/>
  <c r="G49" i="1" s="1"/>
  <c r="H49" i="1" s="1"/>
  <c r="F46" i="1"/>
  <c r="H45" i="1"/>
  <c r="F45" i="1"/>
  <c r="I34" i="1"/>
  <c r="H34" i="1"/>
  <c r="G34" i="1"/>
  <c r="F34" i="1"/>
  <c r="D34" i="1"/>
  <c r="K34" i="1" s="1"/>
  <c r="L34" i="1" s="1"/>
  <c r="I33" i="1"/>
  <c r="H33" i="1"/>
  <c r="G33" i="1"/>
  <c r="F33" i="1"/>
  <c r="E33" i="1"/>
  <c r="D33" i="1"/>
  <c r="K33" i="1" s="1"/>
  <c r="L33" i="1" s="1"/>
  <c r="I32" i="1"/>
  <c r="H32" i="1"/>
  <c r="G32" i="1"/>
  <c r="F32" i="1"/>
  <c r="E32" i="1"/>
  <c r="E34" i="1" s="1"/>
  <c r="D32" i="1"/>
  <c r="K32" i="1" s="1"/>
  <c r="L32" i="1" s="1"/>
  <c r="H26" i="1"/>
  <c r="G26" i="1"/>
  <c r="F26" i="1"/>
  <c r="D26" i="1"/>
  <c r="J25" i="1"/>
  <c r="I25" i="1"/>
  <c r="I26" i="1" s="1"/>
  <c r="H25" i="1"/>
  <c r="G25" i="1"/>
  <c r="F25" i="1"/>
  <c r="E25" i="1"/>
  <c r="D129" i="1" s="1"/>
  <c r="H129" i="1" s="1"/>
  <c r="D25" i="1"/>
  <c r="J24" i="1"/>
  <c r="J26" i="1" s="1"/>
  <c r="I24" i="1"/>
  <c r="H24" i="1"/>
  <c r="G24" i="1"/>
  <c r="F24" i="1"/>
  <c r="K24" i="1" s="1"/>
  <c r="L24" i="1" s="1"/>
  <c r="E24" i="1"/>
  <c r="D24" i="1"/>
  <c r="M18" i="1"/>
  <c r="N18" i="1" s="1"/>
  <c r="L18" i="1"/>
  <c r="K18" i="1"/>
  <c r="K19" i="1" s="1"/>
  <c r="H18" i="1"/>
  <c r="J18" i="1" s="1"/>
  <c r="F18" i="1"/>
  <c r="D18" i="1"/>
  <c r="M17" i="1"/>
  <c r="N17" i="1" s="1"/>
  <c r="L17" i="1"/>
  <c r="K17" i="1"/>
  <c r="H17" i="1"/>
  <c r="J17" i="1" s="1"/>
  <c r="F17" i="1"/>
  <c r="D17" i="1"/>
  <c r="M12" i="1"/>
  <c r="N12" i="1" s="1"/>
  <c r="L12" i="1"/>
  <c r="K12" i="1"/>
  <c r="K13" i="1" s="1"/>
  <c r="H12" i="1"/>
  <c r="J12" i="1" s="1"/>
  <c r="F12" i="1"/>
  <c r="D12" i="1"/>
  <c r="M11" i="1"/>
  <c r="N11" i="1" s="1"/>
  <c r="L11" i="1"/>
  <c r="K11" i="1"/>
  <c r="H11" i="1"/>
  <c r="J11" i="1" s="1"/>
  <c r="F11" i="1"/>
  <c r="D11" i="1"/>
  <c r="L13" i="1" l="1"/>
  <c r="M13" i="1"/>
  <c r="N13" i="1" s="1"/>
  <c r="L19" i="1"/>
  <c r="M19" i="1"/>
  <c r="N19" i="1" s="1"/>
  <c r="L118" i="1"/>
  <c r="M118" i="1"/>
  <c r="N118" i="1" s="1"/>
  <c r="E26" i="1"/>
  <c r="K25" i="1"/>
  <c r="L25" i="1" s="1"/>
  <c r="D125" i="1"/>
  <c r="H125" i="1" s="1"/>
  <c r="D130" i="1" l="1"/>
  <c r="H130" i="1" s="1"/>
  <c r="D126" i="1"/>
  <c r="H126" i="1" s="1"/>
  <c r="K26" i="1"/>
  <c r="L26" i="1" s="1"/>
</calcChain>
</file>

<file path=xl/sharedStrings.xml><?xml version="1.0" encoding="utf-8"?>
<sst xmlns="http://schemas.openxmlformats.org/spreadsheetml/2006/main" count="174" uniqueCount="88">
  <si>
    <t>RICAVI ATTIVITà COMMERCIALI (MEMBERSHIP, MUSEO, STADIUM TOUR, CAMPI ESTIVI, FAN CLUB)</t>
  </si>
  <si>
    <t>Anni</t>
  </si>
  <si>
    <t>18/19</t>
  </si>
  <si>
    <t>19/20</t>
  </si>
  <si>
    <t>20/21</t>
  </si>
  <si>
    <t>RICAVI MARKETING</t>
  </si>
  <si>
    <t>Serie A</t>
  </si>
  <si>
    <t>Champions</t>
  </si>
  <si>
    <t>Affluenza Media per Partita Seria A</t>
  </si>
  <si>
    <t>Affluenza Media Champions League per partita</t>
  </si>
  <si>
    <t>Totale tifosi</t>
  </si>
  <si>
    <t>Ricavi Vendite prodotti e licenze</t>
  </si>
  <si>
    <t>prezzo medio a tifoso Stadio</t>
  </si>
  <si>
    <t>40% online</t>
  </si>
  <si>
    <t>20% store italia</t>
  </si>
  <si>
    <t>40% Store Stadio</t>
  </si>
  <si>
    <t>Percentuale peso Stadio - Ecommerce</t>
  </si>
  <si>
    <t>Giocate 19 partite di cui 5 in 20/21</t>
  </si>
  <si>
    <t>11 partite di cui 5 del 19/20</t>
  </si>
  <si>
    <t>RICAVI MARKETING PROPOSTA2</t>
  </si>
  <si>
    <t>20% online</t>
  </si>
  <si>
    <t>60% Store Stadio</t>
  </si>
  <si>
    <t>COSTI MARKETING PROPOSTA 1</t>
  </si>
  <si>
    <t>Acquisto Materiale</t>
  </si>
  <si>
    <t>Audiovideo 50%</t>
  </si>
  <si>
    <t>canoni 60%</t>
  </si>
  <si>
    <t>stampati 70%</t>
  </si>
  <si>
    <t>pulizia 30%</t>
  </si>
  <si>
    <t>pubblicità 60%</t>
  </si>
  <si>
    <t>allestimenti 40%</t>
  </si>
  <si>
    <t>spese di gestione 100%</t>
  </si>
  <si>
    <t>Totale</t>
  </si>
  <si>
    <t>Rapporto Ricavi / Costi</t>
  </si>
  <si>
    <t>COSTI MARKETING PROPOSTA FORM</t>
  </si>
  <si>
    <t>RICAVI TV - Serie A - Champions League</t>
  </si>
  <si>
    <t>Ricavo TV Serie A</t>
  </si>
  <si>
    <t>Ricavo/partita</t>
  </si>
  <si>
    <t>Ricavo TV UEFA</t>
  </si>
  <si>
    <t>Ricavo/Partita</t>
  </si>
  <si>
    <t>le partite sono 13, quindi scalo il valore delle 9 partite per trovare il ricavo per partita 20/21</t>
  </si>
  <si>
    <t>19/20 (2semestre)</t>
  </si>
  <si>
    <t>9 gare</t>
  </si>
  <si>
    <t>1 gara</t>
  </si>
  <si>
    <t>Ricavo 20/21 serie a (13 partite,6 partite)</t>
  </si>
  <si>
    <t>RICAVI DA GARE</t>
  </si>
  <si>
    <t>Ricavi Abbonamenti</t>
  </si>
  <si>
    <t>Ricavi Biglietti Serie A</t>
  </si>
  <si>
    <t>Ricavi Biglietti Champions</t>
  </si>
  <si>
    <t>Ricavi Finali Coppe</t>
  </si>
  <si>
    <t>Ricavi Amichevoli</t>
  </si>
  <si>
    <t>Ricavi Altri servizi stadio</t>
  </si>
  <si>
    <t>COSTO DEL PERSONALE</t>
  </si>
  <si>
    <t>Costo del personale tesserato</t>
  </si>
  <si>
    <t>Variazione</t>
  </si>
  <si>
    <t>Costo di altro personale</t>
  </si>
  <si>
    <t>Oneri</t>
  </si>
  <si>
    <t>CAMPAGNA TRASFERIMENTI ESTIVA 1 LUGLIO - 30 AGOSTO</t>
  </si>
  <si>
    <t>Investimenti</t>
  </si>
  <si>
    <t>Plusvalenze nette</t>
  </si>
  <si>
    <t>Cessioni(disinvestimenti ammortizzazioni)</t>
  </si>
  <si>
    <t>è il peso delle ammortizzazioni che vengono rimosse a bilancio</t>
  </si>
  <si>
    <t>SUPERLEGA</t>
  </si>
  <si>
    <t>Percentuale</t>
  </si>
  <si>
    <t>Incasso</t>
  </si>
  <si>
    <t>Interessi quota Iniziale</t>
  </si>
  <si>
    <t>interessi totali 23 anni</t>
  </si>
  <si>
    <t>RICAVI SUPERLEGA</t>
  </si>
  <si>
    <t>SuperLega</t>
  </si>
  <si>
    <t>Ricavi Biglietti SuperLega</t>
  </si>
  <si>
    <t>Ricavi Biglietti Per partita</t>
  </si>
  <si>
    <t>21/22</t>
  </si>
  <si>
    <t>25% in più a partita</t>
  </si>
  <si>
    <t>Super Lega</t>
  </si>
  <si>
    <t>Ricavi TV SuperLega</t>
  </si>
  <si>
    <t>Ricavi / partita</t>
  </si>
  <si>
    <t>30% in più a partita</t>
  </si>
  <si>
    <t>Canoni 20% milano (40% totale)</t>
  </si>
  <si>
    <t>Utenze</t>
  </si>
  <si>
    <t>Stipendi</t>
  </si>
  <si>
    <t>T</t>
  </si>
  <si>
    <t>totale</t>
  </si>
  <si>
    <t>risparmi</t>
  </si>
  <si>
    <t>AUDIOVIDEO</t>
  </si>
  <si>
    <t>CANONI DI AFFITTO (uffici, store, locali ecc.)</t>
  </si>
  <si>
    <t>STAMPATI (cartelloni pubblicitari, insegne, poster)</t>
  </si>
  <si>
    <t>PULIZIA (stadio, store, uffici ecc.)</t>
  </si>
  <si>
    <t>PUBBLICITÀ (televisione, radio)</t>
  </si>
  <si>
    <t>ALLESTIMENTI (palchi, stand, eventi in generale)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</si>
</sst>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&quot; €&quot;_-;\-* #,##0.00&quot; €&quot;_-;_-* \-??&quot; €&quot;_-;_-@_-"/>
    <numFmt numFmtId="165" formatCode="#,##0.00&quot; €&quot;"/>
    <numFmt numFmtId="166" formatCode="#,##0.00\ _€"/>
    <numFmt numFmtId="167" formatCode="0.0"/>
    <numFmt numFmtId="168" formatCode="_-* #,##0.00_-;\-* #,##0.00_-;_-* \-??_-;_-@_-"/>
    <numFmt numFmtId="169" formatCode="[$€-410]\ #,##0.00;[Red]\-[$€-410]\ #,##0.00"/>
  </numFmts>
  <fonts count="4" x14ac:knownFonts="1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6DCE5"/>
        <bgColor rgb="FFDEEBF7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DEEBF7"/>
        <bgColor rgb="FFEDEDED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8" fontId="3" fillId="0" borderId="0" applyBorder="0" applyProtection="0"/>
    <xf numFmtId="0" fontId="2" fillId="0" borderId="0" applyBorder="0" applyProtection="0"/>
    <xf numFmtId="0" fontId="1" fillId="0" borderId="0"/>
  </cellStyleXfs>
  <cellXfs count="39">
    <xf numFmtId="0" fontId="0" fillId="0" borderId="0" xfId="0"/>
    <xf numFmtId="0" fontId="0" fillId="3" borderId="1" xfId="0" applyFont="1" applyFill="1" applyBorder="1"/>
    <xf numFmtId="164" fontId="0" fillId="0" borderId="0" xfId="0" applyNumberFormat="1"/>
    <xf numFmtId="0" fontId="0" fillId="0" borderId="0" xfId="0" applyBorder="1"/>
    <xf numFmtId="0" fontId="0" fillId="3" borderId="0" xfId="0" applyFont="1" applyFill="1"/>
    <xf numFmtId="1" fontId="0" fillId="0" borderId="0" xfId="0" applyNumberFormat="1" applyAlignment="1">
      <alignment horizontal="center"/>
    </xf>
    <xf numFmtId="165" fontId="0" fillId="0" borderId="0" xfId="0" applyNumberFormat="1"/>
    <xf numFmtId="10" fontId="0" fillId="0" borderId="0" xfId="0" applyNumberFormat="1"/>
    <xf numFmtId="1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3" xfId="0" applyBorder="1" applyAlignment="1"/>
    <xf numFmtId="0" fontId="0" fillId="0" borderId="0" xfId="0" applyBorder="1" applyAlignment="1"/>
    <xf numFmtId="0" fontId="0" fillId="0" borderId="0" xfId="0" applyBorder="1"/>
    <xf numFmtId="0" fontId="0" fillId="4" borderId="1" xfId="0" applyFont="1" applyFill="1" applyBorder="1"/>
    <xf numFmtId="0" fontId="0" fillId="5" borderId="1" xfId="0" applyFont="1" applyFill="1" applyBorder="1"/>
    <xf numFmtId="9" fontId="0" fillId="5" borderId="1" xfId="0" applyNumberFormat="1" applyFont="1" applyFill="1" applyBorder="1"/>
    <xf numFmtId="0" fontId="0" fillId="5" borderId="4" xfId="0" applyFont="1" applyFill="1" applyBorder="1"/>
    <xf numFmtId="0" fontId="0" fillId="5" borderId="0" xfId="0" applyFont="1" applyFill="1"/>
    <xf numFmtId="166" fontId="0" fillId="0" borderId="0" xfId="0" applyNumberFormat="1"/>
    <xf numFmtId="167" fontId="0" fillId="0" borderId="0" xfId="0" applyNumberFormat="1"/>
    <xf numFmtId="0" fontId="0" fillId="5" borderId="0" xfId="0" applyFill="1" applyBorder="1"/>
    <xf numFmtId="168" fontId="0" fillId="0" borderId="0" xfId="1" applyFont="1" applyBorder="1" applyAlignment="1" applyProtection="1"/>
    <xf numFmtId="169" fontId="0" fillId="0" borderId="0" xfId="0" applyNumberFormat="1"/>
    <xf numFmtId="169" fontId="0" fillId="0" borderId="0" xfId="1" applyNumberFormat="1" applyFont="1" applyBorder="1" applyAlignment="1" applyProtection="1"/>
    <xf numFmtId="0" fontId="0" fillId="3" borderId="0" xfId="0" applyFont="1" applyFill="1" applyBorder="1"/>
    <xf numFmtId="0" fontId="0" fillId="3" borderId="5" xfId="0" applyFont="1" applyFill="1" applyBorder="1"/>
    <xf numFmtId="0" fontId="0" fillId="6" borderId="0" xfId="0" applyFont="1" applyFill="1"/>
    <xf numFmtId="0" fontId="2" fillId="0" borderId="0" xfId="2" applyBorder="1" applyAlignment="1" applyProtection="1"/>
    <xf numFmtId="9" fontId="0" fillId="0" borderId="0" xfId="0" applyNumberFormat="1"/>
    <xf numFmtId="168" fontId="0" fillId="0" borderId="0" xfId="1" applyFont="1" applyBorder="1" applyAlignment="1" applyProtection="1"/>
    <xf numFmtId="0" fontId="0" fillId="3" borderId="6" xfId="0" applyFont="1" applyFill="1" applyBorder="1"/>
    <xf numFmtId="0" fontId="1" fillId="0" borderId="0" xfId="3" applyFont="1"/>
    <xf numFmtId="0" fontId="1" fillId="0" borderId="0" xfId="3" applyFont="1" applyAlignment="1"/>
    <xf numFmtId="1" fontId="0" fillId="0" borderId="0" xfId="0" applyNumberFormat="1"/>
    <xf numFmtId="1" fontId="0" fillId="0" borderId="0" xfId="0" applyNumberForma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4">
    <cellStyle name="Collegamento ipertestuale" xfId="2" builtinId="8"/>
    <cellStyle name="Migliaia" xfId="1" builtinId="3"/>
    <cellStyle name="Normale" xfId="0" builtinId="0"/>
    <cellStyle name="Normale 2" xfId="3" xr:uid="{00000000-0005-0000-0000-000006000000}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DEEBF7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0"/>
  <sheetViews>
    <sheetView tabSelected="1" topLeftCell="G1" zoomScale="80" zoomScaleNormal="80" workbookViewId="0">
      <selection activeCell="O12" sqref="O12"/>
    </sheetView>
  </sheetViews>
  <sheetFormatPr defaultColWidth="8.54296875" defaultRowHeight="14.5" x14ac:dyDescent="0.35"/>
  <cols>
    <col min="1" max="1" width="26.36328125" customWidth="1"/>
    <col min="2" max="2" width="14" customWidth="1"/>
    <col min="3" max="3" width="18.90625" customWidth="1"/>
    <col min="4" max="4" width="38.81640625" customWidth="1"/>
    <col min="5" max="5" width="27.26953125" customWidth="1"/>
    <col min="6" max="6" width="24.08984375" customWidth="1"/>
    <col min="7" max="7" width="27.36328125" customWidth="1"/>
    <col min="8" max="8" width="18" customWidth="1"/>
    <col min="9" max="9" width="20.54296875" customWidth="1"/>
    <col min="10" max="10" width="31.1796875" customWidth="1"/>
    <col min="11" max="11" width="20.7265625" customWidth="1"/>
    <col min="12" max="12" width="14.453125" customWidth="1"/>
    <col min="13" max="13" width="16.81640625" customWidth="1"/>
    <col min="14" max="14" width="34.1796875" customWidth="1"/>
  </cols>
  <sheetData>
    <row r="1" spans="1:20" x14ac:dyDescent="0.35">
      <c r="A1" s="38" t="s">
        <v>0</v>
      </c>
      <c r="B1" s="38"/>
      <c r="C1" s="38"/>
      <c r="D1" s="38"/>
      <c r="E1" s="38"/>
      <c r="F1" s="38"/>
      <c r="G1" s="38"/>
      <c r="H1" s="38"/>
    </row>
    <row r="3" spans="1:20" x14ac:dyDescent="0.35">
      <c r="A3" s="1" t="s">
        <v>1</v>
      </c>
    </row>
    <row r="4" spans="1:20" x14ac:dyDescent="0.35">
      <c r="A4" s="1" t="s">
        <v>2</v>
      </c>
      <c r="C4" s="2">
        <v>8764000</v>
      </c>
    </row>
    <row r="5" spans="1:20" x14ac:dyDescent="0.35">
      <c r="A5" s="1" t="s">
        <v>3</v>
      </c>
      <c r="C5" s="2">
        <v>8808000</v>
      </c>
    </row>
    <row r="6" spans="1:20" x14ac:dyDescent="0.35">
      <c r="A6" s="1" t="s">
        <v>4</v>
      </c>
      <c r="C6" s="2">
        <v>1666000</v>
      </c>
    </row>
    <row r="7" spans="1:20" x14ac:dyDescent="0.35">
      <c r="A7" s="3"/>
    </row>
    <row r="8" spans="1:20" x14ac:dyDescent="0.35">
      <c r="A8" s="37" t="s">
        <v>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</row>
    <row r="10" spans="1:20" x14ac:dyDescent="0.35">
      <c r="A10" s="4" t="s">
        <v>1</v>
      </c>
      <c r="B10" s="1" t="s">
        <v>6</v>
      </c>
      <c r="C10" s="1" t="s">
        <v>7</v>
      </c>
      <c r="D10" s="35" t="s">
        <v>8</v>
      </c>
      <c r="E10" s="35"/>
      <c r="F10" s="35" t="s">
        <v>9</v>
      </c>
      <c r="G10" s="35"/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M10" s="1" t="s">
        <v>15</v>
      </c>
      <c r="N10" s="1" t="s">
        <v>16</v>
      </c>
    </row>
    <row r="11" spans="1:20" x14ac:dyDescent="0.35">
      <c r="A11" s="1" t="s">
        <v>2</v>
      </c>
      <c r="B11">
        <v>10</v>
      </c>
      <c r="C11">
        <v>3</v>
      </c>
      <c r="D11" s="36">
        <f>((745000*10)/19)/10</f>
        <v>39210.526315789473</v>
      </c>
      <c r="E11" s="36"/>
      <c r="F11" s="36">
        <f>((203000*3)/5)/3</f>
        <v>40600</v>
      </c>
      <c r="G11" s="36"/>
      <c r="H11" s="5">
        <f>(D11*10+ F11*3)</f>
        <v>513905.26315789472</v>
      </c>
      <c r="I11" s="6">
        <v>26514000</v>
      </c>
      <c r="J11" s="6">
        <f>I11/H11*0.4</f>
        <v>20.637266749964155</v>
      </c>
      <c r="K11" s="6">
        <f>I11*0.4</f>
        <v>10605600</v>
      </c>
      <c r="L11" s="6">
        <f>(I11*0.2)</f>
        <v>5302800</v>
      </c>
      <c r="M11" s="6">
        <f>I11-K11-L11</f>
        <v>10605600</v>
      </c>
      <c r="N11" s="7">
        <f>M11/I11</f>
        <v>0.4</v>
      </c>
    </row>
    <row r="12" spans="1:20" x14ac:dyDescent="0.35">
      <c r="A12" s="1" t="s">
        <v>3</v>
      </c>
      <c r="B12">
        <v>8</v>
      </c>
      <c r="C12">
        <v>3</v>
      </c>
      <c r="D12" s="34">
        <f>((476000*8)/14)/8</f>
        <v>34000</v>
      </c>
      <c r="E12" s="34"/>
      <c r="F12" s="34">
        <f>((113000*3)/3)/3</f>
        <v>37666.666666666664</v>
      </c>
      <c r="G12" s="34"/>
      <c r="H12" s="5">
        <f>(D12*8+F12*3)</f>
        <v>385000</v>
      </c>
      <c r="I12" s="6">
        <v>21450000</v>
      </c>
      <c r="J12" s="6">
        <f>I12/H12*0.4</f>
        <v>22.285714285714288</v>
      </c>
      <c r="K12" s="6">
        <f>I12*0.4</f>
        <v>8580000</v>
      </c>
      <c r="L12" s="6">
        <f>(I12*0.2)</f>
        <v>4290000</v>
      </c>
      <c r="M12" s="6">
        <f>I12-K12-L12</f>
        <v>8580000</v>
      </c>
      <c r="N12" s="7">
        <f>M12/I12</f>
        <v>0.4</v>
      </c>
    </row>
    <row r="13" spans="1:20" x14ac:dyDescent="0.35">
      <c r="A13" s="1" t="s">
        <v>4</v>
      </c>
      <c r="B13">
        <v>11</v>
      </c>
      <c r="C13">
        <v>4</v>
      </c>
      <c r="D13" s="34">
        <v>0</v>
      </c>
      <c r="E13" s="34"/>
      <c r="F13" s="34">
        <v>0</v>
      </c>
      <c r="G13" s="34"/>
      <c r="H13" s="5">
        <v>0</v>
      </c>
      <c r="I13" s="6">
        <v>16704000</v>
      </c>
      <c r="J13">
        <v>0</v>
      </c>
      <c r="K13" s="6">
        <f>(K12+0.6*K12)</f>
        <v>13728000</v>
      </c>
      <c r="L13" s="6">
        <f>I13-K13</f>
        <v>2976000</v>
      </c>
      <c r="M13" s="6">
        <f>I13-K13-L13</f>
        <v>0</v>
      </c>
      <c r="N13" s="7">
        <f>M13/I13</f>
        <v>0</v>
      </c>
      <c r="T13" t="s">
        <v>17</v>
      </c>
    </row>
    <row r="14" spans="1:20" x14ac:dyDescent="0.35">
      <c r="T14" t="s">
        <v>18</v>
      </c>
    </row>
    <row r="15" spans="1:20" x14ac:dyDescent="0.35">
      <c r="A15" s="37" t="s">
        <v>19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</row>
    <row r="16" spans="1:20" x14ac:dyDescent="0.35">
      <c r="A16" s="4" t="s">
        <v>1</v>
      </c>
      <c r="B16" s="1" t="s">
        <v>6</v>
      </c>
      <c r="C16" s="1" t="s">
        <v>7</v>
      </c>
      <c r="D16" s="35" t="s">
        <v>8</v>
      </c>
      <c r="E16" s="35"/>
      <c r="F16" s="35" t="s">
        <v>9</v>
      </c>
      <c r="G16" s="35"/>
      <c r="H16" s="1" t="s">
        <v>10</v>
      </c>
      <c r="I16" s="1" t="s">
        <v>11</v>
      </c>
      <c r="J16" s="1" t="s">
        <v>12</v>
      </c>
      <c r="K16" s="1" t="s">
        <v>20</v>
      </c>
      <c r="L16" s="1" t="s">
        <v>14</v>
      </c>
      <c r="M16" s="1" t="s">
        <v>21</v>
      </c>
      <c r="N16" s="1" t="s">
        <v>16</v>
      </c>
    </row>
    <row r="17" spans="1:14" x14ac:dyDescent="0.35">
      <c r="A17" s="1" t="s">
        <v>2</v>
      </c>
      <c r="B17">
        <v>10</v>
      </c>
      <c r="C17">
        <v>3</v>
      </c>
      <c r="D17" s="36">
        <f>((745000*10)/19)/10</f>
        <v>39210.526315789473</v>
      </c>
      <c r="E17" s="36"/>
      <c r="F17" s="36">
        <f>((203000*3)/5)/3</f>
        <v>40600</v>
      </c>
      <c r="G17" s="36"/>
      <c r="H17" s="5">
        <f>(D17*10+ F17*3)</f>
        <v>513905.26315789472</v>
      </c>
      <c r="I17" s="6">
        <v>26514000</v>
      </c>
      <c r="J17" s="6">
        <f>I17/H17*0.4</f>
        <v>20.637266749964155</v>
      </c>
      <c r="K17" s="6">
        <f>I17*0.2</f>
        <v>5302800</v>
      </c>
      <c r="L17" s="6">
        <f>(I17*0.2)</f>
        <v>5302800</v>
      </c>
      <c r="M17" s="6">
        <f>I17-K17-L17</f>
        <v>15908400</v>
      </c>
      <c r="N17" s="7">
        <f>M17/I17</f>
        <v>0.6</v>
      </c>
    </row>
    <row r="18" spans="1:14" x14ac:dyDescent="0.35">
      <c r="A18" s="1" t="s">
        <v>3</v>
      </c>
      <c r="B18">
        <v>8</v>
      </c>
      <c r="C18">
        <v>3</v>
      </c>
      <c r="D18" s="34">
        <f>((476000*8)/14)/8</f>
        <v>34000</v>
      </c>
      <c r="E18" s="34"/>
      <c r="F18" s="34">
        <f>((113000*3)/3)/3</f>
        <v>37666.666666666664</v>
      </c>
      <c r="G18" s="34"/>
      <c r="H18" s="5">
        <f>(D18*8+F18*3)</f>
        <v>385000</v>
      </c>
      <c r="I18" s="6">
        <v>21450000</v>
      </c>
      <c r="J18" s="6">
        <f>I18/H18*0.4</f>
        <v>22.285714285714288</v>
      </c>
      <c r="K18" s="6">
        <f>I18*0.2</f>
        <v>4290000</v>
      </c>
      <c r="L18" s="6">
        <f>(I18*0.2)</f>
        <v>4290000</v>
      </c>
      <c r="M18" s="6">
        <f>I18-K18-L18</f>
        <v>12870000</v>
      </c>
      <c r="N18" s="7">
        <f>M18/I18</f>
        <v>0.6</v>
      </c>
    </row>
    <row r="19" spans="1:14" x14ac:dyDescent="0.35">
      <c r="A19" s="1" t="s">
        <v>4</v>
      </c>
      <c r="B19">
        <v>11</v>
      </c>
      <c r="C19">
        <v>4</v>
      </c>
      <c r="D19" s="34">
        <v>0</v>
      </c>
      <c r="E19" s="34"/>
      <c r="F19" s="34">
        <v>0</v>
      </c>
      <c r="G19" s="34"/>
      <c r="H19" s="5">
        <v>0</v>
      </c>
      <c r="I19" s="6">
        <v>16704000</v>
      </c>
      <c r="J19">
        <v>0</v>
      </c>
      <c r="K19" s="6">
        <f>(K18+0.6*K18)</f>
        <v>6864000</v>
      </c>
      <c r="L19" s="6">
        <f>I19-K19</f>
        <v>9840000</v>
      </c>
      <c r="M19" s="6">
        <f>I19-K19-L19</f>
        <v>0</v>
      </c>
      <c r="N19" s="7">
        <f>M19/I19</f>
        <v>0</v>
      </c>
    </row>
    <row r="20" spans="1:14" x14ac:dyDescent="0.35">
      <c r="A20" s="9"/>
      <c r="D20" s="8"/>
      <c r="E20" s="5"/>
      <c r="F20" s="8"/>
      <c r="G20" s="5"/>
      <c r="H20" s="5"/>
      <c r="I20" s="6"/>
      <c r="K20" s="6"/>
      <c r="L20" s="6"/>
      <c r="M20" s="6"/>
      <c r="N20" s="7"/>
    </row>
    <row r="21" spans="1:14" x14ac:dyDescent="0.35">
      <c r="A21" s="37" t="s">
        <v>22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10"/>
      <c r="N21" s="11"/>
    </row>
    <row r="22" spans="1:14" x14ac:dyDescent="0.35">
      <c r="N22" s="12"/>
    </row>
    <row r="23" spans="1:14" x14ac:dyDescent="0.35">
      <c r="A23" s="13" t="s">
        <v>1</v>
      </c>
      <c r="C23" s="14" t="s">
        <v>23</v>
      </c>
      <c r="D23" s="14" t="s">
        <v>24</v>
      </c>
      <c r="E23" s="14" t="s">
        <v>25</v>
      </c>
      <c r="F23" s="15" t="s">
        <v>26</v>
      </c>
      <c r="G23" s="14" t="s">
        <v>27</v>
      </c>
      <c r="H23" s="14" t="s">
        <v>28</v>
      </c>
      <c r="I23" s="14" t="s">
        <v>29</v>
      </c>
      <c r="J23" s="14" t="s">
        <v>30</v>
      </c>
      <c r="K23" s="16" t="s">
        <v>31</v>
      </c>
      <c r="L23" s="17" t="s">
        <v>32</v>
      </c>
    </row>
    <row r="24" spans="1:14" x14ac:dyDescent="0.35">
      <c r="A24" s="14" t="s">
        <v>2</v>
      </c>
      <c r="C24" s="6">
        <v>12186</v>
      </c>
      <c r="D24" s="18">
        <f>2156000*D28</f>
        <v>1078000</v>
      </c>
      <c r="E24" s="18">
        <f>6506000*E28</f>
        <v>2602400</v>
      </c>
      <c r="F24" s="18">
        <f>1563000*F28</f>
        <v>1094100</v>
      </c>
      <c r="G24" s="18">
        <f>1014000*G28</f>
        <v>304200</v>
      </c>
      <c r="H24" s="18">
        <f>1094000*H28</f>
        <v>656400</v>
      </c>
      <c r="I24" s="18">
        <f>1027000*I28</f>
        <v>410800</v>
      </c>
      <c r="J24" s="18">
        <f>3678000*J28</f>
        <v>3678000</v>
      </c>
      <c r="K24" s="6">
        <f>SUM(C24:J24)</f>
        <v>9836086</v>
      </c>
      <c r="L24" s="19">
        <f>I11/K24</f>
        <v>2.6955844021697248</v>
      </c>
    </row>
    <row r="25" spans="1:14" x14ac:dyDescent="0.35">
      <c r="A25" s="14" t="s">
        <v>3</v>
      </c>
      <c r="C25" s="6">
        <v>8784</v>
      </c>
      <c r="D25" s="18">
        <f>1959000*D28</f>
        <v>979500</v>
      </c>
      <c r="E25" s="18">
        <f>6755000*E28</f>
        <v>2702000</v>
      </c>
      <c r="F25" s="18">
        <f>1311000*F28</f>
        <v>917700</v>
      </c>
      <c r="G25" s="18">
        <f>1044000*G28</f>
        <v>313200</v>
      </c>
      <c r="H25" s="18">
        <f>958000*H28</f>
        <v>574800</v>
      </c>
      <c r="I25" s="18">
        <f>585000*I28</f>
        <v>234000</v>
      </c>
      <c r="J25" s="18">
        <f>1967000*J28</f>
        <v>1967000</v>
      </c>
      <c r="K25" s="6">
        <f>SUM(C25:J25)</f>
        <v>7696984</v>
      </c>
      <c r="L25" s="19">
        <f>I12/K25</f>
        <v>2.7868058449907132</v>
      </c>
    </row>
    <row r="26" spans="1:14" x14ac:dyDescent="0.35">
      <c r="A26" s="14" t="s">
        <v>4</v>
      </c>
      <c r="C26" s="6">
        <v>7608</v>
      </c>
      <c r="D26" s="18">
        <f>2104000*D28</f>
        <v>1052000</v>
      </c>
      <c r="E26" s="18">
        <f>AVERAGE(E24:E25)</f>
        <v>2652200</v>
      </c>
      <c r="F26" s="18">
        <f>1092000*F28</f>
        <v>764400</v>
      </c>
      <c r="G26" s="18">
        <f>1038000*G28</f>
        <v>311400</v>
      </c>
      <c r="H26" s="18">
        <f>AVERAGE(H24:H25)</f>
        <v>615600</v>
      </c>
      <c r="I26" s="18">
        <f>AVERAGE(I24:I25)</f>
        <v>322400</v>
      </c>
      <c r="J26" s="18">
        <f>AVERAGE(J24:J25)</f>
        <v>2822500</v>
      </c>
      <c r="K26" s="6">
        <f>SUM(C26:J26)</f>
        <v>8548108</v>
      </c>
      <c r="L26" s="19">
        <f>I13/K26</f>
        <v>1.9541166302531507</v>
      </c>
    </row>
    <row r="28" spans="1:14" x14ac:dyDescent="0.35">
      <c r="D28" s="18">
        <v>0.5</v>
      </c>
      <c r="E28">
        <v>0.4</v>
      </c>
      <c r="F28" s="18">
        <v>0.7</v>
      </c>
      <c r="G28" s="18">
        <v>0.3</v>
      </c>
      <c r="H28" s="18">
        <v>0.6</v>
      </c>
      <c r="I28" s="18">
        <v>0.4</v>
      </c>
      <c r="J28" s="18">
        <v>1</v>
      </c>
    </row>
    <row r="29" spans="1:14" x14ac:dyDescent="0.35">
      <c r="A29" s="37" t="s">
        <v>33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4" x14ac:dyDescent="0.35">
      <c r="D30" s="18"/>
      <c r="F30" s="18"/>
      <c r="G30" s="18"/>
      <c r="H30" s="18"/>
      <c r="I30" s="18"/>
      <c r="J30" s="18"/>
    </row>
    <row r="31" spans="1:14" x14ac:dyDescent="0.35">
      <c r="A31" s="13" t="s">
        <v>1</v>
      </c>
      <c r="C31" s="14" t="s">
        <v>23</v>
      </c>
      <c r="D31" s="14" t="s">
        <v>24</v>
      </c>
      <c r="E31" s="14" t="s">
        <v>25</v>
      </c>
      <c r="F31" s="15" t="s">
        <v>26</v>
      </c>
      <c r="G31" s="14" t="s">
        <v>27</v>
      </c>
      <c r="H31" s="14" t="s">
        <v>28</v>
      </c>
      <c r="I31" s="14" t="s">
        <v>29</v>
      </c>
      <c r="J31" s="14" t="s">
        <v>30</v>
      </c>
      <c r="K31" s="16" t="s">
        <v>31</v>
      </c>
      <c r="L31" s="17" t="s">
        <v>32</v>
      </c>
    </row>
    <row r="32" spans="1:14" x14ac:dyDescent="0.35">
      <c r="A32" s="14" t="s">
        <v>2</v>
      </c>
      <c r="C32" s="6">
        <v>12186</v>
      </c>
      <c r="D32" s="18">
        <f>1078000/D28*D36</f>
        <v>1358280</v>
      </c>
      <c r="E32" s="18">
        <f>6506000*E36</f>
        <v>3383120</v>
      </c>
      <c r="F32" s="18">
        <f>1094100/F28*F36</f>
        <v>937800</v>
      </c>
      <c r="G32" s="18">
        <f>304200/G28*G36</f>
        <v>466440</v>
      </c>
      <c r="H32" s="18">
        <f>656400/H28*H36</f>
        <v>853320</v>
      </c>
      <c r="I32" s="18">
        <f>410800/I28*I36</f>
        <v>698360</v>
      </c>
      <c r="J32" s="18">
        <v>3678000</v>
      </c>
      <c r="K32" s="6">
        <f>SUM(C32:J32)</f>
        <v>11387506</v>
      </c>
      <c r="L32" s="19">
        <f>I11/K32</f>
        <v>2.3283412540024129</v>
      </c>
    </row>
    <row r="33" spans="1:12" x14ac:dyDescent="0.35">
      <c r="A33" s="14" t="s">
        <v>3</v>
      </c>
      <c r="C33" s="6">
        <v>8784</v>
      </c>
      <c r="D33" s="18">
        <f>979500/D28*D36</f>
        <v>1234170</v>
      </c>
      <c r="E33" s="18">
        <f>6755000*E36</f>
        <v>3512600</v>
      </c>
      <c r="F33" s="18">
        <f>917700/F28*F36</f>
        <v>786600</v>
      </c>
      <c r="G33" s="18">
        <f>313200/G28*G36</f>
        <v>480240</v>
      </c>
      <c r="H33" s="18">
        <f>574800/H28*H36</f>
        <v>747240</v>
      </c>
      <c r="I33" s="18">
        <f>234000/I28*I36</f>
        <v>397800</v>
      </c>
      <c r="J33" s="18">
        <v>1967000</v>
      </c>
      <c r="K33" s="6">
        <f>SUM(C33:J33)</f>
        <v>9134434</v>
      </c>
      <c r="L33" s="19">
        <f>I12/K33</f>
        <v>2.3482571552873446</v>
      </c>
    </row>
    <row r="34" spans="1:12" x14ac:dyDescent="0.35">
      <c r="A34" s="14" t="s">
        <v>4</v>
      </c>
      <c r="C34" s="6">
        <v>7608</v>
      </c>
      <c r="D34" s="18">
        <f>1052000/D28*D36</f>
        <v>1325520</v>
      </c>
      <c r="E34" s="18">
        <f>AVERAGE(E32:E33)</f>
        <v>3447860</v>
      </c>
      <c r="F34" s="18">
        <f>764400/F28*F36</f>
        <v>655200</v>
      </c>
      <c r="G34" s="18">
        <f>311400/G28*G36</f>
        <v>477480</v>
      </c>
      <c r="H34" s="18">
        <f>615600/H28*H36</f>
        <v>800280</v>
      </c>
      <c r="I34" s="18">
        <f>322400/I28*I36</f>
        <v>548080</v>
      </c>
      <c r="J34" s="18">
        <v>2822500</v>
      </c>
      <c r="K34" s="6">
        <f>SUM(C34:J34)</f>
        <v>10084528</v>
      </c>
      <c r="L34" s="19">
        <f>I13/K34</f>
        <v>1.6563987922885435</v>
      </c>
    </row>
    <row r="35" spans="1:12" x14ac:dyDescent="0.35">
      <c r="A35" s="20"/>
      <c r="C35" s="6"/>
      <c r="D35" s="18"/>
      <c r="E35" s="18"/>
      <c r="F35" s="18"/>
      <c r="G35" s="18"/>
      <c r="H35" s="18"/>
      <c r="I35" s="18"/>
      <c r="J35" s="18"/>
      <c r="K35" s="6"/>
    </row>
    <row r="36" spans="1:12" x14ac:dyDescent="0.35">
      <c r="D36">
        <v>0.63</v>
      </c>
      <c r="E36">
        <v>0.52</v>
      </c>
      <c r="F36">
        <v>0.6</v>
      </c>
      <c r="G36" s="21">
        <v>0.46</v>
      </c>
      <c r="H36" s="21">
        <v>0.78</v>
      </c>
      <c r="I36">
        <v>0.68</v>
      </c>
    </row>
    <row r="37" spans="1:12" x14ac:dyDescent="0.35">
      <c r="G37" s="21"/>
      <c r="H37" s="21"/>
    </row>
    <row r="38" spans="1:12" x14ac:dyDescent="0.35">
      <c r="C38" s="22">
        <v>12186</v>
      </c>
      <c r="D38" s="22">
        <v>1358280</v>
      </c>
      <c r="F38" s="22">
        <v>937800</v>
      </c>
      <c r="G38" s="23">
        <v>466440</v>
      </c>
      <c r="H38" s="23">
        <v>853320</v>
      </c>
      <c r="I38" s="22">
        <v>698360</v>
      </c>
      <c r="J38" s="22">
        <v>3678000</v>
      </c>
      <c r="K38" s="22">
        <v>9832186</v>
      </c>
      <c r="L38" s="22">
        <v>2.69665362311087</v>
      </c>
    </row>
    <row r="39" spans="1:12" x14ac:dyDescent="0.35">
      <c r="C39" s="22">
        <v>8784</v>
      </c>
      <c r="D39" s="22">
        <v>1234170</v>
      </c>
      <c r="F39" s="22">
        <v>786600</v>
      </c>
      <c r="G39" s="23">
        <v>480240</v>
      </c>
      <c r="H39" s="23">
        <v>747240</v>
      </c>
      <c r="I39" s="22">
        <v>397800</v>
      </c>
      <c r="J39" s="22">
        <v>1967000</v>
      </c>
      <c r="K39" s="22">
        <v>6499074</v>
      </c>
      <c r="L39" s="22">
        <v>3.3004701900609201</v>
      </c>
    </row>
    <row r="40" spans="1:12" x14ac:dyDescent="0.35">
      <c r="C40" s="22">
        <v>7608</v>
      </c>
      <c r="D40" s="22">
        <v>1325520</v>
      </c>
      <c r="F40" s="22">
        <v>655200</v>
      </c>
      <c r="G40" s="23">
        <v>477480</v>
      </c>
      <c r="H40" s="23">
        <v>800280</v>
      </c>
      <c r="I40" s="22">
        <v>548080</v>
      </c>
      <c r="J40" s="22">
        <v>2822500</v>
      </c>
      <c r="K40" s="22">
        <v>7989188</v>
      </c>
      <c r="L40" s="22">
        <v>2.0908257510024799</v>
      </c>
    </row>
    <row r="41" spans="1:12" x14ac:dyDescent="0.35">
      <c r="G41" s="21"/>
      <c r="H41" s="21"/>
    </row>
    <row r="42" spans="1:12" x14ac:dyDescent="0.35">
      <c r="A42" s="37" t="s">
        <v>34</v>
      </c>
      <c r="B42" s="37"/>
      <c r="C42" s="37"/>
      <c r="D42" s="37"/>
      <c r="E42" s="37"/>
      <c r="F42" s="37"/>
      <c r="G42" s="37"/>
      <c r="H42" s="37"/>
    </row>
    <row r="44" spans="1:12" x14ac:dyDescent="0.35">
      <c r="A44" s="4" t="s">
        <v>1</v>
      </c>
      <c r="B44" s="1" t="s">
        <v>6</v>
      </c>
      <c r="C44" s="1" t="s">
        <v>7</v>
      </c>
      <c r="E44" s="24" t="s">
        <v>35</v>
      </c>
      <c r="F44" s="24" t="s">
        <v>36</v>
      </c>
      <c r="G44" s="24" t="s">
        <v>37</v>
      </c>
      <c r="H44" s="24" t="s">
        <v>38</v>
      </c>
    </row>
    <row r="45" spans="1:12" x14ac:dyDescent="0.35">
      <c r="A45" s="1" t="s">
        <v>2</v>
      </c>
      <c r="B45">
        <v>19</v>
      </c>
      <c r="C45">
        <v>6</v>
      </c>
      <c r="E45" s="2">
        <v>54883000</v>
      </c>
      <c r="F45" s="2">
        <f>E45/B45</f>
        <v>2888578.9473684211</v>
      </c>
      <c r="G45" s="2">
        <v>68922000</v>
      </c>
      <c r="H45" s="2">
        <f>G45/C45</f>
        <v>11487000</v>
      </c>
    </row>
    <row r="46" spans="1:12" x14ac:dyDescent="0.35">
      <c r="A46" s="1" t="s">
        <v>3</v>
      </c>
      <c r="B46">
        <v>17</v>
      </c>
      <c r="C46">
        <v>6</v>
      </c>
      <c r="E46" s="2">
        <v>45453000</v>
      </c>
      <c r="F46" s="2">
        <f>E46/B46</f>
        <v>2673705.8823529412</v>
      </c>
      <c r="G46" s="2">
        <v>72054000</v>
      </c>
      <c r="H46" s="2">
        <f>G46/C46</f>
        <v>12009000</v>
      </c>
    </row>
    <row r="47" spans="1:12" x14ac:dyDescent="0.35">
      <c r="A47" s="1" t="s">
        <v>4</v>
      </c>
      <c r="B47">
        <v>22</v>
      </c>
      <c r="C47">
        <v>7</v>
      </c>
      <c r="E47" s="2">
        <v>70734000</v>
      </c>
      <c r="G47" s="2">
        <v>73493000</v>
      </c>
      <c r="H47" s="2"/>
      <c r="I47" t="s">
        <v>39</v>
      </c>
    </row>
    <row r="48" spans="1:12" x14ac:dyDescent="0.35">
      <c r="A48" s="24" t="s">
        <v>40</v>
      </c>
      <c r="B48" t="s">
        <v>41</v>
      </c>
      <c r="C48" t="s">
        <v>42</v>
      </c>
      <c r="E48" s="2">
        <f>9*F46</f>
        <v>24063352.94117647</v>
      </c>
      <c r="G48" s="2">
        <f>H46*1</f>
        <v>12009000</v>
      </c>
    </row>
    <row r="49" spans="1:10" x14ac:dyDescent="0.35">
      <c r="D49" t="s">
        <v>43</v>
      </c>
      <c r="E49" s="2">
        <f>E47-E48</f>
        <v>46670647.058823526</v>
      </c>
      <c r="F49" s="2">
        <f>(E47-E48)/13</f>
        <v>3590049.7737556556</v>
      </c>
      <c r="G49" s="2">
        <f>G47-G48</f>
        <v>61484000</v>
      </c>
      <c r="H49" s="2">
        <f>G49/6</f>
        <v>10247333.333333334</v>
      </c>
    </row>
    <row r="51" spans="1:10" x14ac:dyDescent="0.35">
      <c r="A51" s="37" t="s">
        <v>44</v>
      </c>
      <c r="B51" s="37"/>
      <c r="C51" s="37"/>
      <c r="D51" s="37"/>
      <c r="E51" s="37"/>
      <c r="F51" s="37"/>
      <c r="G51" s="37"/>
      <c r="H51" s="37"/>
    </row>
    <row r="53" spans="1:10" x14ac:dyDescent="0.35">
      <c r="A53" s="4" t="s">
        <v>1</v>
      </c>
      <c r="B53" s="1" t="s">
        <v>6</v>
      </c>
      <c r="C53" s="1" t="s">
        <v>7</v>
      </c>
      <c r="D53" s="25" t="s">
        <v>45</v>
      </c>
      <c r="E53" s="25" t="s">
        <v>46</v>
      </c>
      <c r="F53" s="25" t="s">
        <v>47</v>
      </c>
      <c r="G53" s="25" t="s">
        <v>48</v>
      </c>
      <c r="H53" s="25" t="s">
        <v>49</v>
      </c>
      <c r="I53" s="25" t="s">
        <v>50</v>
      </c>
      <c r="J53" s="25" t="s">
        <v>31</v>
      </c>
    </row>
    <row r="54" spans="1:10" x14ac:dyDescent="0.35">
      <c r="A54" s="1" t="s">
        <v>2</v>
      </c>
      <c r="B54">
        <v>10</v>
      </c>
      <c r="C54">
        <v>3</v>
      </c>
      <c r="D54" s="2">
        <v>13170000</v>
      </c>
      <c r="E54" s="2">
        <v>9829000</v>
      </c>
      <c r="F54" s="2">
        <v>6865000</v>
      </c>
      <c r="G54" s="2">
        <v>0</v>
      </c>
      <c r="H54" s="2">
        <v>5103000</v>
      </c>
      <c r="I54" s="2">
        <v>3242000</v>
      </c>
      <c r="J54" s="2">
        <f>SUM(D54:I54)</f>
        <v>38209000</v>
      </c>
    </row>
    <row r="55" spans="1:10" x14ac:dyDescent="0.35">
      <c r="A55" s="1" t="s">
        <v>3</v>
      </c>
      <c r="B55">
        <v>8</v>
      </c>
      <c r="C55">
        <v>3</v>
      </c>
      <c r="D55" s="2">
        <v>11943000</v>
      </c>
      <c r="E55" s="2">
        <v>6613000</v>
      </c>
      <c r="F55" s="2">
        <v>5861000</v>
      </c>
      <c r="G55" s="2">
        <v>2600000</v>
      </c>
      <c r="H55" s="2">
        <v>6921000</v>
      </c>
      <c r="I55" s="2">
        <v>2436000</v>
      </c>
      <c r="J55" s="2">
        <f>SUM(D55:I55)</f>
        <v>36374000</v>
      </c>
    </row>
    <row r="56" spans="1:10" x14ac:dyDescent="0.35">
      <c r="A56" s="1" t="s">
        <v>4</v>
      </c>
      <c r="B56">
        <v>11</v>
      </c>
      <c r="C56">
        <v>4</v>
      </c>
      <c r="D56" s="2">
        <v>3837000</v>
      </c>
      <c r="E56" s="2">
        <v>0</v>
      </c>
      <c r="F56" s="2">
        <v>122000</v>
      </c>
      <c r="G56" s="2">
        <v>0</v>
      </c>
      <c r="H56" s="2">
        <v>0</v>
      </c>
      <c r="I56" s="2">
        <v>1198000</v>
      </c>
      <c r="J56" s="2">
        <f>SUM(D56:I56)</f>
        <v>5157000</v>
      </c>
    </row>
    <row r="58" spans="1:10" x14ac:dyDescent="0.35">
      <c r="A58" s="37" t="s">
        <v>51</v>
      </c>
      <c r="B58" s="37"/>
      <c r="C58" s="37"/>
      <c r="D58" s="37"/>
      <c r="E58" s="37"/>
      <c r="F58" s="37"/>
      <c r="G58" s="37"/>
      <c r="H58" s="37"/>
    </row>
    <row r="60" spans="1:10" x14ac:dyDescent="0.35">
      <c r="A60" s="4" t="s">
        <v>1</v>
      </c>
      <c r="C60" s="4" t="s">
        <v>52</v>
      </c>
      <c r="D60" s="26" t="s">
        <v>53</v>
      </c>
      <c r="E60" s="4" t="s">
        <v>54</v>
      </c>
      <c r="F60" s="26" t="s">
        <v>53</v>
      </c>
      <c r="G60" s="4" t="s">
        <v>55</v>
      </c>
      <c r="H60" s="26" t="s">
        <v>53</v>
      </c>
    </row>
    <row r="61" spans="1:10" x14ac:dyDescent="0.35">
      <c r="A61" s="1" t="s">
        <v>2</v>
      </c>
      <c r="C61" s="6">
        <v>143100000</v>
      </c>
      <c r="D61" s="27"/>
      <c r="E61" s="6">
        <v>11100000</v>
      </c>
      <c r="G61" s="6">
        <v>6700000</v>
      </c>
    </row>
    <row r="62" spans="1:10" x14ac:dyDescent="0.35">
      <c r="A62" s="1" t="s">
        <v>3</v>
      </c>
      <c r="C62" s="6">
        <v>173300000</v>
      </c>
      <c r="D62" s="7">
        <v>0.21099999999999999</v>
      </c>
      <c r="E62" s="6">
        <v>10900000</v>
      </c>
      <c r="F62" s="7">
        <v>-1.7999999999999999E-2</v>
      </c>
      <c r="G62" s="6">
        <v>16700000</v>
      </c>
      <c r="H62" s="7">
        <v>1.4930000000000001</v>
      </c>
    </row>
    <row r="63" spans="1:10" x14ac:dyDescent="0.35">
      <c r="A63" s="1" t="s">
        <v>4</v>
      </c>
      <c r="C63" s="6">
        <v>183300000</v>
      </c>
      <c r="D63" s="7">
        <v>5.8000000000000003E-2</v>
      </c>
      <c r="E63" s="6">
        <v>12000000</v>
      </c>
      <c r="F63" s="7">
        <v>0.10100000000000001</v>
      </c>
      <c r="G63" s="6">
        <v>22800000</v>
      </c>
      <c r="H63" s="7">
        <v>0.36499999999999999</v>
      </c>
    </row>
    <row r="66" spans="1:9" x14ac:dyDescent="0.35">
      <c r="A66" s="37" t="s">
        <v>56</v>
      </c>
      <c r="B66" s="37"/>
      <c r="C66" s="37"/>
      <c r="D66" s="37"/>
      <c r="E66" s="37"/>
      <c r="F66" s="37"/>
      <c r="G66" s="37"/>
      <c r="H66" s="37"/>
    </row>
    <row r="67" spans="1:9" x14ac:dyDescent="0.35">
      <c r="A67" s="4" t="s">
        <v>1</v>
      </c>
      <c r="C67" s="4" t="s">
        <v>57</v>
      </c>
      <c r="D67" s="4" t="s">
        <v>58</v>
      </c>
      <c r="E67" s="4" t="s">
        <v>59</v>
      </c>
    </row>
    <row r="68" spans="1:9" x14ac:dyDescent="0.35">
      <c r="A68" s="1" t="s">
        <v>2</v>
      </c>
      <c r="C68" s="2">
        <v>248200000</v>
      </c>
      <c r="D68" s="2">
        <v>43700000</v>
      </c>
      <c r="E68" s="2">
        <v>19600000</v>
      </c>
    </row>
    <row r="69" spans="1:9" x14ac:dyDescent="0.35">
      <c r="A69" s="1" t="s">
        <v>3</v>
      </c>
      <c r="C69" s="2">
        <v>195600000</v>
      </c>
      <c r="D69" s="2">
        <v>61500000</v>
      </c>
      <c r="E69" s="2">
        <v>33100000</v>
      </c>
    </row>
    <row r="70" spans="1:9" x14ac:dyDescent="0.35">
      <c r="A70" s="1" t="s">
        <v>4</v>
      </c>
      <c r="C70" s="2">
        <v>43800000</v>
      </c>
      <c r="D70" s="2">
        <v>800000</v>
      </c>
      <c r="E70" s="2">
        <v>200000</v>
      </c>
    </row>
    <row r="72" spans="1:9" x14ac:dyDescent="0.35">
      <c r="E72" t="s">
        <v>60</v>
      </c>
    </row>
    <row r="75" spans="1:9" x14ac:dyDescent="0.35">
      <c r="A75" s="37" t="s">
        <v>61</v>
      </c>
      <c r="B75" s="37"/>
      <c r="C75" s="37"/>
      <c r="D75" s="37"/>
      <c r="E75" s="37"/>
      <c r="F75" s="37"/>
      <c r="G75" s="37"/>
      <c r="H75" s="37"/>
    </row>
    <row r="76" spans="1:9" x14ac:dyDescent="0.35">
      <c r="C76" t="s">
        <v>62</v>
      </c>
    </row>
    <row r="77" spans="1:9" x14ac:dyDescent="0.35">
      <c r="A77" s="1" t="s">
        <v>63</v>
      </c>
      <c r="D77" s="2">
        <f>(3525000000*0.077)</f>
        <v>271425000</v>
      </c>
      <c r="F77" s="2"/>
      <c r="H77" s="2"/>
    </row>
    <row r="78" spans="1:9" x14ac:dyDescent="0.35">
      <c r="A78" s="1" t="s">
        <v>64</v>
      </c>
      <c r="C78" s="28">
        <v>0.25</v>
      </c>
      <c r="D78" s="2">
        <f>D77*0.025</f>
        <v>6785625</v>
      </c>
      <c r="I78" s="2"/>
    </row>
    <row r="79" spans="1:9" x14ac:dyDescent="0.35">
      <c r="A79" s="1" t="s">
        <v>65</v>
      </c>
      <c r="D79" s="2">
        <f>D78*23</f>
        <v>156069375</v>
      </c>
      <c r="E79" s="29"/>
    </row>
    <row r="80" spans="1:9" x14ac:dyDescent="0.35">
      <c r="C80" s="6"/>
      <c r="E80" s="6"/>
      <c r="F80" s="6"/>
      <c r="H80" s="6"/>
    </row>
    <row r="82" spans="1:8" x14ac:dyDescent="0.35">
      <c r="A82" s="37" t="s">
        <v>66</v>
      </c>
      <c r="B82" s="37"/>
      <c r="C82" s="37"/>
      <c r="D82" s="37"/>
      <c r="E82" s="37"/>
      <c r="F82" s="37"/>
      <c r="G82" s="37"/>
      <c r="H82" s="37"/>
    </row>
    <row r="83" spans="1:8" x14ac:dyDescent="0.35">
      <c r="B83" s="30" t="s">
        <v>67</v>
      </c>
      <c r="C83" s="30" t="s">
        <v>7</v>
      </c>
      <c r="D83" s="30" t="s">
        <v>47</v>
      </c>
      <c r="F83" s="30" t="s">
        <v>68</v>
      </c>
      <c r="G83" s="30" t="s">
        <v>69</v>
      </c>
    </row>
    <row r="84" spans="1:8" x14ac:dyDescent="0.35">
      <c r="A84" s="1" t="s">
        <v>2</v>
      </c>
      <c r="C84">
        <v>3</v>
      </c>
      <c r="D84" s="2">
        <v>6865000</v>
      </c>
      <c r="G84" s="2">
        <f>D84/3</f>
        <v>2288333.3333333335</v>
      </c>
    </row>
    <row r="85" spans="1:8" x14ac:dyDescent="0.35">
      <c r="A85" s="1" t="s">
        <v>3</v>
      </c>
      <c r="C85">
        <v>3</v>
      </c>
      <c r="D85" s="2">
        <v>5861000</v>
      </c>
      <c r="G85" s="2">
        <f>D85/3</f>
        <v>1953666.6666666667</v>
      </c>
    </row>
    <row r="86" spans="1:8" x14ac:dyDescent="0.35">
      <c r="A86" s="1" t="s">
        <v>4</v>
      </c>
      <c r="C86">
        <v>4</v>
      </c>
      <c r="D86" s="2">
        <v>0</v>
      </c>
      <c r="G86" s="2">
        <f>D86/3</f>
        <v>0</v>
      </c>
    </row>
    <row r="87" spans="1:8" x14ac:dyDescent="0.35">
      <c r="A87" s="1" t="s">
        <v>70</v>
      </c>
      <c r="B87">
        <v>9</v>
      </c>
      <c r="F87" s="2">
        <f>AVERAGE(D84:D85)/3*(1.25)*9</f>
        <v>23861250</v>
      </c>
      <c r="G87" s="2">
        <f>F87/9</f>
        <v>2651250</v>
      </c>
      <c r="H87" t="s">
        <v>71</v>
      </c>
    </row>
    <row r="92" spans="1:8" x14ac:dyDescent="0.35">
      <c r="A92" s="4" t="s">
        <v>1</v>
      </c>
      <c r="B92" s="1" t="s">
        <v>72</v>
      </c>
      <c r="C92" s="1" t="s">
        <v>7</v>
      </c>
      <c r="D92" s="1" t="s">
        <v>37</v>
      </c>
      <c r="E92" s="1" t="s">
        <v>38</v>
      </c>
      <c r="F92" s="1" t="s">
        <v>73</v>
      </c>
      <c r="G92" s="1" t="s">
        <v>74</v>
      </c>
    </row>
    <row r="93" spans="1:8" x14ac:dyDescent="0.35">
      <c r="A93" s="1" t="s">
        <v>2</v>
      </c>
      <c r="C93">
        <v>6</v>
      </c>
      <c r="D93" s="2">
        <v>68922000</v>
      </c>
      <c r="E93" s="2">
        <f>D93/C93</f>
        <v>11487000</v>
      </c>
      <c r="F93" s="2">
        <v>0</v>
      </c>
      <c r="G93" s="2">
        <v>0</v>
      </c>
    </row>
    <row r="94" spans="1:8" x14ac:dyDescent="0.35">
      <c r="A94" s="1" t="s">
        <v>3</v>
      </c>
      <c r="C94">
        <v>6</v>
      </c>
      <c r="D94" s="2">
        <v>72054000</v>
      </c>
      <c r="E94" s="2">
        <f>D94/C94</f>
        <v>12009000</v>
      </c>
      <c r="F94" s="2">
        <v>0</v>
      </c>
      <c r="G94" s="2">
        <v>0</v>
      </c>
    </row>
    <row r="95" spans="1:8" x14ac:dyDescent="0.35">
      <c r="A95" s="1" t="s">
        <v>4</v>
      </c>
      <c r="C95">
        <v>6</v>
      </c>
      <c r="D95" s="2">
        <v>61484000</v>
      </c>
      <c r="E95" s="2">
        <v>10247333.33</v>
      </c>
      <c r="F95" s="2">
        <v>0</v>
      </c>
      <c r="G95" s="2">
        <v>0</v>
      </c>
    </row>
    <row r="96" spans="1:8" x14ac:dyDescent="0.35">
      <c r="A96" s="1" t="s">
        <v>70</v>
      </c>
      <c r="B96">
        <v>9</v>
      </c>
      <c r="D96" s="2">
        <v>0</v>
      </c>
      <c r="E96" s="2">
        <v>0</v>
      </c>
      <c r="F96" s="2">
        <f>AVERAGE(E93:E95)*(1.3)*9</f>
        <v>131598999.98699999</v>
      </c>
      <c r="G96" s="2">
        <f>F96/9</f>
        <v>14622111.109666666</v>
      </c>
      <c r="H96" t="s">
        <v>75</v>
      </c>
    </row>
    <row r="98" spans="5:6" x14ac:dyDescent="0.35">
      <c r="E98" s="2"/>
      <c r="F98" s="2"/>
    </row>
    <row r="115" spans="1:14" x14ac:dyDescent="0.35">
      <c r="A115" s="4" t="s">
        <v>1</v>
      </c>
      <c r="B115" s="1" t="s">
        <v>6</v>
      </c>
      <c r="C115" s="1" t="s">
        <v>7</v>
      </c>
      <c r="D115" s="35" t="s">
        <v>8</v>
      </c>
      <c r="E115" s="35"/>
      <c r="F115" s="35" t="s">
        <v>9</v>
      </c>
      <c r="G115" s="35"/>
      <c r="H115" s="1" t="s">
        <v>10</v>
      </c>
      <c r="I115" s="1" t="s">
        <v>11</v>
      </c>
      <c r="J115" s="1" t="s">
        <v>12</v>
      </c>
      <c r="K115" s="1" t="s">
        <v>13</v>
      </c>
      <c r="L115" s="1" t="s">
        <v>14</v>
      </c>
      <c r="M115" s="1" t="s">
        <v>15</v>
      </c>
      <c r="N115" s="1" t="s">
        <v>16</v>
      </c>
    </row>
    <row r="116" spans="1:14" x14ac:dyDescent="0.35">
      <c r="A116" s="1" t="s">
        <v>2</v>
      </c>
      <c r="B116">
        <v>10</v>
      </c>
      <c r="C116">
        <v>3</v>
      </c>
      <c r="D116" s="36">
        <f>((745000*10)/19)/10</f>
        <v>39210.526315789473</v>
      </c>
      <c r="E116" s="36"/>
      <c r="F116" s="36">
        <f>((203000*3)/5)/3</f>
        <v>40600</v>
      </c>
      <c r="G116" s="36"/>
      <c r="H116" s="5">
        <f>(D116*10+ F116*3)</f>
        <v>513905.26315789472</v>
      </c>
      <c r="I116" s="6">
        <v>26514000</v>
      </c>
      <c r="J116" s="6">
        <f>I116/H116*0.4</f>
        <v>20.637266749964155</v>
      </c>
      <c r="K116" s="6">
        <f>I116*0.4</f>
        <v>10605600</v>
      </c>
      <c r="L116" s="6">
        <f>(I116*0.2)</f>
        <v>5302800</v>
      </c>
      <c r="M116" s="6">
        <f>I116-K116-L116</f>
        <v>10605600</v>
      </c>
      <c r="N116" s="7">
        <f>M116/I116</f>
        <v>0.4</v>
      </c>
    </row>
    <row r="117" spans="1:14" x14ac:dyDescent="0.35">
      <c r="A117" s="1" t="s">
        <v>3</v>
      </c>
      <c r="B117">
        <v>8</v>
      </c>
      <c r="C117">
        <v>3</v>
      </c>
      <c r="D117" s="34">
        <f>((476000*8)/14)/8</f>
        <v>34000</v>
      </c>
      <c r="E117" s="34"/>
      <c r="F117" s="34">
        <f>((113000*3)/3)/3</f>
        <v>37666.666666666664</v>
      </c>
      <c r="G117" s="34"/>
      <c r="H117" s="5">
        <f>(D117*8+F117*3)</f>
        <v>385000</v>
      </c>
      <c r="I117" s="6">
        <v>21450000</v>
      </c>
      <c r="J117" s="6">
        <f>I117/H117*0.4</f>
        <v>22.285714285714288</v>
      </c>
      <c r="K117" s="6">
        <f>I117*0.4</f>
        <v>8580000</v>
      </c>
      <c r="L117" s="6">
        <f>(I117*0.2)</f>
        <v>4290000</v>
      </c>
      <c r="M117" s="6">
        <f>I117-K117-L117</f>
        <v>8580000</v>
      </c>
      <c r="N117" s="7">
        <f>M117/I117</f>
        <v>0.4</v>
      </c>
    </row>
    <row r="118" spans="1:14" x14ac:dyDescent="0.35">
      <c r="A118" s="1" t="s">
        <v>4</v>
      </c>
      <c r="B118">
        <v>11</v>
      </c>
      <c r="C118">
        <v>4</v>
      </c>
      <c r="D118" s="34">
        <v>0</v>
      </c>
      <c r="E118" s="34"/>
      <c r="F118" s="34">
        <v>0</v>
      </c>
      <c r="G118" s="34"/>
      <c r="H118" s="5">
        <v>0</v>
      </c>
      <c r="I118" s="6">
        <v>16704000</v>
      </c>
      <c r="J118">
        <v>0</v>
      </c>
      <c r="K118" s="6">
        <f>(K117+0.6*K117)</f>
        <v>13728000</v>
      </c>
      <c r="L118" s="6">
        <f>I118-K118</f>
        <v>2976000</v>
      </c>
      <c r="M118" s="6">
        <f>I118-K118-L118</f>
        <v>0</v>
      </c>
      <c r="N118" s="7">
        <f>M118/I118</f>
        <v>0</v>
      </c>
    </row>
    <row r="123" spans="1:14" x14ac:dyDescent="0.35">
      <c r="D123" t="s">
        <v>76</v>
      </c>
      <c r="E123" t="s">
        <v>77</v>
      </c>
      <c r="F123" t="s">
        <v>78</v>
      </c>
      <c r="G123" t="s">
        <v>79</v>
      </c>
      <c r="H123" t="s">
        <v>80</v>
      </c>
    </row>
    <row r="124" spans="1:14" x14ac:dyDescent="0.35">
      <c r="D124" s="22">
        <f>E24*0.2</f>
        <v>520480</v>
      </c>
      <c r="E124" s="22">
        <f>4322000*0.1*0.2</f>
        <v>86440</v>
      </c>
      <c r="F124" s="22">
        <f>11091000*0.1*0.3</f>
        <v>332730</v>
      </c>
      <c r="H124" s="22">
        <f>SUM(D124:F124)</f>
        <v>939650</v>
      </c>
    </row>
    <row r="125" spans="1:14" x14ac:dyDescent="0.35">
      <c r="D125" s="22">
        <f>E25*0.2</f>
        <v>540400</v>
      </c>
      <c r="E125" s="22">
        <f>1964000*0.1*0.2</f>
        <v>39280</v>
      </c>
      <c r="F125" s="22">
        <f>(10861000-397000)*0.1*0.3</f>
        <v>313920</v>
      </c>
      <c r="H125" s="22">
        <f>SUM(D125:F125)</f>
        <v>893600</v>
      </c>
    </row>
    <row r="126" spans="1:14" x14ac:dyDescent="0.35">
      <c r="D126" s="22">
        <f>E26*0.2</f>
        <v>530440</v>
      </c>
      <c r="E126" s="22">
        <f>1927000*0.1*0.2</f>
        <v>38540</v>
      </c>
      <c r="F126" s="22">
        <f>11064000*0.1*0.3</f>
        <v>331920</v>
      </c>
      <c r="H126" s="22">
        <f>SUM(D126:F126)</f>
        <v>900900</v>
      </c>
    </row>
    <row r="127" spans="1:14" x14ac:dyDescent="0.35">
      <c r="D127" t="s">
        <v>81</v>
      </c>
      <c r="H127" s="22"/>
    </row>
    <row r="128" spans="1:14" x14ac:dyDescent="0.35">
      <c r="D128" s="22">
        <f>E24*0.8</f>
        <v>2081920</v>
      </c>
      <c r="E128" s="22">
        <f>4322000*0.1*0.8</f>
        <v>345760</v>
      </c>
      <c r="F128" s="22">
        <f>11091000*0.1*0.7</f>
        <v>776370</v>
      </c>
      <c r="H128" s="22">
        <f>SUM(D128:F128)</f>
        <v>3204050</v>
      </c>
    </row>
    <row r="129" spans="4:8" x14ac:dyDescent="0.35">
      <c r="D129" s="22">
        <f>E25*0.8</f>
        <v>2161600</v>
      </c>
      <c r="E129" s="22">
        <f>1964000*0.1*0.8</f>
        <v>157120</v>
      </c>
      <c r="F129" s="22">
        <f>(10861000-397000)*0.1*0.7</f>
        <v>732480</v>
      </c>
      <c r="H129" s="22">
        <f>SUM(D129:F129)</f>
        <v>3051200</v>
      </c>
    </row>
    <row r="130" spans="4:8" x14ac:dyDescent="0.35">
      <c r="D130" s="22">
        <f>E26*0.8</f>
        <v>2121760</v>
      </c>
      <c r="E130" s="22">
        <f>1927000*0.1*0.8</f>
        <v>154160</v>
      </c>
      <c r="F130" s="22">
        <f>11064000*0.1*0.7</f>
        <v>774480</v>
      </c>
      <c r="H130" s="22">
        <f>SUM(D130:F130)</f>
        <v>3050400</v>
      </c>
    </row>
  </sheetData>
  <mergeCells count="35">
    <mergeCell ref="A1:H1"/>
    <mergeCell ref="A8:N8"/>
    <mergeCell ref="D10:E10"/>
    <mergeCell ref="F10:G10"/>
    <mergeCell ref="D11:E11"/>
    <mergeCell ref="F11:G11"/>
    <mergeCell ref="D12:E12"/>
    <mergeCell ref="F12:G12"/>
    <mergeCell ref="D13:E13"/>
    <mergeCell ref="F13:G13"/>
    <mergeCell ref="A15:N15"/>
    <mergeCell ref="D16:E16"/>
    <mergeCell ref="F16:G16"/>
    <mergeCell ref="D17:E17"/>
    <mergeCell ref="F17:G17"/>
    <mergeCell ref="D18:E18"/>
    <mergeCell ref="F18:G18"/>
    <mergeCell ref="D19:E19"/>
    <mergeCell ref="F19:G19"/>
    <mergeCell ref="A21:L21"/>
    <mergeCell ref="A29:L29"/>
    <mergeCell ref="A42:H42"/>
    <mergeCell ref="A51:H51"/>
    <mergeCell ref="A58:H58"/>
    <mergeCell ref="A66:H66"/>
    <mergeCell ref="A75:H75"/>
    <mergeCell ref="A82:H82"/>
    <mergeCell ref="D118:E118"/>
    <mergeCell ref="F118:G118"/>
    <mergeCell ref="D115:E115"/>
    <mergeCell ref="F115:G115"/>
    <mergeCell ref="D116:E116"/>
    <mergeCell ref="F116:G116"/>
    <mergeCell ref="D117:E117"/>
    <mergeCell ref="F117:G11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zoomScale="95" zoomScaleNormal="95" workbookViewId="0">
      <selection activeCell="E2" sqref="E2"/>
    </sheetView>
  </sheetViews>
  <sheetFormatPr defaultColWidth="8.54296875" defaultRowHeight="14.5" x14ac:dyDescent="0.35"/>
  <cols>
    <col min="1" max="1" width="17.36328125" customWidth="1"/>
    <col min="2" max="2" width="16.6328125" customWidth="1"/>
    <col min="3" max="3" width="41.81640625" customWidth="1"/>
    <col min="4" max="4" width="16" customWidth="1"/>
  </cols>
  <sheetData>
    <row r="1" spans="1:8" x14ac:dyDescent="0.35">
      <c r="A1" s="31" t="s">
        <v>82</v>
      </c>
      <c r="B1" s="31" t="s">
        <v>83</v>
      </c>
      <c r="C1" s="31" t="s">
        <v>84</v>
      </c>
      <c r="D1" s="31" t="s">
        <v>85</v>
      </c>
      <c r="E1" s="31" t="s">
        <v>86</v>
      </c>
      <c r="F1" s="31" t="s">
        <v>87</v>
      </c>
    </row>
    <row r="2" spans="1:8" x14ac:dyDescent="0.35">
      <c r="A2" s="32">
        <v>7</v>
      </c>
      <c r="B2" s="32">
        <v>6</v>
      </c>
      <c r="C2" s="32">
        <v>7</v>
      </c>
      <c r="D2" s="32">
        <v>9</v>
      </c>
      <c r="E2" s="32">
        <v>10</v>
      </c>
      <c r="F2" s="32">
        <v>9</v>
      </c>
    </row>
    <row r="3" spans="1:8" x14ac:dyDescent="0.35">
      <c r="A3" s="32">
        <v>1</v>
      </c>
      <c r="B3" s="32">
        <v>4</v>
      </c>
      <c r="C3" s="32">
        <v>2</v>
      </c>
      <c r="D3" s="32">
        <v>1</v>
      </c>
      <c r="E3" s="32">
        <v>5</v>
      </c>
      <c r="F3" s="32">
        <v>2</v>
      </c>
    </row>
    <row r="4" spans="1:8" x14ac:dyDescent="0.35">
      <c r="A4" s="32">
        <v>6</v>
      </c>
      <c r="B4" s="32">
        <v>4</v>
      </c>
      <c r="C4" s="32">
        <v>2</v>
      </c>
      <c r="D4" s="32">
        <v>1</v>
      </c>
      <c r="E4" s="32">
        <v>6</v>
      </c>
      <c r="F4" s="32">
        <v>3</v>
      </c>
    </row>
    <row r="5" spans="1:8" x14ac:dyDescent="0.35">
      <c r="A5" s="32">
        <v>6</v>
      </c>
      <c r="B5" s="32">
        <v>2</v>
      </c>
      <c r="C5" s="32">
        <v>8</v>
      </c>
      <c r="D5" s="32">
        <v>1</v>
      </c>
      <c r="E5" s="32">
        <v>9</v>
      </c>
      <c r="F5" s="32">
        <v>7</v>
      </c>
    </row>
    <row r="6" spans="1:8" x14ac:dyDescent="0.35">
      <c r="A6" s="32">
        <v>6</v>
      </c>
      <c r="B6" s="32">
        <v>2</v>
      </c>
      <c r="C6" s="32">
        <v>8</v>
      </c>
      <c r="D6" s="32">
        <v>1</v>
      </c>
      <c r="E6" s="32">
        <v>9</v>
      </c>
      <c r="F6" s="32">
        <v>7</v>
      </c>
    </row>
    <row r="7" spans="1:8" x14ac:dyDescent="0.35">
      <c r="A7" s="32">
        <v>7</v>
      </c>
      <c r="B7" s="32">
        <v>7</v>
      </c>
      <c r="C7" s="32">
        <v>6</v>
      </c>
      <c r="D7" s="32">
        <v>6</v>
      </c>
      <c r="E7" s="32">
        <v>10</v>
      </c>
      <c r="F7" s="32">
        <v>7</v>
      </c>
    </row>
    <row r="8" spans="1:8" x14ac:dyDescent="0.35">
      <c r="A8" s="32">
        <v>5</v>
      </c>
      <c r="B8" s="32">
        <v>7</v>
      </c>
      <c r="C8" s="32">
        <v>3</v>
      </c>
      <c r="D8" s="32">
        <v>6</v>
      </c>
      <c r="E8" s="32">
        <v>5</v>
      </c>
      <c r="F8" s="32">
        <v>7</v>
      </c>
    </row>
    <row r="9" spans="1:8" x14ac:dyDescent="0.35">
      <c r="A9" s="32">
        <v>6</v>
      </c>
      <c r="B9" s="32">
        <v>3</v>
      </c>
      <c r="C9" s="32">
        <v>7</v>
      </c>
      <c r="D9" s="32">
        <v>3</v>
      </c>
      <c r="E9" s="32">
        <v>6</v>
      </c>
      <c r="F9" s="32">
        <v>5</v>
      </c>
    </row>
    <row r="10" spans="1:8" x14ac:dyDescent="0.35">
      <c r="A10" s="32">
        <v>7</v>
      </c>
      <c r="B10" s="32">
        <v>7</v>
      </c>
      <c r="C10" s="32">
        <v>10</v>
      </c>
      <c r="D10" s="32">
        <v>7</v>
      </c>
      <c r="E10" s="32">
        <v>10</v>
      </c>
      <c r="F10" s="32">
        <v>10</v>
      </c>
    </row>
    <row r="11" spans="1:8" x14ac:dyDescent="0.35">
      <c r="A11" s="32">
        <v>9</v>
      </c>
      <c r="B11" s="32">
        <v>8</v>
      </c>
      <c r="C11" s="32">
        <v>6</v>
      </c>
      <c r="D11" s="32">
        <v>8</v>
      </c>
      <c r="E11" s="32">
        <v>8</v>
      </c>
      <c r="F11" s="32">
        <v>9</v>
      </c>
    </row>
    <row r="12" spans="1:8" x14ac:dyDescent="0.35">
      <c r="A12" s="32">
        <v>9</v>
      </c>
      <c r="B12" s="32">
        <v>8</v>
      </c>
      <c r="C12" s="32">
        <v>6</v>
      </c>
      <c r="D12" s="32">
        <v>8</v>
      </c>
      <c r="E12" s="32">
        <v>8</v>
      </c>
      <c r="F12" s="32">
        <v>9</v>
      </c>
    </row>
    <row r="15" spans="1:8" x14ac:dyDescent="0.35">
      <c r="A15" s="33">
        <f>AVERAGE(A2:A12)*H15</f>
        <v>62.727272727272727</v>
      </c>
      <c r="B15" s="33">
        <f>AVERAGE(B2:B12)*10</f>
        <v>52.727272727272727</v>
      </c>
      <c r="C15" s="33">
        <f>AVERAGE(C2:C12)*10</f>
        <v>59.090909090909093</v>
      </c>
      <c r="D15" s="33">
        <f>AVERAGE(D2:D12)*10</f>
        <v>46.363636363636367</v>
      </c>
      <c r="E15" s="33">
        <f>AVERAGE(E2:E12)*10</f>
        <v>78.181818181818187</v>
      </c>
      <c r="F15" s="33">
        <f>AVERAGE(F2:F12)*10</f>
        <v>68.181818181818187</v>
      </c>
      <c r="H15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Gozzo Vito Stefano</dc:creator>
  <dc:description/>
  <cp:lastModifiedBy>Vito Stefano Gozzo</cp:lastModifiedBy>
  <cp:revision>4</cp:revision>
  <dcterms:created xsi:type="dcterms:W3CDTF">2021-04-11T15:17:57Z</dcterms:created>
  <dcterms:modified xsi:type="dcterms:W3CDTF">2021-06-08T18:57:34Z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