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b37c1e3af42fa/Documenti/GitHub/PND/"/>
    </mc:Choice>
  </mc:AlternateContent>
  <xr:revisionPtr revIDLastSave="754" documentId="8_{8786BCDD-09D4-426B-8F7E-7FA922D05DC9}" xr6:coauthVersionLast="47" xr6:coauthVersionMax="47" xr10:uidLastSave="{21DB2828-97D3-4A7A-8B86-D7797A8192BA}"/>
  <bookViews>
    <workbookView xWindow="-110" yWindow="-110" windowWidth="19420" windowHeight="10560" xr2:uid="{0DDF6AA1-8F03-4D30-ADC7-299886946C2F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G85" i="1" s="1"/>
  <c r="E83" i="1"/>
  <c r="E82" i="1"/>
  <c r="G74" i="1"/>
  <c r="G75" i="1"/>
  <c r="G73" i="1"/>
  <c r="F76" i="1"/>
  <c r="G76" i="1" s="1"/>
  <c r="D67" i="1"/>
  <c r="D68" i="1" s="1"/>
  <c r="D66" i="1"/>
  <c r="I28" i="1"/>
  <c r="I27" i="1"/>
  <c r="I26" i="1"/>
  <c r="H28" i="1"/>
  <c r="H27" i="1"/>
  <c r="H26" i="1"/>
  <c r="G28" i="1"/>
  <c r="G27" i="1"/>
  <c r="G26" i="1"/>
  <c r="F28" i="1"/>
  <c r="F27" i="1"/>
  <c r="F26" i="1"/>
  <c r="E26" i="1"/>
  <c r="E27" i="1"/>
  <c r="E28" i="1"/>
  <c r="D28" i="1"/>
  <c r="D26" i="1"/>
  <c r="D27" i="1"/>
  <c r="F34" i="1"/>
  <c r="H34" i="1"/>
  <c r="D18" i="1"/>
  <c r="F15" i="2"/>
  <c r="E15" i="2"/>
  <c r="D15" i="2"/>
  <c r="C15" i="2"/>
  <c r="B15" i="2"/>
  <c r="A15" i="2"/>
  <c r="J44" i="1"/>
  <c r="J45" i="1"/>
  <c r="J43" i="1"/>
  <c r="H35" i="1"/>
  <c r="G37" i="1" s="1"/>
  <c r="G38" i="1" s="1"/>
  <c r="H38" i="1" s="1"/>
  <c r="F35" i="1"/>
  <c r="E37" i="1" s="1"/>
  <c r="F38" i="1" s="1"/>
  <c r="F12" i="1"/>
  <c r="F11" i="1"/>
  <c r="D12" i="1"/>
  <c r="D11" i="1"/>
  <c r="J19" i="1"/>
  <c r="J18" i="1"/>
  <c r="J20" i="1" s="1"/>
  <c r="I19" i="1"/>
  <c r="I18" i="1"/>
  <c r="H19" i="1"/>
  <c r="H18" i="1"/>
  <c r="G20" i="1"/>
  <c r="G19" i="1"/>
  <c r="G18" i="1"/>
  <c r="F19" i="1"/>
  <c r="F20" i="1"/>
  <c r="F18" i="1"/>
  <c r="E19" i="1"/>
  <c r="E18" i="1"/>
  <c r="D20" i="1"/>
  <c r="D19" i="1"/>
  <c r="K12" i="1"/>
  <c r="K13" i="1" s="1"/>
  <c r="L13" i="1" s="1"/>
  <c r="K11" i="1"/>
  <c r="L12" i="1"/>
  <c r="L11" i="1"/>
  <c r="K27" i="1" l="1"/>
  <c r="L27" i="1" s="1"/>
  <c r="I20" i="1"/>
  <c r="E20" i="1"/>
  <c r="K20" i="1" s="1"/>
  <c r="L20" i="1" s="1"/>
  <c r="H20" i="1"/>
  <c r="K26" i="1"/>
  <c r="L26" i="1" s="1"/>
  <c r="K28" i="1"/>
  <c r="L28" i="1" s="1"/>
  <c r="M12" i="1"/>
  <c r="N12" i="1" s="1"/>
  <c r="M13" i="1"/>
  <c r="N13" i="1" s="1"/>
  <c r="E38" i="1"/>
  <c r="H11" i="1"/>
  <c r="J11" i="1" s="1"/>
  <c r="H12" i="1"/>
  <c r="J12" i="1" s="1"/>
  <c r="M11" i="1"/>
  <c r="N11" i="1" s="1"/>
  <c r="K18" i="1"/>
  <c r="L18" i="1" s="1"/>
  <c r="K19" i="1"/>
  <c r="L19" i="1" s="1"/>
</calcChain>
</file>

<file path=xl/sharedStrings.xml><?xml version="1.0" encoding="utf-8"?>
<sst xmlns="http://schemas.openxmlformats.org/spreadsheetml/2006/main" count="137" uniqueCount="79">
  <si>
    <t>18/19</t>
  </si>
  <si>
    <t>19/20</t>
  </si>
  <si>
    <t>20/21</t>
  </si>
  <si>
    <t>Serie A</t>
  </si>
  <si>
    <t>Champions</t>
  </si>
  <si>
    <t>Giocate 19 partite di cui 5 in 20/21</t>
  </si>
  <si>
    <t>11 partite di cui 5 del 19/20</t>
  </si>
  <si>
    <t>20% store italia</t>
  </si>
  <si>
    <t>Totale tifosi</t>
  </si>
  <si>
    <t>Percentuale peso Stadio - Ecommerce</t>
  </si>
  <si>
    <t>40% online</t>
  </si>
  <si>
    <t>Acquisto Materiale</t>
  </si>
  <si>
    <t>Audiovideo 50%</t>
  </si>
  <si>
    <t>stampati 70%</t>
  </si>
  <si>
    <t>pulizia 30%</t>
  </si>
  <si>
    <t>pubblicità 60%</t>
  </si>
  <si>
    <t>canoni 60%</t>
  </si>
  <si>
    <t>allestimenti 40%</t>
  </si>
  <si>
    <t>Affluenza Media per Partita Seria A</t>
  </si>
  <si>
    <t>Affluenza Media Champions League per partita</t>
  </si>
  <si>
    <t>Anni</t>
  </si>
  <si>
    <t>prezzo medio a tifoso Stadio</t>
  </si>
  <si>
    <t>9 gare</t>
  </si>
  <si>
    <t>1 gara</t>
  </si>
  <si>
    <t>Ricavo TV Serie A</t>
  </si>
  <si>
    <t>Ricavo TV UEFA</t>
  </si>
  <si>
    <t>Ricavo/partita</t>
  </si>
  <si>
    <t>Ricavo/Partita</t>
  </si>
  <si>
    <t>19/20 (2semestre)</t>
  </si>
  <si>
    <t>le partite sono 13, quindi scalo il valore delle 9 partite per trovare il ricavo per partita 20/21</t>
  </si>
  <si>
    <t>Ricavo 20/21 serie a (13 partite,6 partite)</t>
  </si>
  <si>
    <t>Costo del personale tesserato</t>
  </si>
  <si>
    <t>Costo di altro personale</t>
  </si>
  <si>
    <t>Oneri</t>
  </si>
  <si>
    <t>Variazione</t>
  </si>
  <si>
    <t>RICAVI TV - Serie A - Champions League</t>
  </si>
  <si>
    <t>COSTO DEL PERSONALE</t>
  </si>
  <si>
    <t>RICAVI DA GARE</t>
  </si>
  <si>
    <t>Ricavi Abbonamenti</t>
  </si>
  <si>
    <t>Ricavi Biglietti Serie A</t>
  </si>
  <si>
    <t>Ricavi Biglietti Champions</t>
  </si>
  <si>
    <t>Ricavi Finali Coppe</t>
  </si>
  <si>
    <t>Ricavi Amichevoli</t>
  </si>
  <si>
    <t>Ricavi Altri servizi stadio</t>
  </si>
  <si>
    <t>Totale</t>
  </si>
  <si>
    <t>RICAVI MARKETING</t>
  </si>
  <si>
    <t>Ricavi Vendite prodotti e licenze</t>
  </si>
  <si>
    <t>CAMPAGNA TRASFERIMENTI ESTIVA 1 LUGLIO - 30 AGOSTO</t>
  </si>
  <si>
    <t>Investimenti</t>
  </si>
  <si>
    <t>Plusvalenze nette</t>
  </si>
  <si>
    <t>è il peso delle ammortizzazioni che vengono rimosse a bilancio</t>
  </si>
  <si>
    <t>Cessioni(disinvestimenti ammortizzazioni)</t>
  </si>
  <si>
    <t>RICAVI ATTIVITà COMMERCIALI (MEMBERSHIP, MUSEO, STADIUM TOUR, CAMPI ESTIVI, FAN CLUB)</t>
  </si>
  <si>
    <t>spese di gestione 100%</t>
  </si>
  <si>
    <t>AUDIOVIDEO</t>
  </si>
  <si>
    <t>CANONI DI AFFITTO (uffici, store, locali ecc.)</t>
  </si>
  <si>
    <t>STAMPATI (cartelloni pubblicitari, insegne, poster)</t>
  </si>
  <si>
    <t>PULIZIA (stadio, store, uffici ecc.)</t>
  </si>
  <si>
    <t>PUBBLICITÀ (televisione, radio)</t>
  </si>
  <si>
    <t>ALLESTIMENTI (palchi, stand, eventi in generale)</t>
  </si>
  <si>
    <t>Rapporto Ricavi / Costi</t>
  </si>
  <si>
    <t>COSTI MARKETING PROPOSTA 1</t>
  </si>
  <si>
    <t>COSTI MARKETING PROPOSTA FORM</t>
  </si>
  <si>
    <t>40% Store Stadio</t>
  </si>
  <si>
    <t>SUPERLEGA</t>
  </si>
  <si>
    <t>Incasso</t>
  </si>
  <si>
    <t>Interessi quota Iniziale</t>
  </si>
  <si>
    <t>Percentuale</t>
  </si>
  <si>
    <t>interessi totali 23 anni</t>
  </si>
  <si>
    <t>RICAVI SUPERLEGA</t>
  </si>
  <si>
    <t>21/22</t>
  </si>
  <si>
    <t>SuperLega</t>
  </si>
  <si>
    <t>Ricavi Biglietti SuperLega</t>
  </si>
  <si>
    <t>Ricavi Biglietti Per partita</t>
  </si>
  <si>
    <t>25% in più a partita</t>
  </si>
  <si>
    <t>Super Lega</t>
  </si>
  <si>
    <t>Ricavi TV SuperLega</t>
  </si>
  <si>
    <t>Ricavi / partita</t>
  </si>
  <si>
    <t>30% in più a partita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</si>
</sst>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#,##0.00\ _€"/>
    <numFmt numFmtId="178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44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6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0" borderId="0" xfId="0" applyBorder="1"/>
    <xf numFmtId="0" fontId="0" fillId="0" borderId="5" xfId="0" applyFill="1" applyBorder="1" applyAlignment="1"/>
    <xf numFmtId="0" fontId="0" fillId="0" borderId="0" xfId="0" applyFill="1" applyBorder="1" applyAlignment="1"/>
    <xf numFmtId="0" fontId="0" fillId="2" borderId="6" xfId="0" applyFill="1" applyBorder="1"/>
    <xf numFmtId="0" fontId="0" fillId="0" borderId="0" xfId="0" applyFill="1" applyBorder="1"/>
    <xf numFmtId="0" fontId="1" fillId="0" borderId="0" xfId="1"/>
    <xf numFmtId="0" fontId="0" fillId="5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3" applyFont="1"/>
    <xf numFmtId="0" fontId="4" fillId="0" borderId="0" xfId="3" applyFont="1" applyAlignment="1"/>
    <xf numFmtId="1" fontId="0" fillId="0" borderId="0" xfId="0" applyNumberFormat="1"/>
    <xf numFmtId="0" fontId="0" fillId="3" borderId="0" xfId="0" applyFill="1" applyBorder="1"/>
    <xf numFmtId="0" fontId="0" fillId="3" borderId="8" xfId="0" applyFill="1" applyBorder="1"/>
    <xf numFmtId="43" fontId="0" fillId="0" borderId="0" xfId="2" applyFont="1"/>
    <xf numFmtId="178" fontId="0" fillId="0" borderId="0" xfId="0" applyNumberFormat="1"/>
    <xf numFmtId="43" fontId="0" fillId="0" borderId="0" xfId="2" applyNumberFormat="1" applyFont="1"/>
    <xf numFmtId="9" fontId="0" fillId="0" borderId="0" xfId="0" applyNumberFormat="1"/>
    <xf numFmtId="0" fontId="0" fillId="2" borderId="9" xfId="0" applyFill="1" applyBorder="1"/>
  </cellXfs>
  <cellStyles count="4">
    <cellStyle name="Collegamento ipertestuale" xfId="1" builtinId="8"/>
    <cellStyle name="Migliaia" xfId="2" builtinId="3"/>
    <cellStyle name="Normale" xfId="0" builtinId="0"/>
    <cellStyle name="Normale 2" xfId="3" xr:uid="{CDAECDC0-30C8-4AFB-8E75-D15919A629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864D-0A19-496E-9303-A8E14AF874C0}">
  <dimension ref="A1:T87"/>
  <sheetViews>
    <sheetView tabSelected="1" topLeftCell="A61" zoomScale="60" zoomScaleNormal="60" workbookViewId="0">
      <selection activeCell="D98" sqref="D98"/>
    </sheetView>
  </sheetViews>
  <sheetFormatPr defaultRowHeight="14.5" x14ac:dyDescent="0.35"/>
  <cols>
    <col min="1" max="1" width="26.36328125" customWidth="1"/>
    <col min="2" max="2" width="14" customWidth="1"/>
    <col min="3" max="3" width="18.90625" customWidth="1"/>
    <col min="4" max="4" width="38.81640625" customWidth="1"/>
    <col min="5" max="5" width="27.26953125" customWidth="1"/>
    <col min="6" max="6" width="24.08984375" customWidth="1"/>
    <col min="7" max="7" width="27.36328125" customWidth="1"/>
    <col min="8" max="8" width="18" customWidth="1"/>
    <col min="9" max="9" width="20.54296875" customWidth="1"/>
    <col min="10" max="10" width="22.90625" customWidth="1"/>
    <col min="11" max="11" width="20.7265625" customWidth="1"/>
    <col min="12" max="12" width="14.453125" customWidth="1"/>
    <col min="13" max="13" width="16.81640625" customWidth="1"/>
    <col min="14" max="14" width="34.1796875" customWidth="1"/>
  </cols>
  <sheetData>
    <row r="1" spans="1:20" x14ac:dyDescent="0.35">
      <c r="A1" s="20" t="s">
        <v>52</v>
      </c>
      <c r="B1" s="20"/>
      <c r="C1" s="20"/>
      <c r="D1" s="20"/>
      <c r="E1" s="20"/>
      <c r="F1" s="20"/>
      <c r="G1" s="20"/>
      <c r="H1" s="20"/>
    </row>
    <row r="3" spans="1:20" x14ac:dyDescent="0.35">
      <c r="A3" s="4" t="s">
        <v>20</v>
      </c>
    </row>
    <row r="4" spans="1:20" x14ac:dyDescent="0.35">
      <c r="A4" s="4" t="s">
        <v>0</v>
      </c>
      <c r="C4" s="8">
        <v>8764000</v>
      </c>
    </row>
    <row r="5" spans="1:20" x14ac:dyDescent="0.35">
      <c r="A5" s="4" t="s">
        <v>1</v>
      </c>
      <c r="C5" s="8">
        <v>8808000</v>
      </c>
    </row>
    <row r="6" spans="1:20" x14ac:dyDescent="0.35">
      <c r="A6" s="4" t="s">
        <v>2</v>
      </c>
      <c r="C6" s="8">
        <v>1666000</v>
      </c>
    </row>
    <row r="7" spans="1:20" x14ac:dyDescent="0.35">
      <c r="A7" s="18"/>
    </row>
    <row r="8" spans="1:20" x14ac:dyDescent="0.35">
      <c r="A8" s="20" t="s">
        <v>45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10" spans="1:20" x14ac:dyDescent="0.35">
      <c r="A10" s="5" t="s">
        <v>20</v>
      </c>
      <c r="B10" s="4" t="s">
        <v>3</v>
      </c>
      <c r="C10" s="4" t="s">
        <v>4</v>
      </c>
      <c r="D10" s="25" t="s">
        <v>18</v>
      </c>
      <c r="E10" s="26"/>
      <c r="F10" s="25" t="s">
        <v>19</v>
      </c>
      <c r="G10" s="26"/>
      <c r="H10" s="4" t="s">
        <v>8</v>
      </c>
      <c r="I10" s="4" t="s">
        <v>46</v>
      </c>
      <c r="J10" s="4" t="s">
        <v>21</v>
      </c>
      <c r="K10" s="4" t="s">
        <v>10</v>
      </c>
      <c r="L10" s="4" t="s">
        <v>7</v>
      </c>
      <c r="M10" s="4" t="s">
        <v>63</v>
      </c>
      <c r="N10" s="4" t="s">
        <v>9</v>
      </c>
    </row>
    <row r="11" spans="1:20" x14ac:dyDescent="0.35">
      <c r="A11" s="4" t="s">
        <v>0</v>
      </c>
      <c r="B11">
        <v>10</v>
      </c>
      <c r="C11">
        <v>3</v>
      </c>
      <c r="D11" s="27">
        <f>((745000*10)/19)/10</f>
        <v>39210.526315789473</v>
      </c>
      <c r="E11" s="27"/>
      <c r="F11" s="27">
        <f>((203000*3)/5)/3</f>
        <v>40600</v>
      </c>
      <c r="G11" s="27"/>
      <c r="H11" s="9">
        <f>(D11*10+ F11*3)</f>
        <v>513905.26315789472</v>
      </c>
      <c r="I11" s="1">
        <v>26514000</v>
      </c>
      <c r="J11" s="1">
        <f>I11/H11*0.4</f>
        <v>20.637266749964155</v>
      </c>
      <c r="K11" s="1">
        <f>I11*0.4</f>
        <v>10605600</v>
      </c>
      <c r="L11" s="1">
        <f>(I11*0.2)</f>
        <v>5302800</v>
      </c>
      <c r="M11" s="1">
        <f>I11-K11-L11</f>
        <v>10605600</v>
      </c>
      <c r="N11" s="2">
        <f>M11/I11</f>
        <v>0.4</v>
      </c>
    </row>
    <row r="12" spans="1:20" x14ac:dyDescent="0.35">
      <c r="A12" s="4" t="s">
        <v>1</v>
      </c>
      <c r="B12">
        <v>8</v>
      </c>
      <c r="C12">
        <v>3</v>
      </c>
      <c r="D12" s="21">
        <f>((476000*8)/14)/8</f>
        <v>34000</v>
      </c>
      <c r="E12" s="21"/>
      <c r="F12" s="21">
        <f>((113000*3)/3)/3</f>
        <v>37666.666666666664</v>
      </c>
      <c r="G12" s="21"/>
      <c r="H12" s="9">
        <f>(D12*8+F12*3)</f>
        <v>385000</v>
      </c>
      <c r="I12" s="1">
        <v>21450000</v>
      </c>
      <c r="J12" s="1">
        <f>I12/H12*0.4</f>
        <v>22.285714285714288</v>
      </c>
      <c r="K12" s="1">
        <f>I12*0.4</f>
        <v>8580000</v>
      </c>
      <c r="L12" s="1">
        <f>(I12*0.2)</f>
        <v>4290000</v>
      </c>
      <c r="M12" s="1">
        <f>I12-K12-L12</f>
        <v>8580000</v>
      </c>
      <c r="N12" s="2">
        <f>M12/I12</f>
        <v>0.4</v>
      </c>
    </row>
    <row r="13" spans="1:20" x14ac:dyDescent="0.35">
      <c r="A13" s="4" t="s">
        <v>2</v>
      </c>
      <c r="B13">
        <v>11</v>
      </c>
      <c r="C13">
        <v>4</v>
      </c>
      <c r="D13" s="21">
        <v>0</v>
      </c>
      <c r="E13" s="21"/>
      <c r="F13" s="21">
        <v>0</v>
      </c>
      <c r="G13" s="21"/>
      <c r="H13" s="9">
        <v>0</v>
      </c>
      <c r="I13" s="1">
        <v>16704000</v>
      </c>
      <c r="J13">
        <v>0</v>
      </c>
      <c r="K13" s="1">
        <f>(K12+0.6*K12)</f>
        <v>13728000</v>
      </c>
      <c r="L13" s="1">
        <f>I13-K13</f>
        <v>2976000</v>
      </c>
      <c r="M13" s="1">
        <f>I13-K13-L13</f>
        <v>0</v>
      </c>
      <c r="N13" s="2">
        <f>M13/I13</f>
        <v>0</v>
      </c>
      <c r="T13" t="s">
        <v>5</v>
      </c>
    </row>
    <row r="14" spans="1:20" x14ac:dyDescent="0.35">
      <c r="T14" t="s">
        <v>6</v>
      </c>
    </row>
    <row r="15" spans="1:20" x14ac:dyDescent="0.35">
      <c r="A15" s="22" t="s">
        <v>61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15"/>
      <c r="N15" s="16"/>
    </row>
    <row r="16" spans="1:20" x14ac:dyDescent="0.35">
      <c r="N16" s="14"/>
    </row>
    <row r="17" spans="1:12" x14ac:dyDescent="0.35">
      <c r="A17" s="11" t="s">
        <v>20</v>
      </c>
      <c r="C17" s="12" t="s">
        <v>11</v>
      </c>
      <c r="D17" s="12" t="s">
        <v>12</v>
      </c>
      <c r="E17" s="12" t="s">
        <v>16</v>
      </c>
      <c r="F17" s="13" t="s">
        <v>13</v>
      </c>
      <c r="G17" s="12" t="s">
        <v>14</v>
      </c>
      <c r="H17" s="12" t="s">
        <v>15</v>
      </c>
      <c r="I17" s="12" t="s">
        <v>17</v>
      </c>
      <c r="J17" s="12" t="s">
        <v>53</v>
      </c>
      <c r="K17" s="32" t="s">
        <v>44</v>
      </c>
      <c r="L17" s="6" t="s">
        <v>60</v>
      </c>
    </row>
    <row r="18" spans="1:12" x14ac:dyDescent="0.35">
      <c r="A18" s="12" t="s">
        <v>0</v>
      </c>
      <c r="C18" s="1">
        <v>12186</v>
      </c>
      <c r="D18" s="3">
        <f>2156000*D22</f>
        <v>1078000</v>
      </c>
      <c r="E18" s="3">
        <f>3515000*E22</f>
        <v>2109000</v>
      </c>
      <c r="F18" s="3">
        <f>1563000*F22</f>
        <v>1094100</v>
      </c>
      <c r="G18" s="3">
        <f>1014000*G22</f>
        <v>304200</v>
      </c>
      <c r="H18" s="3">
        <f>1094000*H22</f>
        <v>656400</v>
      </c>
      <c r="I18" s="3">
        <f>1027000*I22</f>
        <v>410800</v>
      </c>
      <c r="J18" s="3">
        <f>3678000*J22</f>
        <v>3678000</v>
      </c>
      <c r="K18" s="1">
        <f>SUM(C18:J18)</f>
        <v>9342686</v>
      </c>
      <c r="L18" s="34">
        <f>I11/K18</f>
        <v>2.8379418937979932</v>
      </c>
    </row>
    <row r="19" spans="1:12" x14ac:dyDescent="0.35">
      <c r="A19" s="12" t="s">
        <v>1</v>
      </c>
      <c r="C19" s="1">
        <v>8784</v>
      </c>
      <c r="D19" s="3">
        <f>1959000*D22</f>
        <v>979500</v>
      </c>
      <c r="E19" s="3">
        <f>1687000*E22</f>
        <v>1012200</v>
      </c>
      <c r="F19" s="3">
        <f>1311000*F22</f>
        <v>917700</v>
      </c>
      <c r="G19" s="3">
        <f>1044000*G22</f>
        <v>313200</v>
      </c>
      <c r="H19" s="3">
        <f>958000*H22</f>
        <v>574800</v>
      </c>
      <c r="I19" s="3">
        <f>585000*I22</f>
        <v>234000</v>
      </c>
      <c r="J19" s="3">
        <f>1967000*J22</f>
        <v>1967000</v>
      </c>
      <c r="K19" s="1">
        <f>SUM(C19:J19)</f>
        <v>6007184</v>
      </c>
      <c r="L19" s="34">
        <f>I12/K19</f>
        <v>3.5707246523495866</v>
      </c>
    </row>
    <row r="20" spans="1:12" x14ac:dyDescent="0.35">
      <c r="A20" s="12" t="s">
        <v>2</v>
      </c>
      <c r="C20" s="1">
        <v>7608</v>
      </c>
      <c r="D20" s="3">
        <f>2104000*D22</f>
        <v>1052000</v>
      </c>
      <c r="E20" s="3">
        <f>AVERAGE(E18:E19)</f>
        <v>1560600</v>
      </c>
      <c r="F20" s="3">
        <f>1092000*F22</f>
        <v>764400</v>
      </c>
      <c r="G20" s="3">
        <f>1038000*G22</f>
        <v>311400</v>
      </c>
      <c r="H20" s="3">
        <f>AVERAGE(H18:H19)</f>
        <v>615600</v>
      </c>
      <c r="I20" s="3">
        <f>AVERAGE(I18:I19)</f>
        <v>322400</v>
      </c>
      <c r="J20" s="3">
        <f>AVERAGE(J18:J19)</f>
        <v>2822500</v>
      </c>
      <c r="K20" s="1">
        <f>SUM(C20:J20)</f>
        <v>7456508</v>
      </c>
      <c r="L20" s="34">
        <f>I13/K20</f>
        <v>2.2401907166196295</v>
      </c>
    </row>
    <row r="22" spans="1:12" x14ac:dyDescent="0.35">
      <c r="D22" s="3">
        <v>0.5</v>
      </c>
      <c r="E22">
        <v>0.6</v>
      </c>
      <c r="F22" s="3">
        <v>0.7</v>
      </c>
      <c r="G22" s="3">
        <v>0.3</v>
      </c>
      <c r="H22" s="3">
        <v>0.6</v>
      </c>
      <c r="I22" s="3">
        <v>0.4</v>
      </c>
      <c r="J22" s="3">
        <v>1</v>
      </c>
    </row>
    <row r="23" spans="1:12" x14ac:dyDescent="0.35">
      <c r="A23" s="22" t="s">
        <v>62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</row>
    <row r="24" spans="1:12" x14ac:dyDescent="0.35">
      <c r="D24" s="3"/>
      <c r="F24" s="3"/>
      <c r="G24" s="3"/>
      <c r="H24" s="3"/>
      <c r="I24" s="3"/>
      <c r="J24" s="3"/>
    </row>
    <row r="25" spans="1:12" x14ac:dyDescent="0.35">
      <c r="A25" s="11" t="s">
        <v>20</v>
      </c>
      <c r="C25" s="12" t="s">
        <v>11</v>
      </c>
      <c r="D25" s="12" t="s">
        <v>12</v>
      </c>
      <c r="E25" s="12" t="s">
        <v>16</v>
      </c>
      <c r="F25" s="13" t="s">
        <v>13</v>
      </c>
      <c r="G25" s="12" t="s">
        <v>14</v>
      </c>
      <c r="H25" s="12" t="s">
        <v>15</v>
      </c>
      <c r="I25" s="12" t="s">
        <v>17</v>
      </c>
      <c r="J25" s="12" t="s">
        <v>53</v>
      </c>
      <c r="K25" s="32" t="s">
        <v>44</v>
      </c>
      <c r="L25" s="6" t="s">
        <v>60</v>
      </c>
    </row>
    <row r="26" spans="1:12" x14ac:dyDescent="0.35">
      <c r="A26" s="12" t="s">
        <v>0</v>
      </c>
      <c r="C26" s="1">
        <v>12186</v>
      </c>
      <c r="D26" s="3">
        <f>1078000/D22*D30</f>
        <v>1358280</v>
      </c>
      <c r="E26" s="3">
        <f>2109000/E22*E30</f>
        <v>1827800</v>
      </c>
      <c r="F26" s="3">
        <f>1094100/F22*F30</f>
        <v>937800</v>
      </c>
      <c r="G26" s="3">
        <f>304200/G22*G30</f>
        <v>466440</v>
      </c>
      <c r="H26" s="3">
        <f>656400/H22*H30</f>
        <v>853320</v>
      </c>
      <c r="I26" s="3">
        <f>410800/I22*I30</f>
        <v>698360</v>
      </c>
      <c r="J26" s="3">
        <v>3678000</v>
      </c>
      <c r="K26" s="1">
        <f>SUM(C26:J26)</f>
        <v>9832186</v>
      </c>
      <c r="L26" s="34">
        <f>I11/K26</f>
        <v>2.6966536231108726</v>
      </c>
    </row>
    <row r="27" spans="1:12" x14ac:dyDescent="0.35">
      <c r="A27" s="12" t="s">
        <v>1</v>
      </c>
      <c r="C27" s="1">
        <v>8784</v>
      </c>
      <c r="D27" s="3">
        <f>979500/D22*D30</f>
        <v>1234170</v>
      </c>
      <c r="E27" s="3">
        <f>1012200/E22*E30</f>
        <v>877240</v>
      </c>
      <c r="F27" s="3">
        <f>917700/F22*F30</f>
        <v>786600</v>
      </c>
      <c r="G27" s="3">
        <f>313200/G22*G30</f>
        <v>480240</v>
      </c>
      <c r="H27" s="3">
        <f>574800/H22*H30</f>
        <v>747240</v>
      </c>
      <c r="I27" s="3">
        <f>234000/I22*I30</f>
        <v>397800</v>
      </c>
      <c r="J27" s="3">
        <v>1967000</v>
      </c>
      <c r="K27" s="1">
        <f t="shared" ref="K27:K28" si="0">SUM(C27:J27)</f>
        <v>6499074</v>
      </c>
      <c r="L27" s="34">
        <f>I12/K27</f>
        <v>3.3004701900609223</v>
      </c>
    </row>
    <row r="28" spans="1:12" x14ac:dyDescent="0.35">
      <c r="A28" s="12" t="s">
        <v>2</v>
      </c>
      <c r="C28" s="1">
        <v>7608</v>
      </c>
      <c r="D28" s="3">
        <f>1052000/D22*D30</f>
        <v>1325520</v>
      </c>
      <c r="E28" s="3">
        <f>1560600/E22*E30</f>
        <v>1352520</v>
      </c>
      <c r="F28" s="3">
        <f>764400/F22*F30</f>
        <v>655200</v>
      </c>
      <c r="G28" s="3">
        <f>311400/G22*G30</f>
        <v>477480</v>
      </c>
      <c r="H28" s="3">
        <f>615600/H22*H30</f>
        <v>800280</v>
      </c>
      <c r="I28" s="3">
        <f>322400/I22*I30</f>
        <v>548080</v>
      </c>
      <c r="J28" s="3">
        <v>2822500</v>
      </c>
      <c r="K28" s="1">
        <f t="shared" si="0"/>
        <v>7989188</v>
      </c>
      <c r="L28" s="34">
        <f>I13/K28</f>
        <v>2.0908257510024799</v>
      </c>
    </row>
    <row r="29" spans="1:12" x14ac:dyDescent="0.35">
      <c r="A29" s="31"/>
      <c r="C29" s="1"/>
      <c r="D29" s="3"/>
      <c r="E29" s="3"/>
      <c r="F29" s="3"/>
      <c r="G29" s="3"/>
      <c r="H29" s="3"/>
      <c r="I29" s="3"/>
      <c r="J29" s="3"/>
      <c r="K29" s="1"/>
    </row>
    <row r="30" spans="1:12" x14ac:dyDescent="0.35">
      <c r="D30">
        <v>0.63</v>
      </c>
      <c r="E30">
        <v>0.52</v>
      </c>
      <c r="F30">
        <v>0.6</v>
      </c>
      <c r="G30" s="33">
        <v>0.46</v>
      </c>
      <c r="H30" s="33">
        <v>0.78</v>
      </c>
      <c r="I30">
        <v>0.68</v>
      </c>
    </row>
    <row r="31" spans="1:12" x14ac:dyDescent="0.35">
      <c r="A31" s="20" t="s">
        <v>35</v>
      </c>
      <c r="B31" s="20"/>
      <c r="C31" s="20"/>
      <c r="D31" s="20"/>
      <c r="E31" s="20"/>
      <c r="F31" s="20"/>
      <c r="G31" s="20"/>
      <c r="H31" s="20"/>
    </row>
    <row r="33" spans="1:10" x14ac:dyDescent="0.35">
      <c r="A33" s="5" t="s">
        <v>20</v>
      </c>
      <c r="B33" s="4" t="s">
        <v>3</v>
      </c>
      <c r="C33" s="4" t="s">
        <v>4</v>
      </c>
      <c r="E33" s="7" t="s">
        <v>24</v>
      </c>
      <c r="F33" s="7" t="s">
        <v>26</v>
      </c>
      <c r="G33" s="7" t="s">
        <v>25</v>
      </c>
      <c r="H33" s="7" t="s">
        <v>27</v>
      </c>
    </row>
    <row r="34" spans="1:10" x14ac:dyDescent="0.35">
      <c r="A34" s="4" t="s">
        <v>0</v>
      </c>
      <c r="B34">
        <v>19</v>
      </c>
      <c r="C34">
        <v>6</v>
      </c>
      <c r="E34" s="8">
        <v>54883000</v>
      </c>
      <c r="F34" s="8">
        <f>E34/B34</f>
        <v>2888578.9473684211</v>
      </c>
      <c r="G34" s="8">
        <v>68922000</v>
      </c>
      <c r="H34" s="8">
        <f>G34/C34</f>
        <v>11487000</v>
      </c>
    </row>
    <row r="35" spans="1:10" x14ac:dyDescent="0.35">
      <c r="A35" s="4" t="s">
        <v>1</v>
      </c>
      <c r="B35">
        <v>17</v>
      </c>
      <c r="C35">
        <v>6</v>
      </c>
      <c r="E35" s="8">
        <v>45453000</v>
      </c>
      <c r="F35" s="8">
        <f t="shared" ref="F35" si="1">E35/B35</f>
        <v>2673705.8823529412</v>
      </c>
      <c r="G35" s="8">
        <v>72054000</v>
      </c>
      <c r="H35" s="8">
        <f t="shared" ref="H35" si="2">G35/C35</f>
        <v>12009000</v>
      </c>
    </row>
    <row r="36" spans="1:10" x14ac:dyDescent="0.35">
      <c r="A36" s="4" t="s">
        <v>2</v>
      </c>
      <c r="B36">
        <v>22</v>
      </c>
      <c r="C36">
        <v>7</v>
      </c>
      <c r="E36" s="8">
        <v>70734000</v>
      </c>
      <c r="G36" s="8">
        <v>73493000</v>
      </c>
      <c r="H36" s="8"/>
      <c r="I36" t="s">
        <v>29</v>
      </c>
    </row>
    <row r="37" spans="1:10" x14ac:dyDescent="0.35">
      <c r="A37" s="7" t="s">
        <v>28</v>
      </c>
      <c r="B37" t="s">
        <v>22</v>
      </c>
      <c r="C37" t="s">
        <v>23</v>
      </c>
      <c r="E37" s="8">
        <f>9*F35</f>
        <v>24063352.94117647</v>
      </c>
      <c r="G37" s="8">
        <f>H35*1</f>
        <v>12009000</v>
      </c>
    </row>
    <row r="38" spans="1:10" x14ac:dyDescent="0.35">
      <c r="D38" t="s">
        <v>30</v>
      </c>
      <c r="E38" s="8">
        <f>E36-E37</f>
        <v>46670647.058823526</v>
      </c>
      <c r="F38" s="8">
        <f>(E36-E37)/13</f>
        <v>3590049.7737556556</v>
      </c>
      <c r="G38" s="8">
        <f>G36-G37</f>
        <v>61484000</v>
      </c>
      <c r="H38" s="8">
        <f>G38/6</f>
        <v>10247333.333333334</v>
      </c>
    </row>
    <row r="40" spans="1:10" x14ac:dyDescent="0.35">
      <c r="A40" s="20" t="s">
        <v>37</v>
      </c>
      <c r="B40" s="20"/>
      <c r="C40" s="20"/>
      <c r="D40" s="20"/>
      <c r="E40" s="20"/>
      <c r="F40" s="20"/>
      <c r="G40" s="20"/>
      <c r="H40" s="20"/>
    </row>
    <row r="42" spans="1:10" x14ac:dyDescent="0.35">
      <c r="A42" s="5" t="s">
        <v>20</v>
      </c>
      <c r="B42" s="4" t="s">
        <v>3</v>
      </c>
      <c r="C42" s="4" t="s">
        <v>4</v>
      </c>
      <c r="D42" s="17" t="s">
        <v>38</v>
      </c>
      <c r="E42" s="17" t="s">
        <v>39</v>
      </c>
      <c r="F42" s="17" t="s">
        <v>40</v>
      </c>
      <c r="G42" s="17" t="s">
        <v>41</v>
      </c>
      <c r="H42" s="17" t="s">
        <v>42</v>
      </c>
      <c r="I42" s="17" t="s">
        <v>43</v>
      </c>
      <c r="J42" s="17" t="s">
        <v>44</v>
      </c>
    </row>
    <row r="43" spans="1:10" x14ac:dyDescent="0.35">
      <c r="A43" s="4" t="s">
        <v>0</v>
      </c>
      <c r="B43">
        <v>10</v>
      </c>
      <c r="C43">
        <v>3</v>
      </c>
      <c r="D43" s="8">
        <v>13170000</v>
      </c>
      <c r="E43" s="8">
        <v>9829000</v>
      </c>
      <c r="F43" s="8">
        <v>6865000</v>
      </c>
      <c r="G43" s="8">
        <v>0</v>
      </c>
      <c r="H43" s="8">
        <v>5103000</v>
      </c>
      <c r="I43" s="8">
        <v>3242000</v>
      </c>
      <c r="J43" s="8">
        <f>SUM(D43:I43)</f>
        <v>38209000</v>
      </c>
    </row>
    <row r="44" spans="1:10" x14ac:dyDescent="0.35">
      <c r="A44" s="4" t="s">
        <v>1</v>
      </c>
      <c r="B44">
        <v>8</v>
      </c>
      <c r="C44">
        <v>3</v>
      </c>
      <c r="D44" s="8">
        <v>11943000</v>
      </c>
      <c r="E44" s="8">
        <v>6613000</v>
      </c>
      <c r="F44" s="8">
        <v>5861000</v>
      </c>
      <c r="G44" s="8">
        <v>2600000</v>
      </c>
      <c r="H44" s="8">
        <v>6921000</v>
      </c>
      <c r="I44" s="8">
        <v>2436000</v>
      </c>
      <c r="J44" s="8">
        <f t="shared" ref="J44:J45" si="3">SUM(D44:I44)</f>
        <v>36374000</v>
      </c>
    </row>
    <row r="45" spans="1:10" x14ac:dyDescent="0.35">
      <c r="A45" s="4" t="s">
        <v>2</v>
      </c>
      <c r="B45">
        <v>11</v>
      </c>
      <c r="C45">
        <v>4</v>
      </c>
      <c r="D45" s="8">
        <v>3837000</v>
      </c>
      <c r="E45" s="8">
        <v>0</v>
      </c>
      <c r="F45" s="8">
        <v>0</v>
      </c>
      <c r="G45" s="8">
        <v>0</v>
      </c>
      <c r="H45" s="8">
        <v>0</v>
      </c>
      <c r="I45" s="8">
        <v>1198000</v>
      </c>
      <c r="J45" s="8">
        <f t="shared" si="3"/>
        <v>5035000</v>
      </c>
    </row>
    <row r="47" spans="1:10" x14ac:dyDescent="0.35">
      <c r="A47" s="20" t="s">
        <v>36</v>
      </c>
      <c r="B47" s="20"/>
      <c r="C47" s="20"/>
      <c r="D47" s="20"/>
      <c r="E47" s="20"/>
      <c r="F47" s="20"/>
      <c r="G47" s="20"/>
      <c r="H47" s="20"/>
    </row>
    <row r="49" spans="1:8" x14ac:dyDescent="0.35">
      <c r="A49" s="5" t="s">
        <v>20</v>
      </c>
      <c r="C49" s="5" t="s">
        <v>31</v>
      </c>
      <c r="D49" s="10" t="s">
        <v>34</v>
      </c>
      <c r="E49" s="5" t="s">
        <v>32</v>
      </c>
      <c r="F49" s="10" t="s">
        <v>34</v>
      </c>
      <c r="G49" s="5" t="s">
        <v>33</v>
      </c>
      <c r="H49" s="10" t="s">
        <v>34</v>
      </c>
    </row>
    <row r="50" spans="1:8" x14ac:dyDescent="0.35">
      <c r="A50" s="4" t="s">
        <v>0</v>
      </c>
      <c r="C50" s="1">
        <v>143100000</v>
      </c>
      <c r="D50" s="19"/>
      <c r="E50" s="1">
        <v>11100000</v>
      </c>
      <c r="G50" s="1">
        <v>6700000</v>
      </c>
    </row>
    <row r="51" spans="1:8" x14ac:dyDescent="0.35">
      <c r="A51" s="4" t="s">
        <v>1</v>
      </c>
      <c r="C51" s="1">
        <v>173300000</v>
      </c>
      <c r="D51" s="2">
        <v>0.21099999999999999</v>
      </c>
      <c r="E51" s="1">
        <v>10900000</v>
      </c>
      <c r="F51" s="2">
        <v>-1.7999999999999999E-2</v>
      </c>
      <c r="G51" s="1">
        <v>16700000</v>
      </c>
      <c r="H51" s="2">
        <v>1.4930000000000001</v>
      </c>
    </row>
    <row r="52" spans="1:8" x14ac:dyDescent="0.35">
      <c r="A52" s="4" t="s">
        <v>2</v>
      </c>
      <c r="C52" s="1">
        <v>183300000</v>
      </c>
      <c r="D52" s="2">
        <v>5.8000000000000003E-2</v>
      </c>
      <c r="E52" s="1">
        <v>12000000</v>
      </c>
      <c r="F52" s="2">
        <v>0.10100000000000001</v>
      </c>
      <c r="G52" s="1">
        <v>22800000</v>
      </c>
      <c r="H52" s="2">
        <v>0.36499999999999999</v>
      </c>
    </row>
    <row r="55" spans="1:8" x14ac:dyDescent="0.35">
      <c r="A55" s="20" t="s">
        <v>47</v>
      </c>
      <c r="B55" s="20"/>
      <c r="C55" s="20"/>
      <c r="D55" s="20"/>
      <c r="E55" s="20"/>
      <c r="F55" s="20"/>
      <c r="G55" s="20"/>
      <c r="H55" s="20"/>
    </row>
    <row r="56" spans="1:8" x14ac:dyDescent="0.35">
      <c r="A56" s="5" t="s">
        <v>20</v>
      </c>
      <c r="C56" s="5" t="s">
        <v>48</v>
      </c>
      <c r="D56" s="5" t="s">
        <v>49</v>
      </c>
      <c r="E56" s="5" t="s">
        <v>51</v>
      </c>
    </row>
    <row r="57" spans="1:8" x14ac:dyDescent="0.35">
      <c r="A57" s="4" t="s">
        <v>0</v>
      </c>
      <c r="C57" s="8">
        <v>248200000</v>
      </c>
      <c r="D57" s="8">
        <v>43700000</v>
      </c>
      <c r="E57" s="8">
        <v>19600000</v>
      </c>
    </row>
    <row r="58" spans="1:8" x14ac:dyDescent="0.35">
      <c r="A58" s="4" t="s">
        <v>1</v>
      </c>
      <c r="C58" s="8">
        <v>195600000</v>
      </c>
      <c r="D58" s="8">
        <v>61500000</v>
      </c>
      <c r="E58" s="8">
        <v>33100000</v>
      </c>
    </row>
    <row r="59" spans="1:8" x14ac:dyDescent="0.35">
      <c r="A59" s="4" t="s">
        <v>2</v>
      </c>
      <c r="C59" s="8">
        <v>43800000</v>
      </c>
      <c r="D59" s="8">
        <v>800000</v>
      </c>
      <c r="E59" s="8">
        <v>200000</v>
      </c>
    </row>
    <row r="61" spans="1:8" x14ac:dyDescent="0.35">
      <c r="E61" t="s">
        <v>50</v>
      </c>
    </row>
    <row r="64" spans="1:8" x14ac:dyDescent="0.35">
      <c r="A64" s="20" t="s">
        <v>64</v>
      </c>
      <c r="B64" s="20"/>
      <c r="C64" s="20"/>
      <c r="D64" s="20"/>
      <c r="E64" s="20"/>
      <c r="F64" s="20"/>
      <c r="G64" s="20"/>
      <c r="H64" s="20"/>
    </row>
    <row r="65" spans="1:9" x14ac:dyDescent="0.35">
      <c r="C65" t="s">
        <v>67</v>
      </c>
    </row>
    <row r="66" spans="1:9" x14ac:dyDescent="0.35">
      <c r="A66" s="4" t="s">
        <v>65</v>
      </c>
      <c r="D66" s="8">
        <f>(3525000000*0.077)</f>
        <v>271425000</v>
      </c>
      <c r="F66" s="8"/>
      <c r="H66" s="8"/>
    </row>
    <row r="67" spans="1:9" x14ac:dyDescent="0.35">
      <c r="A67" s="4" t="s">
        <v>66</v>
      </c>
      <c r="C67" s="36">
        <v>0.25</v>
      </c>
      <c r="D67" s="8">
        <f>D66*0.025</f>
        <v>6785625</v>
      </c>
      <c r="I67" s="8"/>
    </row>
    <row r="68" spans="1:9" x14ac:dyDescent="0.35">
      <c r="A68" s="4" t="s">
        <v>68</v>
      </c>
      <c r="D68" s="8">
        <f>D67*23</f>
        <v>156069375</v>
      </c>
      <c r="E68" s="35"/>
    </row>
    <row r="69" spans="1:9" x14ac:dyDescent="0.35">
      <c r="C69" s="1"/>
      <c r="E69" s="1"/>
      <c r="F69" s="1"/>
      <c r="H69" s="1"/>
    </row>
    <row r="71" spans="1:9" x14ac:dyDescent="0.35">
      <c r="A71" s="20" t="s">
        <v>69</v>
      </c>
      <c r="B71" s="20"/>
      <c r="C71" s="20"/>
      <c r="D71" s="20"/>
      <c r="E71" s="20"/>
      <c r="F71" s="20"/>
      <c r="G71" s="20"/>
      <c r="H71" s="20"/>
    </row>
    <row r="72" spans="1:9" x14ac:dyDescent="0.35">
      <c r="B72" s="37" t="s">
        <v>71</v>
      </c>
      <c r="C72" s="37" t="s">
        <v>4</v>
      </c>
      <c r="D72" s="37" t="s">
        <v>40</v>
      </c>
      <c r="F72" s="37" t="s">
        <v>72</v>
      </c>
      <c r="G72" s="37" t="s">
        <v>73</v>
      </c>
    </row>
    <row r="73" spans="1:9" x14ac:dyDescent="0.35">
      <c r="A73" s="4" t="s">
        <v>0</v>
      </c>
      <c r="C73">
        <v>3</v>
      </c>
      <c r="D73" s="8">
        <v>6865000</v>
      </c>
      <c r="G73" s="8">
        <f>D73/3</f>
        <v>2288333.3333333335</v>
      </c>
    </row>
    <row r="74" spans="1:9" x14ac:dyDescent="0.35">
      <c r="A74" s="4" t="s">
        <v>1</v>
      </c>
      <c r="C74">
        <v>3</v>
      </c>
      <c r="D74" s="8">
        <v>5861000</v>
      </c>
      <c r="G74" s="8">
        <f>D74/3</f>
        <v>1953666.6666666667</v>
      </c>
    </row>
    <row r="75" spans="1:9" x14ac:dyDescent="0.35">
      <c r="A75" s="4" t="s">
        <v>2</v>
      </c>
      <c r="C75">
        <v>4</v>
      </c>
      <c r="D75" s="8">
        <v>0</v>
      </c>
      <c r="G75" s="8">
        <f>D75/3</f>
        <v>0</v>
      </c>
    </row>
    <row r="76" spans="1:9" x14ac:dyDescent="0.35">
      <c r="A76" s="4" t="s">
        <v>70</v>
      </c>
      <c r="B76">
        <v>9</v>
      </c>
      <c r="F76" s="8">
        <f>AVERAGE(D73:D74)/3*(1.25)*9</f>
        <v>23861250</v>
      </c>
      <c r="G76" s="8">
        <f>F76/9</f>
        <v>2651250</v>
      </c>
      <c r="H76" t="s">
        <v>74</v>
      </c>
    </row>
    <row r="81" spans="1:8" x14ac:dyDescent="0.35">
      <c r="A81" s="5" t="s">
        <v>20</v>
      </c>
      <c r="B81" s="4" t="s">
        <v>75</v>
      </c>
      <c r="C81" s="4" t="s">
        <v>4</v>
      </c>
      <c r="D81" s="4" t="s">
        <v>25</v>
      </c>
      <c r="E81" s="4" t="s">
        <v>27</v>
      </c>
      <c r="F81" s="4" t="s">
        <v>76</v>
      </c>
      <c r="G81" s="4" t="s">
        <v>77</v>
      </c>
    </row>
    <row r="82" spans="1:8" x14ac:dyDescent="0.35">
      <c r="A82" s="4" t="s">
        <v>0</v>
      </c>
      <c r="C82">
        <v>6</v>
      </c>
      <c r="D82" s="8">
        <v>68922000</v>
      </c>
      <c r="E82" s="8">
        <f>D82/C82</f>
        <v>11487000</v>
      </c>
      <c r="F82" s="8">
        <v>0</v>
      </c>
      <c r="G82" s="8">
        <v>0</v>
      </c>
    </row>
    <row r="83" spans="1:8" x14ac:dyDescent="0.35">
      <c r="A83" s="4" t="s">
        <v>1</v>
      </c>
      <c r="C83">
        <v>6</v>
      </c>
      <c r="D83" s="8">
        <v>72054000</v>
      </c>
      <c r="E83" s="8">
        <f>D83/C83</f>
        <v>12009000</v>
      </c>
      <c r="F83" s="8">
        <v>0</v>
      </c>
      <c r="G83" s="8">
        <v>0</v>
      </c>
    </row>
    <row r="84" spans="1:8" x14ac:dyDescent="0.35">
      <c r="A84" s="4" t="s">
        <v>2</v>
      </c>
      <c r="C84">
        <v>6</v>
      </c>
      <c r="D84" s="8">
        <v>61484000</v>
      </c>
      <c r="E84" s="8">
        <v>10247333.33</v>
      </c>
      <c r="F84" s="8">
        <v>0</v>
      </c>
      <c r="G84" s="8">
        <v>0</v>
      </c>
    </row>
    <row r="85" spans="1:8" x14ac:dyDescent="0.35">
      <c r="A85" s="4" t="s">
        <v>70</v>
      </c>
      <c r="B85">
        <v>9</v>
      </c>
      <c r="D85" s="8">
        <v>0</v>
      </c>
      <c r="E85" s="8">
        <v>0</v>
      </c>
      <c r="F85" s="8">
        <f>AVERAGE(E82:E84)*(1.3)*9</f>
        <v>131598999.98699999</v>
      </c>
      <c r="G85" s="8">
        <f>F85/9</f>
        <v>14622111.109666666</v>
      </c>
      <c r="H85" t="s">
        <v>78</v>
      </c>
    </row>
    <row r="87" spans="1:8" x14ac:dyDescent="0.35">
      <c r="E87" s="8"/>
      <c r="F87" s="8"/>
    </row>
  </sheetData>
  <mergeCells count="18">
    <mergeCell ref="A64:H64"/>
    <mergeCell ref="A71:H71"/>
    <mergeCell ref="A55:H55"/>
    <mergeCell ref="A1:H1"/>
    <mergeCell ref="F13:G13"/>
    <mergeCell ref="F12:G12"/>
    <mergeCell ref="D13:E13"/>
    <mergeCell ref="D12:E12"/>
    <mergeCell ref="A8:N8"/>
    <mergeCell ref="A31:H31"/>
    <mergeCell ref="A15:L15"/>
    <mergeCell ref="A47:H47"/>
    <mergeCell ref="A40:H40"/>
    <mergeCell ref="D10:E10"/>
    <mergeCell ref="D11:E11"/>
    <mergeCell ref="F10:G10"/>
    <mergeCell ref="F11:G11"/>
    <mergeCell ref="A23:L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2A87-D10F-4548-9159-C6308E4C12C7}">
  <dimension ref="A1:H15"/>
  <sheetViews>
    <sheetView workbookViewId="0">
      <selection activeCell="E2" sqref="E2"/>
    </sheetView>
  </sheetViews>
  <sheetFormatPr defaultRowHeight="14.5" x14ac:dyDescent="0.35"/>
  <cols>
    <col min="1" max="1" width="17.36328125" customWidth="1"/>
    <col min="2" max="2" width="16.6328125" customWidth="1"/>
    <col min="3" max="3" width="41.81640625" bestFit="1" customWidth="1"/>
    <col min="4" max="4" width="16" customWidth="1"/>
  </cols>
  <sheetData>
    <row r="1" spans="1:8" x14ac:dyDescent="0.35">
      <c r="A1" s="28" t="s">
        <v>54</v>
      </c>
      <c r="B1" s="28" t="s">
        <v>55</v>
      </c>
      <c r="C1" s="28" t="s">
        <v>56</v>
      </c>
      <c r="D1" s="28" t="s">
        <v>57</v>
      </c>
      <c r="E1" s="28" t="s">
        <v>58</v>
      </c>
      <c r="F1" s="28" t="s">
        <v>59</v>
      </c>
    </row>
    <row r="2" spans="1:8" x14ac:dyDescent="0.35">
      <c r="A2" s="29">
        <v>7</v>
      </c>
      <c r="B2" s="29">
        <v>6</v>
      </c>
      <c r="C2" s="29">
        <v>7</v>
      </c>
      <c r="D2" s="29">
        <v>9</v>
      </c>
      <c r="E2" s="29">
        <v>10</v>
      </c>
      <c r="F2" s="29">
        <v>9</v>
      </c>
    </row>
    <row r="3" spans="1:8" x14ac:dyDescent="0.35">
      <c r="A3" s="29">
        <v>1</v>
      </c>
      <c r="B3" s="29">
        <v>4</v>
      </c>
      <c r="C3" s="29">
        <v>2</v>
      </c>
      <c r="D3" s="29">
        <v>1</v>
      </c>
      <c r="E3" s="29">
        <v>5</v>
      </c>
      <c r="F3" s="29">
        <v>2</v>
      </c>
    </row>
    <row r="4" spans="1:8" x14ac:dyDescent="0.35">
      <c r="A4" s="29">
        <v>6</v>
      </c>
      <c r="B4" s="29">
        <v>4</v>
      </c>
      <c r="C4" s="29">
        <v>2</v>
      </c>
      <c r="D4" s="29">
        <v>1</v>
      </c>
      <c r="E4" s="29">
        <v>6</v>
      </c>
      <c r="F4" s="29">
        <v>3</v>
      </c>
    </row>
    <row r="5" spans="1:8" x14ac:dyDescent="0.35">
      <c r="A5" s="29">
        <v>6</v>
      </c>
      <c r="B5" s="29">
        <v>2</v>
      </c>
      <c r="C5" s="29">
        <v>8</v>
      </c>
      <c r="D5" s="29">
        <v>1</v>
      </c>
      <c r="E5" s="29">
        <v>9</v>
      </c>
      <c r="F5" s="29">
        <v>7</v>
      </c>
    </row>
    <row r="6" spans="1:8" x14ac:dyDescent="0.35">
      <c r="A6" s="29">
        <v>6</v>
      </c>
      <c r="B6" s="29">
        <v>2</v>
      </c>
      <c r="C6" s="29">
        <v>8</v>
      </c>
      <c r="D6" s="29">
        <v>1</v>
      </c>
      <c r="E6" s="29">
        <v>9</v>
      </c>
      <c r="F6" s="29">
        <v>7</v>
      </c>
    </row>
    <row r="7" spans="1:8" x14ac:dyDescent="0.35">
      <c r="A7" s="29">
        <v>7</v>
      </c>
      <c r="B7" s="29">
        <v>7</v>
      </c>
      <c r="C7" s="29">
        <v>6</v>
      </c>
      <c r="D7" s="29">
        <v>6</v>
      </c>
      <c r="E7" s="29">
        <v>10</v>
      </c>
      <c r="F7" s="29">
        <v>7</v>
      </c>
    </row>
    <row r="8" spans="1:8" x14ac:dyDescent="0.35">
      <c r="A8" s="29">
        <v>5</v>
      </c>
      <c r="B8" s="29">
        <v>7</v>
      </c>
      <c r="C8" s="29">
        <v>3</v>
      </c>
      <c r="D8" s="29">
        <v>6</v>
      </c>
      <c r="E8" s="29">
        <v>5</v>
      </c>
      <c r="F8" s="29">
        <v>7</v>
      </c>
    </row>
    <row r="9" spans="1:8" x14ac:dyDescent="0.35">
      <c r="A9" s="29">
        <v>6</v>
      </c>
      <c r="B9" s="29">
        <v>3</v>
      </c>
      <c r="C9" s="29">
        <v>7</v>
      </c>
      <c r="D9" s="29">
        <v>3</v>
      </c>
      <c r="E9" s="29">
        <v>6</v>
      </c>
      <c r="F9" s="29">
        <v>5</v>
      </c>
    </row>
    <row r="10" spans="1:8" x14ac:dyDescent="0.35">
      <c r="A10" s="29">
        <v>7</v>
      </c>
      <c r="B10" s="29">
        <v>7</v>
      </c>
      <c r="C10" s="29">
        <v>10</v>
      </c>
      <c r="D10" s="29">
        <v>7</v>
      </c>
      <c r="E10" s="29">
        <v>10</v>
      </c>
      <c r="F10" s="29">
        <v>10</v>
      </c>
    </row>
    <row r="11" spans="1:8" x14ac:dyDescent="0.35">
      <c r="A11" s="29">
        <v>9</v>
      </c>
      <c r="B11" s="29">
        <v>8</v>
      </c>
      <c r="C11" s="29">
        <v>6</v>
      </c>
      <c r="D11" s="29">
        <v>8</v>
      </c>
      <c r="E11" s="29">
        <v>8</v>
      </c>
      <c r="F11" s="29">
        <v>9</v>
      </c>
    </row>
    <row r="12" spans="1:8" x14ac:dyDescent="0.35">
      <c r="A12" s="29">
        <v>9</v>
      </c>
      <c r="B12" s="29">
        <v>8</v>
      </c>
      <c r="C12" s="29">
        <v>6</v>
      </c>
      <c r="D12" s="29">
        <v>8</v>
      </c>
      <c r="E12" s="29">
        <v>8</v>
      </c>
      <c r="F12" s="29">
        <v>9</v>
      </c>
    </row>
    <row r="15" spans="1:8" x14ac:dyDescent="0.35">
      <c r="A15" s="30">
        <f>AVERAGE(A2:A12)*H15</f>
        <v>62.727272727272727</v>
      </c>
      <c r="B15" s="30">
        <f>AVERAGE(B2:B12)*10</f>
        <v>52.727272727272727</v>
      </c>
      <c r="C15" s="30">
        <f>AVERAGE(C2:C12)*10</f>
        <v>59.090909090909093</v>
      </c>
      <c r="D15" s="30">
        <f>AVERAGE(D2:D12)*10</f>
        <v>46.363636363636367</v>
      </c>
      <c r="E15" s="30">
        <f>AVERAGE(E2:E12)*10</f>
        <v>78.181818181818187</v>
      </c>
      <c r="F15" s="30">
        <f>AVERAGE(F2:F12)*10</f>
        <v>68.181818181818187</v>
      </c>
      <c r="H15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Gozzo Vito Stefano</dc:creator>
  <cp:lastModifiedBy>Vito Stefano Gozzo</cp:lastModifiedBy>
  <dcterms:created xsi:type="dcterms:W3CDTF">2021-04-11T15:17:57Z</dcterms:created>
  <dcterms:modified xsi:type="dcterms:W3CDTF">2021-06-04T10:54:50Z</dcterms:modified>
</cp:coreProperties>
</file>