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b37c1e3af42fa/Documenti/"/>
    </mc:Choice>
  </mc:AlternateContent>
  <xr:revisionPtr revIDLastSave="359" documentId="8_{8786BCDD-09D4-426B-8F7E-7FA922D05DC9}" xr6:coauthVersionLast="46" xr6:coauthVersionMax="46" xr10:uidLastSave="{3BBE2E76-76B0-4C3D-AD93-7296A4121B73}"/>
  <bookViews>
    <workbookView xWindow="-110" yWindow="-110" windowWidth="19420" windowHeight="10540" xr2:uid="{0DDF6AA1-8F03-4D30-ADC7-299886946C2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39" i="1"/>
  <c r="J37" i="1"/>
  <c r="H29" i="1"/>
  <c r="G31" i="1" s="1"/>
  <c r="G32" i="1" s="1"/>
  <c r="H32" i="1" s="1"/>
  <c r="H28" i="1"/>
  <c r="F29" i="1"/>
  <c r="E31" i="1" s="1"/>
  <c r="F32" i="1" s="1"/>
  <c r="F28" i="1"/>
  <c r="F12" i="1"/>
  <c r="F11" i="1"/>
  <c r="D12" i="1"/>
  <c r="D11" i="1"/>
  <c r="J19" i="1"/>
  <c r="J18" i="1"/>
  <c r="I19" i="1"/>
  <c r="I18" i="1"/>
  <c r="H19" i="1"/>
  <c r="H18" i="1"/>
  <c r="G20" i="1"/>
  <c r="G19" i="1"/>
  <c r="G18" i="1"/>
  <c r="F19" i="1"/>
  <c r="F20" i="1"/>
  <c r="F18" i="1"/>
  <c r="E19" i="1"/>
  <c r="E18" i="1"/>
  <c r="D20" i="1"/>
  <c r="D19" i="1"/>
  <c r="D18" i="1"/>
  <c r="K12" i="1"/>
  <c r="K13" i="1" s="1"/>
  <c r="L13" i="1" s="1"/>
  <c r="K11" i="1"/>
  <c r="L12" i="1"/>
  <c r="L11" i="1"/>
  <c r="M12" i="1" l="1"/>
  <c r="N12" i="1" s="1"/>
  <c r="M13" i="1"/>
  <c r="N13" i="1" s="1"/>
  <c r="E32" i="1"/>
  <c r="H11" i="1"/>
  <c r="J11" i="1" s="1"/>
  <c r="H12" i="1"/>
  <c r="J12" i="1" s="1"/>
  <c r="M11" i="1"/>
  <c r="N11" i="1" s="1"/>
  <c r="K20" i="1"/>
  <c r="L20" i="1" s="1"/>
  <c r="K18" i="1"/>
  <c r="L18" i="1" s="1"/>
  <c r="K19" i="1"/>
  <c r="L19" i="1" s="1"/>
</calcChain>
</file>

<file path=xl/sharedStrings.xml><?xml version="1.0" encoding="utf-8"?>
<sst xmlns="http://schemas.openxmlformats.org/spreadsheetml/2006/main" count="92" uniqueCount="59">
  <si>
    <t>18/19</t>
  </si>
  <si>
    <t>19/20</t>
  </si>
  <si>
    <t>20/21</t>
  </si>
  <si>
    <t>Serie A</t>
  </si>
  <si>
    <t>Champions</t>
  </si>
  <si>
    <t>Giocate 19 partite di cui 5 in 20/21</t>
  </si>
  <si>
    <t>11 partite di cui 5 del 19/20</t>
  </si>
  <si>
    <t>Store Stadio</t>
  </si>
  <si>
    <t>20% store italia</t>
  </si>
  <si>
    <t>Totale tifosi</t>
  </si>
  <si>
    <t>Percentuale peso Stadio - Ecommerce</t>
  </si>
  <si>
    <t>40% online</t>
  </si>
  <si>
    <t>Acquisto Materiale</t>
  </si>
  <si>
    <t>Rapporto Costi /ricavi</t>
  </si>
  <si>
    <t>Audiovideo 50%</t>
  </si>
  <si>
    <t>stampati 70%</t>
  </si>
  <si>
    <t>pulizia 30%</t>
  </si>
  <si>
    <t>pubblicità 60%</t>
  </si>
  <si>
    <t>canoni 60%</t>
  </si>
  <si>
    <t>allestimenti 40%</t>
  </si>
  <si>
    <t>NULL</t>
  </si>
  <si>
    <t>Affluenza Media per Partita Seria A</t>
  </si>
  <si>
    <t>Affluenza Media Champions League per partita</t>
  </si>
  <si>
    <t>Anni</t>
  </si>
  <si>
    <t>prezzo medio a tifoso Stadio</t>
  </si>
  <si>
    <t>9 gare</t>
  </si>
  <si>
    <t>1 gara</t>
  </si>
  <si>
    <t>Ricavo TV Serie A</t>
  </si>
  <si>
    <t>Ricavo TV UEFA</t>
  </si>
  <si>
    <t>Ricavo/partita</t>
  </si>
  <si>
    <t>Ricavo/Partita</t>
  </si>
  <si>
    <t>19/20 (2semestre)</t>
  </si>
  <si>
    <t>le partite sono 13, quindi scalo il valore delle 9 partite per trovare il ricavo per partita 20/21</t>
  </si>
  <si>
    <t>Ricavo 20/21 serie a (13 partite,6 partite)</t>
  </si>
  <si>
    <t>Costo del personale tesserato</t>
  </si>
  <si>
    <t>Costo di altro personale</t>
  </si>
  <si>
    <t>Oneri</t>
  </si>
  <si>
    <t>Variazione</t>
  </si>
  <si>
    <t>RICAVI TV - Serie A - Champions League</t>
  </si>
  <si>
    <t>COSTI MARKETING</t>
  </si>
  <si>
    <t>COSTO DEL PERSONALE</t>
  </si>
  <si>
    <t>RICAVI DA GARE</t>
  </si>
  <si>
    <t>Ricavi Abbonamenti</t>
  </si>
  <si>
    <t>Ricavi Biglietti Serie A</t>
  </si>
  <si>
    <t>Ricavi Biglietti Champions</t>
  </si>
  <si>
    <t>Ricavi Finali Coppe</t>
  </si>
  <si>
    <t>Ricavi Amichevoli</t>
  </si>
  <si>
    <t>Ricavi Altri servizi stadio</t>
  </si>
  <si>
    <t>Totale</t>
  </si>
  <si>
    <t>RICAVI MARKETING</t>
  </si>
  <si>
    <t>Ricavi Vendite prodotti e licenze</t>
  </si>
  <si>
    <t>CAMPAGNA TRASFERIMENTI ESTIVA 1 LUGLIO - 30 AGOSTO</t>
  </si>
  <si>
    <t>Investimenti</t>
  </si>
  <si>
    <t>Plusvalenze nette</t>
  </si>
  <si>
    <t>è il peso delle ammortizzazioni che vengono rimosse a bilancio</t>
  </si>
  <si>
    <t>Cessioni(disinvestimenti ammortizzazioni)</t>
  </si>
  <si>
    <t>RICAVI ATTIVITà COMMERCIALI (MEMBERSHIP, MUSEO, STADIUM TOUR, CAMPI ESTIVI, FAN CLUB)</t>
  </si>
  <si>
    <t>Roba Juve.xlsx</t>
  </si>
  <si>
    <t>spese di gestione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</si>
</sst>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#,##0.00\ _€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0" fillId="2" borderId="0" xfId="0" applyFill="1" applyBorder="1"/>
    <xf numFmtId="44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6" borderId="1" xfId="0" applyFill="1" applyBorder="1"/>
    <xf numFmtId="0" fontId="0" fillId="3" borderId="1" xfId="0" applyFill="1" applyBorder="1"/>
    <xf numFmtId="9" fontId="0" fillId="3" borderId="1" xfId="0" applyNumberFormat="1" applyFill="1" applyBorder="1"/>
    <xf numFmtId="0" fontId="0" fillId="0" borderId="0" xfId="0" applyBorder="1"/>
    <xf numFmtId="0" fontId="0" fillId="0" borderId="5" xfId="0" applyFill="1" applyBorder="1" applyAlignment="1"/>
    <xf numFmtId="0" fontId="0" fillId="0" borderId="0" xfId="0" applyFill="1" applyBorder="1" applyAlignment="1"/>
    <xf numFmtId="0" fontId="0" fillId="2" borderId="6" xfId="0" applyFill="1" applyBorder="1"/>
    <xf numFmtId="0" fontId="0" fillId="0" borderId="0" xfId="0" applyFill="1" applyBorder="1"/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0" borderId="0" xfId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drv.ms/x/s!AvpCr-PBNwtPlAqazOP8uTi111p9?e=vs6hh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864D-0A19-496E-9303-A8E14AF874C0}">
  <dimension ref="A1:T55"/>
  <sheetViews>
    <sheetView tabSelected="1" topLeftCell="E4" workbookViewId="0">
      <selection activeCell="J19" sqref="J19"/>
    </sheetView>
  </sheetViews>
  <sheetFormatPr defaultRowHeight="14.5" x14ac:dyDescent="0.35"/>
  <cols>
    <col min="1" max="1" width="16.54296875" customWidth="1"/>
    <col min="3" max="3" width="18.90625" customWidth="1"/>
    <col min="4" max="4" width="38.81640625" customWidth="1"/>
    <col min="5" max="5" width="27.26953125" customWidth="1"/>
    <col min="6" max="6" width="24.08984375" customWidth="1"/>
    <col min="7" max="7" width="27.36328125" customWidth="1"/>
    <col min="8" max="8" width="18" customWidth="1"/>
    <col min="9" max="9" width="20.54296875" customWidth="1"/>
    <col min="10" max="10" width="22.90625" customWidth="1"/>
    <col min="11" max="11" width="20.7265625" customWidth="1"/>
    <col min="12" max="12" width="14.453125" customWidth="1"/>
    <col min="13" max="13" width="16.81640625" customWidth="1"/>
    <col min="14" max="14" width="34.1796875" customWidth="1"/>
  </cols>
  <sheetData>
    <row r="1" spans="1:20" x14ac:dyDescent="0.35">
      <c r="A1" s="20" t="s">
        <v>56</v>
      </c>
      <c r="B1" s="20"/>
      <c r="C1" s="20"/>
      <c r="D1" s="20"/>
      <c r="E1" s="20"/>
      <c r="F1" s="20"/>
      <c r="G1" s="20"/>
      <c r="H1" s="20"/>
    </row>
    <row r="3" spans="1:20" x14ac:dyDescent="0.35">
      <c r="A3" s="4" t="s">
        <v>23</v>
      </c>
    </row>
    <row r="4" spans="1:20" x14ac:dyDescent="0.35">
      <c r="A4" s="4" t="s">
        <v>0</v>
      </c>
      <c r="C4" s="8">
        <v>8764000</v>
      </c>
    </row>
    <row r="5" spans="1:20" x14ac:dyDescent="0.35">
      <c r="A5" s="4" t="s">
        <v>1</v>
      </c>
      <c r="C5" s="8">
        <v>8808000</v>
      </c>
    </row>
    <row r="6" spans="1:20" x14ac:dyDescent="0.35">
      <c r="A6" s="4" t="s">
        <v>2</v>
      </c>
      <c r="C6" s="8">
        <v>1666000</v>
      </c>
    </row>
    <row r="7" spans="1:20" x14ac:dyDescent="0.35">
      <c r="A7" s="18"/>
    </row>
    <row r="8" spans="1:20" x14ac:dyDescent="0.35">
      <c r="A8" s="20" t="s">
        <v>49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10" spans="1:20" x14ac:dyDescent="0.35">
      <c r="A10" s="5" t="s">
        <v>23</v>
      </c>
      <c r="B10" s="4" t="s">
        <v>3</v>
      </c>
      <c r="C10" s="4" t="s">
        <v>4</v>
      </c>
      <c r="D10" s="25" t="s">
        <v>21</v>
      </c>
      <c r="E10" s="26"/>
      <c r="F10" s="25" t="s">
        <v>22</v>
      </c>
      <c r="G10" s="26"/>
      <c r="H10" s="4" t="s">
        <v>9</v>
      </c>
      <c r="I10" s="4" t="s">
        <v>50</v>
      </c>
      <c r="J10" s="4" t="s">
        <v>24</v>
      </c>
      <c r="K10" s="4" t="s">
        <v>11</v>
      </c>
      <c r="L10" s="4" t="s">
        <v>8</v>
      </c>
      <c r="M10" s="4" t="s">
        <v>7</v>
      </c>
      <c r="N10" s="4" t="s">
        <v>10</v>
      </c>
    </row>
    <row r="11" spans="1:20" x14ac:dyDescent="0.35">
      <c r="A11" s="4" t="s">
        <v>0</v>
      </c>
      <c r="B11">
        <v>10</v>
      </c>
      <c r="C11">
        <v>3</v>
      </c>
      <c r="D11" s="27">
        <f>((745000*10)/19)/10</f>
        <v>39210.526315789473</v>
      </c>
      <c r="E11" s="27"/>
      <c r="F11" s="27">
        <f>((203000*3)/5)/3</f>
        <v>40600</v>
      </c>
      <c r="G11" s="27"/>
      <c r="H11" s="9">
        <f>(D11*10+ F11*3)</f>
        <v>513905.26315789472</v>
      </c>
      <c r="I11" s="1">
        <v>26514000</v>
      </c>
      <c r="J11" s="1">
        <f>I11/H11*0.4</f>
        <v>20.637266749964155</v>
      </c>
      <c r="K11" s="1">
        <f>I11*0.4</f>
        <v>10605600</v>
      </c>
      <c r="L11" s="1">
        <f>(I11*0.2)</f>
        <v>5302800</v>
      </c>
      <c r="M11" s="1">
        <f>I11-K11-L11</f>
        <v>10605600</v>
      </c>
      <c r="N11" s="2">
        <f>M11/I11</f>
        <v>0.4</v>
      </c>
    </row>
    <row r="12" spans="1:20" x14ac:dyDescent="0.35">
      <c r="A12" s="4" t="s">
        <v>1</v>
      </c>
      <c r="B12">
        <v>8</v>
      </c>
      <c r="C12">
        <v>3</v>
      </c>
      <c r="D12" s="21">
        <f>((476000*8)/14)/8</f>
        <v>34000</v>
      </c>
      <c r="E12" s="21"/>
      <c r="F12" s="21">
        <f>((113000*3)/3)/3</f>
        <v>37666.666666666664</v>
      </c>
      <c r="G12" s="21"/>
      <c r="H12" s="9">
        <f>(D12*8+F12*3)</f>
        <v>385000</v>
      </c>
      <c r="I12" s="1">
        <v>21450000</v>
      </c>
      <c r="J12" s="1">
        <f>I12/H12*0.4</f>
        <v>22.285714285714288</v>
      </c>
      <c r="K12" s="1">
        <f>I12*0.4</f>
        <v>8580000</v>
      </c>
      <c r="L12" s="1">
        <f>(I12*0.2)</f>
        <v>4290000</v>
      </c>
      <c r="M12" s="1">
        <f>I12-K12-L12</f>
        <v>8580000</v>
      </c>
      <c r="N12" s="2">
        <f>M12/I12</f>
        <v>0.4</v>
      </c>
    </row>
    <row r="13" spans="1:20" x14ac:dyDescent="0.35">
      <c r="A13" s="4" t="s">
        <v>2</v>
      </c>
      <c r="B13">
        <v>11</v>
      </c>
      <c r="C13">
        <v>4</v>
      </c>
      <c r="D13" s="21">
        <v>0</v>
      </c>
      <c r="E13" s="21"/>
      <c r="F13" s="21">
        <v>0</v>
      </c>
      <c r="G13" s="21"/>
      <c r="H13" s="9">
        <v>0</v>
      </c>
      <c r="I13" s="1">
        <v>16704000</v>
      </c>
      <c r="J13">
        <v>0</v>
      </c>
      <c r="K13" s="1">
        <f>(K12+0.6*K12)</f>
        <v>13728000</v>
      </c>
      <c r="L13" s="1">
        <f>I13-K13</f>
        <v>2976000</v>
      </c>
      <c r="M13" s="1">
        <f>I13-K13-L13</f>
        <v>0</v>
      </c>
      <c r="N13" s="2">
        <f>M13/I13</f>
        <v>0</v>
      </c>
      <c r="T13" t="s">
        <v>5</v>
      </c>
    </row>
    <row r="14" spans="1:20" x14ac:dyDescent="0.35">
      <c r="T14" t="s">
        <v>6</v>
      </c>
    </row>
    <row r="15" spans="1:20" x14ac:dyDescent="0.35">
      <c r="A15" s="22" t="s">
        <v>39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/>
      <c r="M15" s="15"/>
      <c r="N15" s="16"/>
    </row>
    <row r="16" spans="1:20" x14ac:dyDescent="0.35">
      <c r="N16" s="14"/>
    </row>
    <row r="17" spans="1:12" x14ac:dyDescent="0.35">
      <c r="A17" s="11" t="s">
        <v>23</v>
      </c>
      <c r="C17" s="12" t="s">
        <v>12</v>
      </c>
      <c r="D17" s="12" t="s">
        <v>14</v>
      </c>
      <c r="E17" s="12" t="s">
        <v>18</v>
      </c>
      <c r="F17" s="13" t="s">
        <v>15</v>
      </c>
      <c r="G17" s="12" t="s">
        <v>16</v>
      </c>
      <c r="H17" s="12" t="s">
        <v>17</v>
      </c>
      <c r="I17" s="12" t="s">
        <v>19</v>
      </c>
      <c r="J17" s="12" t="s">
        <v>58</v>
      </c>
      <c r="L17" s="6" t="s">
        <v>13</v>
      </c>
    </row>
    <row r="18" spans="1:12" x14ac:dyDescent="0.35">
      <c r="A18" s="12" t="s">
        <v>0</v>
      </c>
      <c r="C18" s="1">
        <v>12186</v>
      </c>
      <c r="D18" s="3">
        <f>2156000*D22</f>
        <v>1078000</v>
      </c>
      <c r="E18" s="3">
        <f>3515000*E22</f>
        <v>2109000</v>
      </c>
      <c r="F18" s="3">
        <f>1563000*F22</f>
        <v>1094100</v>
      </c>
      <c r="G18" s="3">
        <f>1014000*G22</f>
        <v>304200</v>
      </c>
      <c r="H18" s="3">
        <f>1094000*H22</f>
        <v>656400</v>
      </c>
      <c r="I18" s="3">
        <f>1027000*I22</f>
        <v>410800</v>
      </c>
      <c r="J18" s="3">
        <f>3678000*J22</f>
        <v>3678000</v>
      </c>
      <c r="K18" s="1">
        <f>SUM(C18:J18)</f>
        <v>9342686</v>
      </c>
      <c r="L18">
        <f>I11/K18</f>
        <v>2.8379418937979932</v>
      </c>
    </row>
    <row r="19" spans="1:12" x14ac:dyDescent="0.35">
      <c r="A19" s="12" t="s">
        <v>1</v>
      </c>
      <c r="C19" s="1">
        <v>8784</v>
      </c>
      <c r="D19" s="3">
        <f>1959000*D22</f>
        <v>979500</v>
      </c>
      <c r="E19" s="3">
        <f>1687000*E22</f>
        <v>1012200</v>
      </c>
      <c r="F19" s="3">
        <f>1311000*F22</f>
        <v>917700</v>
      </c>
      <c r="G19" s="3">
        <f>1044000*G22</f>
        <v>313200</v>
      </c>
      <c r="H19" s="3">
        <f>958000*H22</f>
        <v>574800</v>
      </c>
      <c r="I19" s="3">
        <f>585000*I22</f>
        <v>234000</v>
      </c>
      <c r="J19" s="3">
        <f>1967000*J22</f>
        <v>1967000</v>
      </c>
      <c r="K19" s="1">
        <f>SUM(C19:J19)</f>
        <v>6007184</v>
      </c>
      <c r="L19">
        <f>I12/K19</f>
        <v>3.5707246523495866</v>
      </c>
    </row>
    <row r="20" spans="1:12" x14ac:dyDescent="0.35">
      <c r="A20" s="12" t="s">
        <v>2</v>
      </c>
      <c r="C20" s="1">
        <v>7608</v>
      </c>
      <c r="D20" s="3">
        <f>2104000*D22</f>
        <v>1052000</v>
      </c>
      <c r="E20" s="3" t="s">
        <v>20</v>
      </c>
      <c r="F20" s="3">
        <f>1092000*F22</f>
        <v>764400</v>
      </c>
      <c r="G20" s="3">
        <f>1038000*G22</f>
        <v>311400</v>
      </c>
      <c r="H20" s="3" t="s">
        <v>20</v>
      </c>
      <c r="I20" s="3" t="s">
        <v>20</v>
      </c>
      <c r="J20" s="3" t="s">
        <v>20</v>
      </c>
      <c r="K20" s="1">
        <f>SUM(C20:J20)</f>
        <v>2135408</v>
      </c>
      <c r="L20">
        <f>I13/K20</f>
        <v>7.822392723076808</v>
      </c>
    </row>
    <row r="22" spans="1:12" x14ac:dyDescent="0.35">
      <c r="D22" s="3">
        <v>0.5</v>
      </c>
      <c r="E22">
        <v>0.6</v>
      </c>
      <c r="F22" s="3">
        <v>0.7</v>
      </c>
      <c r="G22" s="3">
        <v>0.3</v>
      </c>
      <c r="H22" s="3">
        <v>0.6</v>
      </c>
      <c r="I22" s="3">
        <v>0.4</v>
      </c>
      <c r="J22" s="3">
        <v>1</v>
      </c>
    </row>
    <row r="25" spans="1:12" x14ac:dyDescent="0.35">
      <c r="A25" s="20" t="s">
        <v>38</v>
      </c>
      <c r="B25" s="20"/>
      <c r="C25" s="20"/>
      <c r="D25" s="20"/>
      <c r="E25" s="20"/>
      <c r="F25" s="20"/>
      <c r="G25" s="20"/>
      <c r="H25" s="20"/>
    </row>
    <row r="27" spans="1:12" x14ac:dyDescent="0.35">
      <c r="A27" s="5" t="s">
        <v>23</v>
      </c>
      <c r="B27" s="4" t="s">
        <v>3</v>
      </c>
      <c r="C27" s="4" t="s">
        <v>4</v>
      </c>
      <c r="E27" s="7" t="s">
        <v>27</v>
      </c>
      <c r="F27" s="7" t="s">
        <v>29</v>
      </c>
      <c r="G27" s="7" t="s">
        <v>28</v>
      </c>
      <c r="H27" s="7" t="s">
        <v>30</v>
      </c>
    </row>
    <row r="28" spans="1:12" x14ac:dyDescent="0.35">
      <c r="A28" s="4" t="s">
        <v>0</v>
      </c>
      <c r="B28">
        <v>19</v>
      </c>
      <c r="C28">
        <v>6</v>
      </c>
      <c r="E28" s="8">
        <v>54883000</v>
      </c>
      <c r="F28" s="8">
        <f>E28/B28</f>
        <v>2888578.9473684211</v>
      </c>
      <c r="G28" s="8">
        <v>68922000</v>
      </c>
      <c r="H28" s="8">
        <f>G28/C28</f>
        <v>11487000</v>
      </c>
    </row>
    <row r="29" spans="1:12" x14ac:dyDescent="0.35">
      <c r="A29" s="4" t="s">
        <v>1</v>
      </c>
      <c r="B29">
        <v>17</v>
      </c>
      <c r="C29">
        <v>6</v>
      </c>
      <c r="E29" s="8">
        <v>45453000</v>
      </c>
      <c r="F29" s="8">
        <f t="shared" ref="F29" si="0">E29/B29</f>
        <v>2673705.8823529412</v>
      </c>
      <c r="G29" s="8">
        <v>72054000</v>
      </c>
      <c r="H29" s="8">
        <f t="shared" ref="H29" si="1">G29/C29</f>
        <v>12009000</v>
      </c>
    </row>
    <row r="30" spans="1:12" x14ac:dyDescent="0.35">
      <c r="A30" s="4" t="s">
        <v>2</v>
      </c>
      <c r="B30">
        <v>22</v>
      </c>
      <c r="C30">
        <v>7</v>
      </c>
      <c r="E30" s="8">
        <v>70734000</v>
      </c>
      <c r="G30" s="8">
        <v>73493000</v>
      </c>
      <c r="H30" s="8"/>
      <c r="I30" t="s">
        <v>32</v>
      </c>
    </row>
    <row r="31" spans="1:12" x14ac:dyDescent="0.35">
      <c r="A31" s="7" t="s">
        <v>31</v>
      </c>
      <c r="B31" t="s">
        <v>25</v>
      </c>
      <c r="C31" t="s">
        <v>26</v>
      </c>
      <c r="E31" s="8">
        <f>9*F29</f>
        <v>24063352.94117647</v>
      </c>
      <c r="G31" s="8">
        <f>H29*1</f>
        <v>12009000</v>
      </c>
    </row>
    <row r="32" spans="1:12" x14ac:dyDescent="0.35">
      <c r="D32" t="s">
        <v>33</v>
      </c>
      <c r="E32" s="8">
        <f>E30-E31</f>
        <v>46670647.058823526</v>
      </c>
      <c r="F32" s="8">
        <f>(E30-E31)/13</f>
        <v>3590049.7737556556</v>
      </c>
      <c r="G32" s="8">
        <f>G30-G31</f>
        <v>61484000</v>
      </c>
      <c r="H32" s="8">
        <f>G32/6</f>
        <v>10247333.333333334</v>
      </c>
    </row>
    <row r="34" spans="1:10" x14ac:dyDescent="0.35">
      <c r="A34" s="19" t="s">
        <v>41</v>
      </c>
      <c r="B34" s="19"/>
      <c r="C34" s="19"/>
      <c r="D34" s="19"/>
      <c r="E34" s="19"/>
      <c r="F34" s="19"/>
      <c r="G34" s="19"/>
      <c r="H34" s="19"/>
    </row>
    <row r="36" spans="1:10" x14ac:dyDescent="0.35">
      <c r="A36" s="5" t="s">
        <v>23</v>
      </c>
      <c r="B36" s="4" t="s">
        <v>3</v>
      </c>
      <c r="C36" s="4" t="s">
        <v>4</v>
      </c>
      <c r="D36" s="17" t="s">
        <v>42</v>
      </c>
      <c r="E36" s="17" t="s">
        <v>43</v>
      </c>
      <c r="F36" s="17" t="s">
        <v>44</v>
      </c>
      <c r="G36" s="17" t="s">
        <v>45</v>
      </c>
      <c r="H36" s="17" t="s">
        <v>46</v>
      </c>
      <c r="I36" s="17" t="s">
        <v>47</v>
      </c>
      <c r="J36" s="17" t="s">
        <v>48</v>
      </c>
    </row>
    <row r="37" spans="1:10" x14ac:dyDescent="0.35">
      <c r="A37" s="4" t="s">
        <v>0</v>
      </c>
      <c r="B37">
        <v>10</v>
      </c>
      <c r="C37">
        <v>3</v>
      </c>
      <c r="D37" s="8">
        <v>13170000</v>
      </c>
      <c r="E37" s="8">
        <v>9829000</v>
      </c>
      <c r="F37" s="8">
        <v>6865000</v>
      </c>
      <c r="G37" s="8">
        <v>0</v>
      </c>
      <c r="H37" s="8">
        <v>5103000</v>
      </c>
      <c r="I37" s="8">
        <v>3242000</v>
      </c>
      <c r="J37" s="8">
        <f>SUM(D37:I37)</f>
        <v>38209000</v>
      </c>
    </row>
    <row r="38" spans="1:10" x14ac:dyDescent="0.35">
      <c r="A38" s="4" t="s">
        <v>1</v>
      </c>
      <c r="B38">
        <v>8</v>
      </c>
      <c r="C38">
        <v>3</v>
      </c>
      <c r="D38" s="8">
        <v>11943000</v>
      </c>
      <c r="E38" s="8">
        <v>6613000</v>
      </c>
      <c r="F38" s="8">
        <v>5861000</v>
      </c>
      <c r="G38" s="8">
        <v>2600000</v>
      </c>
      <c r="H38" s="8">
        <v>6921000</v>
      </c>
      <c r="I38" s="8">
        <v>2436000</v>
      </c>
      <c r="J38" s="8">
        <f t="shared" ref="J38:J39" si="2">SUM(D38:I38)</f>
        <v>36374000</v>
      </c>
    </row>
    <row r="39" spans="1:10" x14ac:dyDescent="0.35">
      <c r="A39" s="4" t="s">
        <v>2</v>
      </c>
      <c r="B39">
        <v>11</v>
      </c>
      <c r="C39">
        <v>4</v>
      </c>
      <c r="D39" s="8">
        <v>3837000</v>
      </c>
      <c r="E39" s="8">
        <v>0</v>
      </c>
      <c r="F39" s="8">
        <v>0</v>
      </c>
      <c r="G39" s="8">
        <v>0</v>
      </c>
      <c r="H39" s="8">
        <v>0</v>
      </c>
      <c r="I39" s="8">
        <v>1198000</v>
      </c>
      <c r="J39" s="8">
        <f t="shared" si="2"/>
        <v>5035000</v>
      </c>
    </row>
    <row r="41" spans="1:10" x14ac:dyDescent="0.35">
      <c r="A41" s="19" t="s">
        <v>40</v>
      </c>
      <c r="B41" s="19"/>
      <c r="C41" s="19"/>
      <c r="D41" s="19"/>
      <c r="E41" s="19"/>
      <c r="F41" s="19"/>
      <c r="G41" s="19"/>
      <c r="H41" s="19"/>
    </row>
    <row r="43" spans="1:10" x14ac:dyDescent="0.35">
      <c r="A43" s="5" t="s">
        <v>23</v>
      </c>
      <c r="C43" s="5" t="s">
        <v>34</v>
      </c>
      <c r="D43" s="10" t="s">
        <v>37</v>
      </c>
      <c r="E43" s="5" t="s">
        <v>35</v>
      </c>
      <c r="F43" s="10" t="s">
        <v>37</v>
      </c>
      <c r="G43" s="5" t="s">
        <v>36</v>
      </c>
      <c r="H43" s="10" t="s">
        <v>37</v>
      </c>
    </row>
    <row r="44" spans="1:10" x14ac:dyDescent="0.35">
      <c r="A44" s="4" t="s">
        <v>0</v>
      </c>
      <c r="C44" s="1">
        <v>143100000</v>
      </c>
      <c r="D44" s="28" t="s">
        <v>57</v>
      </c>
      <c r="E44" s="1">
        <v>11100000</v>
      </c>
      <c r="G44" s="1">
        <v>6700000</v>
      </c>
    </row>
    <row r="45" spans="1:10" x14ac:dyDescent="0.35">
      <c r="A45" s="4" t="s">
        <v>1</v>
      </c>
      <c r="C45" s="1">
        <v>173300000</v>
      </c>
      <c r="D45" s="2">
        <v>0.21099999999999999</v>
      </c>
      <c r="E45" s="1">
        <v>10900000</v>
      </c>
      <c r="F45" s="2">
        <v>-1.7999999999999999E-2</v>
      </c>
      <c r="G45" s="1">
        <v>16700000</v>
      </c>
      <c r="H45" s="2">
        <v>1.4930000000000001</v>
      </c>
    </row>
    <row r="46" spans="1:10" x14ac:dyDescent="0.35">
      <c r="A46" s="4" t="s">
        <v>2</v>
      </c>
      <c r="C46" s="1">
        <v>183300000</v>
      </c>
      <c r="D46" s="2">
        <v>5.8000000000000003E-2</v>
      </c>
      <c r="E46" s="1">
        <v>12000000</v>
      </c>
      <c r="F46" s="2">
        <v>0.10100000000000001</v>
      </c>
      <c r="G46" s="1">
        <v>22800000</v>
      </c>
      <c r="H46" s="2">
        <v>0.36499999999999999</v>
      </c>
    </row>
    <row r="49" spans="1:8" x14ac:dyDescent="0.35">
      <c r="A49" s="19" t="s">
        <v>51</v>
      </c>
      <c r="B49" s="19"/>
      <c r="C49" s="19"/>
      <c r="D49" s="19"/>
      <c r="E49" s="19"/>
      <c r="F49" s="19"/>
      <c r="G49" s="19"/>
      <c r="H49" s="19"/>
    </row>
    <row r="50" spans="1:8" x14ac:dyDescent="0.35">
      <c r="A50" s="5" t="s">
        <v>23</v>
      </c>
      <c r="C50" s="5" t="s">
        <v>52</v>
      </c>
      <c r="D50" s="5" t="s">
        <v>53</v>
      </c>
      <c r="E50" s="5" t="s">
        <v>55</v>
      </c>
    </row>
    <row r="51" spans="1:8" x14ac:dyDescent="0.35">
      <c r="A51" s="4" t="s">
        <v>0</v>
      </c>
      <c r="C51" s="8">
        <v>248200000</v>
      </c>
      <c r="D51" s="8">
        <v>43700000</v>
      </c>
      <c r="E51" s="8">
        <v>19600000</v>
      </c>
    </row>
    <row r="52" spans="1:8" x14ac:dyDescent="0.35">
      <c r="A52" s="4" t="s">
        <v>1</v>
      </c>
      <c r="C52" s="8">
        <v>195600000</v>
      </c>
      <c r="D52" s="8">
        <v>61500000</v>
      </c>
      <c r="E52" s="8">
        <v>33100000</v>
      </c>
    </row>
    <row r="53" spans="1:8" x14ac:dyDescent="0.35">
      <c r="A53" s="4" t="s">
        <v>2</v>
      </c>
      <c r="C53" s="8">
        <v>43800000</v>
      </c>
      <c r="D53" s="8">
        <v>800000</v>
      </c>
      <c r="E53" s="8">
        <v>200000</v>
      </c>
    </row>
    <row r="55" spans="1:8" x14ac:dyDescent="0.35">
      <c r="E55" t="s">
        <v>54</v>
      </c>
    </row>
  </sheetData>
  <mergeCells count="15">
    <mergeCell ref="A49:H49"/>
    <mergeCell ref="A1:H1"/>
    <mergeCell ref="F13:G13"/>
    <mergeCell ref="F12:G12"/>
    <mergeCell ref="D13:E13"/>
    <mergeCell ref="D12:E12"/>
    <mergeCell ref="A8:N8"/>
    <mergeCell ref="A25:H25"/>
    <mergeCell ref="A15:L15"/>
    <mergeCell ref="A41:H41"/>
    <mergeCell ref="A34:H34"/>
    <mergeCell ref="D10:E10"/>
    <mergeCell ref="D11:E11"/>
    <mergeCell ref="F10:G10"/>
    <mergeCell ref="F11:G11"/>
  </mergeCells>
  <hyperlinks>
    <hyperlink ref="D44" r:id="rId1" display="https://1drv.ms/x/s!AvpCr-PBNwtPlAqazOP8uTi111p9?e=vs6hhL" xr:uid="{93907E9E-E055-4239-ACCF-36BCBD07847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Gozzo Vito Stefano</dc:creator>
  <cp:lastModifiedBy>Vito Stefano Gozzo</cp:lastModifiedBy>
  <dcterms:created xsi:type="dcterms:W3CDTF">2021-04-11T15:17:57Z</dcterms:created>
  <dcterms:modified xsi:type="dcterms:W3CDTF">2021-05-27T10:14:36Z</dcterms:modified>
</cp:coreProperties>
</file>