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\Desktop\labOttica\OOL_esp5\"/>
    </mc:Choice>
  </mc:AlternateContent>
  <xr:revisionPtr revIDLastSave="0" documentId="13_ncr:1_{4B5FBDBC-DA06-42E5-9813-4F2EA4FF043E}" xr6:coauthVersionLast="47" xr6:coauthVersionMax="47" xr10:uidLastSave="{00000000-0000-0000-0000-000000000000}"/>
  <bookViews>
    <workbookView xWindow="-120" yWindow="-120" windowWidth="29040" windowHeight="15720" xr2:uid="{9784BF0A-C310-4718-98C1-7536938CE295}"/>
  </bookViews>
  <sheets>
    <sheet name="Legge di Malus (2)" sheetId="3" r:id="rId1"/>
    <sheet name="Legge di Malus" sheetId="1" r:id="rId2"/>
    <sheet name="Potere rotatori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3" l="1"/>
  <c r="K12" i="3"/>
  <c r="K10" i="3"/>
  <c r="K9" i="3"/>
  <c r="K6" i="3"/>
  <c r="K5" i="3"/>
  <c r="K4" i="3"/>
  <c r="K8" i="3"/>
  <c r="K21" i="3"/>
  <c r="K20" i="1"/>
  <c r="L20" i="1" s="1"/>
  <c r="K21" i="1"/>
  <c r="L21" i="1" s="1"/>
  <c r="K22" i="1"/>
  <c r="K23" i="1"/>
  <c r="L23" i="1" s="1"/>
  <c r="K24" i="1"/>
  <c r="L24" i="1" s="1"/>
  <c r="K25" i="1"/>
  <c r="L25" i="1" s="1"/>
  <c r="K26" i="1"/>
  <c r="K27" i="1"/>
  <c r="L27" i="1" s="1"/>
  <c r="K28" i="1"/>
  <c r="K19" i="1"/>
  <c r="L19" i="1" s="1"/>
  <c r="L28" i="1"/>
  <c r="J28" i="1"/>
  <c r="J4" i="3"/>
  <c r="J5" i="3"/>
  <c r="J6" i="3"/>
  <c r="J7" i="3"/>
  <c r="J8" i="3"/>
  <c r="J9" i="3"/>
  <c r="J10" i="3"/>
  <c r="J11" i="3"/>
  <c r="J12" i="3"/>
  <c r="J3" i="3"/>
  <c r="I4" i="3"/>
  <c r="I13" i="3" s="1"/>
  <c r="I5" i="3"/>
  <c r="I6" i="3"/>
  <c r="I7" i="3"/>
  <c r="I8" i="3"/>
  <c r="I9" i="3"/>
  <c r="I10" i="3"/>
  <c r="I11" i="3"/>
  <c r="I12" i="3"/>
  <c r="I3" i="3"/>
  <c r="C12" i="3"/>
  <c r="C11" i="3"/>
  <c r="J27" i="3" s="1"/>
  <c r="C10" i="3"/>
  <c r="K26" i="3" s="1"/>
  <c r="C9" i="3"/>
  <c r="C8" i="3"/>
  <c r="K7" i="3"/>
  <c r="C7" i="3"/>
  <c r="K23" i="3" s="1"/>
  <c r="C6" i="3"/>
  <c r="K22" i="3" s="1"/>
  <c r="C5" i="3"/>
  <c r="C4" i="3"/>
  <c r="K3" i="3"/>
  <c r="C3" i="3"/>
  <c r="E3" i="1"/>
  <c r="E4" i="1"/>
  <c r="E5" i="1"/>
  <c r="E6" i="1"/>
  <c r="E7" i="1"/>
  <c r="E8" i="1"/>
  <c r="E9" i="1"/>
  <c r="E10" i="1"/>
  <c r="E11" i="1"/>
  <c r="E12" i="1"/>
  <c r="H3" i="1"/>
  <c r="J20" i="1"/>
  <c r="J21" i="1"/>
  <c r="J22" i="1"/>
  <c r="J23" i="1"/>
  <c r="J24" i="1"/>
  <c r="J25" i="1"/>
  <c r="J26" i="1"/>
  <c r="J27" i="1"/>
  <c r="J19" i="1"/>
  <c r="L22" i="1"/>
  <c r="L26" i="1"/>
  <c r="F25" i="2"/>
  <c r="E25" i="2"/>
  <c r="I18" i="2"/>
  <c r="J18" i="2" s="1"/>
  <c r="F18" i="2"/>
  <c r="B18" i="2"/>
  <c r="B16" i="2"/>
  <c r="A16" i="2"/>
  <c r="N16" i="2" s="1"/>
  <c r="P16" i="2"/>
  <c r="K13" i="2"/>
  <c r="K12" i="2"/>
  <c r="K11" i="2"/>
  <c r="E2" i="2"/>
  <c r="K8" i="2"/>
  <c r="K9" i="2"/>
  <c r="K10" i="2"/>
  <c r="K14" i="2"/>
  <c r="K7" i="2"/>
  <c r="F3" i="1"/>
  <c r="H4" i="1"/>
  <c r="K4" i="1" s="1"/>
  <c r="K3" i="1"/>
  <c r="H5" i="1"/>
  <c r="H6" i="1"/>
  <c r="K6" i="1" s="1"/>
  <c r="H7" i="1"/>
  <c r="H8" i="1"/>
  <c r="H9" i="1"/>
  <c r="H10" i="1"/>
  <c r="H11" i="1"/>
  <c r="H12" i="1"/>
  <c r="K12" i="1" s="1"/>
  <c r="G8" i="2"/>
  <c r="G9" i="2"/>
  <c r="G10" i="2"/>
  <c r="G11" i="2"/>
  <c r="G12" i="2"/>
  <c r="G13" i="2"/>
  <c r="G14" i="2"/>
  <c r="G7" i="2"/>
  <c r="B11" i="2"/>
  <c r="C11" i="2" s="1"/>
  <c r="B10" i="2"/>
  <c r="C10" i="2" s="1"/>
  <c r="C8" i="2"/>
  <c r="C9" i="2"/>
  <c r="C12" i="2"/>
  <c r="C13" i="2"/>
  <c r="C14" i="2"/>
  <c r="B9" i="2"/>
  <c r="B8" i="2"/>
  <c r="B7" i="2"/>
  <c r="C7" i="2" s="1"/>
  <c r="J5" i="1"/>
  <c r="J8" i="1"/>
  <c r="J10" i="1"/>
  <c r="J11" i="1"/>
  <c r="J12" i="1"/>
  <c r="J7" i="1"/>
  <c r="J6" i="1"/>
  <c r="C5" i="1"/>
  <c r="I5" i="1" s="1"/>
  <c r="C6" i="1"/>
  <c r="F6" i="1" s="1"/>
  <c r="C7" i="1"/>
  <c r="F7" i="1" s="1"/>
  <c r="C8" i="1"/>
  <c r="C9" i="1"/>
  <c r="C10" i="1"/>
  <c r="C11" i="1"/>
  <c r="C12" i="1"/>
  <c r="C4" i="1"/>
  <c r="C3" i="1"/>
  <c r="J9" i="1"/>
  <c r="K8" i="1"/>
  <c r="K9" i="1"/>
  <c r="K11" i="1"/>
  <c r="F8" i="1"/>
  <c r="I9" i="1"/>
  <c r="I11" i="1"/>
  <c r="J20" i="3" l="1"/>
  <c r="K20" i="3"/>
  <c r="L20" i="3" s="1"/>
  <c r="J19" i="3"/>
  <c r="K19" i="3"/>
  <c r="L19" i="3" s="1"/>
  <c r="J24" i="3"/>
  <c r="K24" i="3"/>
  <c r="J25" i="3"/>
  <c r="K25" i="3"/>
  <c r="L25" i="3" s="1"/>
  <c r="J13" i="3"/>
  <c r="M7" i="3"/>
  <c r="N12" i="3"/>
  <c r="M12" i="3"/>
  <c r="L12" i="3"/>
  <c r="O12" i="3"/>
  <c r="K13" i="3"/>
  <c r="M3" i="3"/>
  <c r="L8" i="3"/>
  <c r="O8" i="3"/>
  <c r="N8" i="3"/>
  <c r="M8" i="3"/>
  <c r="M5" i="3"/>
  <c r="M6" i="3"/>
  <c r="M11" i="3"/>
  <c r="N4" i="3"/>
  <c r="M10" i="3"/>
  <c r="N11" i="3"/>
  <c r="M4" i="3"/>
  <c r="M9" i="3"/>
  <c r="N7" i="3"/>
  <c r="J26" i="3"/>
  <c r="L22" i="3"/>
  <c r="J21" i="3"/>
  <c r="J22" i="3"/>
  <c r="L4" i="3"/>
  <c r="J28" i="3"/>
  <c r="O4" i="3"/>
  <c r="N6" i="3"/>
  <c r="L21" i="3"/>
  <c r="O9" i="3"/>
  <c r="K27" i="3"/>
  <c r="O3" i="3"/>
  <c r="J23" i="3"/>
  <c r="K28" i="3"/>
  <c r="L23" i="3"/>
  <c r="N10" i="3"/>
  <c r="L26" i="3"/>
  <c r="L5" i="3"/>
  <c r="I3" i="1"/>
  <c r="O3" i="1" s="1"/>
  <c r="I10" i="1"/>
  <c r="I12" i="1"/>
  <c r="L12" i="1" s="1"/>
  <c r="I4" i="1"/>
  <c r="J16" i="2"/>
  <c r="E16" i="2"/>
  <c r="E18" i="2" s="1"/>
  <c r="F16" i="2"/>
  <c r="M12" i="1"/>
  <c r="J4" i="1"/>
  <c r="M4" i="1" s="1"/>
  <c r="J3" i="1"/>
  <c r="M3" i="1" s="1"/>
  <c r="K7" i="1"/>
  <c r="K5" i="1"/>
  <c r="N5" i="1" s="1"/>
  <c r="M6" i="1"/>
  <c r="K10" i="1"/>
  <c r="M10" i="1" s="1"/>
  <c r="M11" i="1"/>
  <c r="M8" i="1"/>
  <c r="M9" i="1"/>
  <c r="I16" i="2"/>
  <c r="F4" i="1"/>
  <c r="F5" i="1"/>
  <c r="I8" i="1"/>
  <c r="N8" i="1" s="1"/>
  <c r="I7" i="1"/>
  <c r="F12" i="1"/>
  <c r="L9" i="1"/>
  <c r="N9" i="1"/>
  <c r="O9" i="1"/>
  <c r="O11" i="1"/>
  <c r="L11" i="1"/>
  <c r="N11" i="1"/>
  <c r="I6" i="1"/>
  <c r="F11" i="1"/>
  <c r="F10" i="1"/>
  <c r="F9" i="1"/>
  <c r="L6" i="3" l="1"/>
  <c r="O6" i="3"/>
  <c r="L27" i="3"/>
  <c r="N9" i="3"/>
  <c r="L28" i="3"/>
  <c r="N3" i="3"/>
  <c r="L24" i="3"/>
  <c r="L3" i="3"/>
  <c r="O11" i="3"/>
  <c r="L11" i="3"/>
  <c r="O5" i="3"/>
  <c r="N5" i="3"/>
  <c r="N13" i="3"/>
  <c r="O7" i="3"/>
  <c r="L7" i="3"/>
  <c r="M13" i="3"/>
  <c r="L9" i="3"/>
  <c r="O10" i="3"/>
  <c r="L10" i="3"/>
  <c r="N3" i="1"/>
  <c r="L3" i="1"/>
  <c r="O12" i="1"/>
  <c r="N12" i="1"/>
  <c r="L4" i="1"/>
  <c r="I13" i="1"/>
  <c r="N4" i="1"/>
  <c r="A18" i="2"/>
  <c r="O4" i="1"/>
  <c r="K13" i="1"/>
  <c r="O10" i="1"/>
  <c r="L5" i="1"/>
  <c r="O5" i="1"/>
  <c r="M5" i="1"/>
  <c r="L10" i="1"/>
  <c r="J13" i="1"/>
  <c r="N10" i="1"/>
  <c r="M7" i="1"/>
  <c r="M13" i="1" s="1"/>
  <c r="N7" i="1"/>
  <c r="L7" i="1"/>
  <c r="L8" i="1"/>
  <c r="O8" i="1"/>
  <c r="O7" i="1"/>
  <c r="N6" i="1"/>
  <c r="O6" i="1"/>
  <c r="L6" i="1"/>
  <c r="L13" i="3" l="1"/>
  <c r="P3" i="3" s="1"/>
  <c r="O13" i="3"/>
  <c r="O13" i="1"/>
  <c r="N13" i="1"/>
  <c r="L13" i="1"/>
  <c r="Q5" i="3" l="1"/>
  <c r="R5" i="3"/>
  <c r="R3" i="3"/>
  <c r="Q3" i="3"/>
  <c r="P3" i="1"/>
  <c r="Q5" i="1" s="1"/>
  <c r="Q7" i="3" l="1"/>
  <c r="S3" i="3"/>
  <c r="S4" i="3"/>
  <c r="S5" i="3"/>
  <c r="S6" i="3"/>
  <c r="S7" i="3"/>
  <c r="S12" i="3"/>
  <c r="S8" i="3"/>
  <c r="S9" i="3"/>
  <c r="S10" i="3"/>
  <c r="S13" i="3" s="1"/>
  <c r="S11" i="3"/>
  <c r="Q8" i="3"/>
  <c r="Q3" i="1"/>
  <c r="R5" i="1"/>
  <c r="R3" i="1"/>
  <c r="S7" i="1" l="1"/>
  <c r="S6" i="1"/>
  <c r="S10" i="1"/>
  <c r="S11" i="1"/>
  <c r="S12" i="1"/>
  <c r="S3" i="1"/>
  <c r="S4" i="1"/>
  <c r="S5" i="1"/>
  <c r="S8" i="1"/>
  <c r="S9" i="1"/>
  <c r="S13" i="1" l="1"/>
</calcChain>
</file>

<file path=xl/sharedStrings.xml><?xml version="1.0" encoding="utf-8"?>
<sst xmlns="http://schemas.openxmlformats.org/spreadsheetml/2006/main" count="113" uniqueCount="55">
  <si>
    <t>∆</t>
  </si>
  <si>
    <r>
      <t>cos</t>
    </r>
    <r>
      <rPr>
        <sz val="11"/>
        <color theme="1"/>
        <rFont val="Aptos Narrow"/>
        <family val="2"/>
      </rPr>
      <t>²</t>
    </r>
    <r>
      <rPr>
        <sz val="11"/>
        <color theme="1"/>
        <rFont val="Aptos Narrow"/>
        <family val="2"/>
        <scheme val="minor"/>
      </rPr>
      <t>α</t>
    </r>
  </si>
  <si>
    <t>∆cos²α</t>
  </si>
  <si>
    <t>Verifica della legge di Malus</t>
  </si>
  <si>
    <t>x</t>
  </si>
  <si>
    <t>y</t>
  </si>
  <si>
    <t>w</t>
  </si>
  <si>
    <t>Θa</t>
  </si>
  <si>
    <t>Θa0</t>
  </si>
  <si>
    <t>wx</t>
  </si>
  <si>
    <t>wxx</t>
  </si>
  <si>
    <t>wxy</t>
  </si>
  <si>
    <t>A</t>
  </si>
  <si>
    <t>B</t>
  </si>
  <si>
    <t>σA</t>
  </si>
  <si>
    <t>σB</t>
  </si>
  <si>
    <t>wy</t>
  </si>
  <si>
    <t>L(dm)</t>
  </si>
  <si>
    <t>∆L(dm)</t>
  </si>
  <si>
    <r>
      <t>∆</t>
    </r>
    <r>
      <rPr>
        <sz val="11"/>
        <color theme="1"/>
        <rFont val="Aptos Narrow"/>
        <family val="2"/>
      </rPr>
      <t>θ</t>
    </r>
  </si>
  <si>
    <t>∆θ</t>
  </si>
  <si>
    <t>errore</t>
  </si>
  <si>
    <t>Soluzione 1</t>
  </si>
  <si>
    <t>c</t>
  </si>
  <si>
    <t>∆c</t>
  </si>
  <si>
    <t>Soluzione 2</t>
  </si>
  <si>
    <t>Soluzione 3</t>
  </si>
  <si>
    <t>Se l'amperometro è il modello EUR510, sulle misure di CC l'incertezza dovrebbe essere (1,0%+2 digits), per intensità fino a 1mA.</t>
  </si>
  <si>
    <t>α(°)</t>
  </si>
  <si>
    <t>Θa0(°)</t>
  </si>
  <si>
    <t>Θa(°)</t>
  </si>
  <si>
    <t>Θp(°)</t>
  </si>
  <si>
    <t>∆α(°)</t>
  </si>
  <si>
    <t>Fit</t>
  </si>
  <si>
    <t>a</t>
  </si>
  <si>
    <t>b</t>
  </si>
  <si>
    <t>λ(μm)</t>
  </si>
  <si>
    <t>ρ(°/(dm g/cm^3))</t>
  </si>
  <si>
    <t>fondo</t>
  </si>
  <si>
    <t>uA</t>
  </si>
  <si>
    <t>intensità</t>
  </si>
  <si>
    <t>minimo polarizzatore 1</t>
  </si>
  <si>
    <t>1.9</t>
  </si>
  <si>
    <t>0.1</t>
  </si>
  <si>
    <t>angolo(°)</t>
  </si>
  <si>
    <t>massimo polarizzatore</t>
  </si>
  <si>
    <t>188.5</t>
  </si>
  <si>
    <t>I(uA)</t>
  </si>
  <si>
    <t>∆I(uA)</t>
  </si>
  <si>
    <t>IL TRENINO</t>
  </si>
  <si>
    <t>deltaTheta tot</t>
  </si>
  <si>
    <t>media pesata</t>
  </si>
  <si>
    <t>delta_c</t>
  </si>
  <si>
    <t>I</t>
  </si>
  <si>
    <t>COS2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</si>
</sst>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nuovo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'Legge di Malus (2)'!$J$19:$J$28</c:f>
              <c:numCache>
                <c:formatCode>General</c:formatCode>
                <c:ptCount val="10"/>
                <c:pt idx="0">
                  <c:v>0.99878153032085315</c:v>
                </c:pt>
                <c:pt idx="1">
                  <c:v>0.96870132342680848</c:v>
                </c:pt>
                <c:pt idx="2">
                  <c:v>0.88208881963266972</c:v>
                </c:pt>
                <c:pt idx="3">
                  <c:v>0.74939076516042669</c:v>
                </c:pt>
                <c:pt idx="4">
                  <c:v>0.58661250379413887</c:v>
                </c:pt>
                <c:pt idx="5">
                  <c:v>0.41338749620586113</c:v>
                </c:pt>
                <c:pt idx="6">
                  <c:v>0.25060923483957354</c:v>
                </c:pt>
                <c:pt idx="7">
                  <c:v>0.11791118036733045</c:v>
                </c:pt>
                <c:pt idx="8">
                  <c:v>3.1298676573191485E-2</c:v>
                </c:pt>
                <c:pt idx="9">
                  <c:v>1.2184696791468343E-3</c:v>
                </c:pt>
              </c:numCache>
            </c:numRef>
          </c:xVal>
          <c:yVal>
            <c:numRef>
              <c:f>'Legge di Malus (2)'!$E$3:$E$12</c:f>
              <c:numCache>
                <c:formatCode>General</c:formatCode>
                <c:ptCount val="10"/>
                <c:pt idx="0">
                  <c:v>146.19999999999999</c:v>
                </c:pt>
                <c:pt idx="1">
                  <c:v>142.6</c:v>
                </c:pt>
                <c:pt idx="2">
                  <c:v>130.1</c:v>
                </c:pt>
                <c:pt idx="3">
                  <c:v>112.1</c:v>
                </c:pt>
                <c:pt idx="4">
                  <c:v>89.6</c:v>
                </c:pt>
                <c:pt idx="5">
                  <c:v>64.599999999999994</c:v>
                </c:pt>
                <c:pt idx="6">
                  <c:v>40</c:v>
                </c:pt>
                <c:pt idx="7">
                  <c:v>20.2</c:v>
                </c:pt>
                <c:pt idx="8">
                  <c:v>6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5-439C-AC72-4B29EDA4D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63839"/>
        <c:axId val="921164319"/>
      </c:scatterChart>
      <c:valAx>
        <c:axId val="92116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164319"/>
        <c:crosses val="autoZero"/>
        <c:crossBetween val="midCat"/>
      </c:valAx>
      <c:valAx>
        <c:axId val="92116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16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nuovo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'Legge di Malus'!$J$19:$J$28</c:f>
              <c:numCache>
                <c:formatCode>General</c:formatCode>
                <c:ptCount val="10"/>
                <c:pt idx="0">
                  <c:v>0.99878153032085315</c:v>
                </c:pt>
                <c:pt idx="1">
                  <c:v>0.96870132342680848</c:v>
                </c:pt>
                <c:pt idx="2">
                  <c:v>0.88208881963266972</c:v>
                </c:pt>
                <c:pt idx="3">
                  <c:v>0.74939076516042669</c:v>
                </c:pt>
                <c:pt idx="4">
                  <c:v>0.58661250379413887</c:v>
                </c:pt>
                <c:pt idx="5">
                  <c:v>0.41338749620586113</c:v>
                </c:pt>
                <c:pt idx="6">
                  <c:v>0.25060923483957354</c:v>
                </c:pt>
                <c:pt idx="7">
                  <c:v>0.11791118036733045</c:v>
                </c:pt>
                <c:pt idx="8">
                  <c:v>3.1298676573191485E-2</c:v>
                </c:pt>
                <c:pt idx="9">
                  <c:v>1.2184696791468343E-3</c:v>
                </c:pt>
              </c:numCache>
            </c:numRef>
          </c:xVal>
          <c:yVal>
            <c:numRef>
              <c:f>'Legge di Malus'!$G$3:$G$12</c:f>
              <c:numCache>
                <c:formatCode>General</c:formatCode>
                <c:ptCount val="10"/>
                <c:pt idx="0">
                  <c:v>146.19999999999999</c:v>
                </c:pt>
                <c:pt idx="1">
                  <c:v>142.6</c:v>
                </c:pt>
                <c:pt idx="2">
                  <c:v>130.1</c:v>
                </c:pt>
                <c:pt idx="3">
                  <c:v>112.1</c:v>
                </c:pt>
                <c:pt idx="4">
                  <c:v>89.6</c:v>
                </c:pt>
                <c:pt idx="5">
                  <c:v>64.599999999999994</c:v>
                </c:pt>
                <c:pt idx="6">
                  <c:v>40</c:v>
                </c:pt>
                <c:pt idx="7">
                  <c:v>20.2</c:v>
                </c:pt>
                <c:pt idx="8">
                  <c:v>6</c:v>
                </c:pt>
                <c:pt idx="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F-4E37-B674-4D9CE590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63839"/>
        <c:axId val="921164319"/>
      </c:scatterChart>
      <c:valAx>
        <c:axId val="92116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164319"/>
        <c:crosses val="autoZero"/>
        <c:crossBetween val="midCat"/>
      </c:valAx>
      <c:valAx>
        <c:axId val="92116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16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41275</xdr:colOff>
      <xdr:row>16</xdr:row>
      <xdr:rowOff>15875</xdr:rowOff>
    </xdr:from>
    <xdr:to>
      <xdr:col>28</xdr:col>
      <xdr:colOff>200025</xdr:colOff>
      <xdr:row>35</xdr:row>
      <xdr:rowOff>85725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B0814AA-E433-406D-ABFB-C1F49BC40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41275</xdr:colOff>
      <xdr:row>16</xdr:row>
      <xdr:rowOff>15875</xdr:rowOff>
    </xdr:from>
    <xdr:to>
      <xdr:col>28</xdr:col>
      <xdr:colOff>200025</xdr:colOff>
      <xdr:row>35</xdr:row>
      <xdr:rowOff>85725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DAE344-D826-E8C9-E717-325B9F28A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C667-0513-4670-A2BB-DAB948E41E92}">
  <dimension ref="A1:S36"/>
  <sheetViews>
    <sheetView tabSelected="1" zoomScale="98" workbookViewId="0">
      <selection activeCell="Q7" sqref="Q7"/>
    </sheetView>
  </sheetViews>
  <sheetFormatPr defaultRowHeight="15" x14ac:dyDescent="0.25"/>
  <sheetData>
    <row r="1" spans="1:19" x14ac:dyDescent="0.25">
      <c r="A1" s="4" t="s">
        <v>3</v>
      </c>
      <c r="B1" s="5"/>
      <c r="C1" s="5"/>
      <c r="D1" s="5"/>
      <c r="E1" s="5"/>
      <c r="F1" s="5"/>
      <c r="G1" s="5"/>
      <c r="H1" s="6"/>
      <c r="I1" s="11"/>
      <c r="J1" s="12"/>
      <c r="K1" s="12"/>
      <c r="L1" s="12"/>
      <c r="M1" s="12"/>
      <c r="N1" s="12"/>
      <c r="O1" s="13"/>
      <c r="P1" s="8" t="s">
        <v>33</v>
      </c>
      <c r="Q1" s="9"/>
      <c r="R1" s="9"/>
    </row>
    <row r="2" spans="1:19" x14ac:dyDescent="0.25">
      <c r="A2" t="s">
        <v>29</v>
      </c>
      <c r="B2" s="1" t="s">
        <v>30</v>
      </c>
      <c r="C2" s="1" t="s">
        <v>28</v>
      </c>
      <c r="D2" t="s">
        <v>32</v>
      </c>
      <c r="E2" t="s">
        <v>53</v>
      </c>
      <c r="F2" t="s">
        <v>2</v>
      </c>
      <c r="G2" t="s">
        <v>54</v>
      </c>
      <c r="H2" s="2" t="s">
        <v>48</v>
      </c>
      <c r="I2" s="11" t="s">
        <v>4</v>
      </c>
      <c r="J2" s="12" t="s">
        <v>5</v>
      </c>
      <c r="K2" s="12" t="s">
        <v>6</v>
      </c>
      <c r="L2" s="12" t="s">
        <v>9</v>
      </c>
      <c r="M2" s="12" t="s">
        <v>16</v>
      </c>
      <c r="N2" s="12" t="s">
        <v>10</v>
      </c>
      <c r="O2" s="13" t="s">
        <v>11</v>
      </c>
      <c r="P2" t="s">
        <v>0</v>
      </c>
      <c r="Q2" t="s">
        <v>12</v>
      </c>
      <c r="R2" t="s">
        <v>13</v>
      </c>
    </row>
    <row r="3" spans="1:19" x14ac:dyDescent="0.25">
      <c r="A3">
        <v>110</v>
      </c>
      <c r="B3">
        <v>110</v>
      </c>
      <c r="C3">
        <f t="shared" ref="C3" si="0">B3-$A$3</f>
        <v>0</v>
      </c>
      <c r="D3">
        <v>2</v>
      </c>
      <c r="E3">
        <v>146.19999999999999</v>
      </c>
      <c r="F3">
        <v>1.4654159818972903</v>
      </c>
      <c r="G3">
        <v>0.99878153032085315</v>
      </c>
      <c r="H3">
        <v>1.7231763455898465E-3</v>
      </c>
      <c r="I3" s="11">
        <f>E3</f>
        <v>146.19999999999999</v>
      </c>
      <c r="J3" s="12">
        <f>G3</f>
        <v>0.99878153032085315</v>
      </c>
      <c r="K3" s="12">
        <f>H3^(-2)</f>
        <v>336775.5478649197</v>
      </c>
      <c r="L3" s="12">
        <f t="shared" ref="L3:L12" si="1">K3*I3</f>
        <v>49236585.097851254</v>
      </c>
      <c r="M3" s="12">
        <f>K3*J3</f>
        <v>336365.19707116822</v>
      </c>
      <c r="N3" s="12">
        <f>K3*I3*I3</f>
        <v>7198388741.3058529</v>
      </c>
      <c r="O3" s="13">
        <f>K3*I3*J3</f>
        <v>49176591.811804786</v>
      </c>
      <c r="P3">
        <f>N13*K13-L13^2</f>
        <v>2553825314583635</v>
      </c>
      <c r="Q3">
        <f>(K13*O13-L13*M13)/P3</f>
        <v>6.8288917807763716E-3</v>
      </c>
      <c r="R3">
        <f>(N13*M13-L13*O13)/P3</f>
        <v>1.0517247336953826E-4</v>
      </c>
      <c r="S3">
        <f>(G3-$Q$3*E3-$R$3)^2/H3^2</f>
        <v>2.8789517308613614E-2</v>
      </c>
    </row>
    <row r="4" spans="1:19" x14ac:dyDescent="0.25">
      <c r="A4" t="s">
        <v>31</v>
      </c>
      <c r="B4">
        <v>100</v>
      </c>
      <c r="C4">
        <f>-(B4-$A$3)</f>
        <v>10</v>
      </c>
      <c r="D4">
        <v>2</v>
      </c>
      <c r="E4">
        <v>142.6</v>
      </c>
      <c r="F4">
        <v>1.4295020111913097</v>
      </c>
      <c r="G4">
        <v>0.96870132342680848</v>
      </c>
      <c r="H4">
        <v>1.2048064843326737E-2</v>
      </c>
      <c r="I4" s="11">
        <f t="shared" ref="I4:I12" si="2">E4</f>
        <v>142.6</v>
      </c>
      <c r="J4" s="12">
        <f t="shared" ref="J4:J12" si="3">G4</f>
        <v>0.96870132342680848</v>
      </c>
      <c r="K4" s="12">
        <f t="shared" ref="K4:K12" si="4">H4^(-2)</f>
        <v>6889.1462971875426</v>
      </c>
      <c r="L4" s="12">
        <f t="shared" si="1"/>
        <v>982392.26197894348</v>
      </c>
      <c r="M4" s="12">
        <f t="shared" ref="M4:M12" si="5">K4*J4</f>
        <v>6673.5251353664698</v>
      </c>
      <c r="N4" s="12">
        <f t="shared" ref="N4:N12" si="6">K4*I4*I4</f>
        <v>140089136.55819735</v>
      </c>
      <c r="O4" s="13">
        <f t="shared" ref="O4:O12" si="7">K4*I4*J4</f>
        <v>951644.68430325855</v>
      </c>
      <c r="Q4" s="1" t="s">
        <v>14</v>
      </c>
      <c r="R4" t="s">
        <v>15</v>
      </c>
      <c r="S4">
        <f t="shared" ref="S4:S12" si="8">(G4-$Q$3*E4-$R$3)^2/H4^2</f>
        <v>0.18655609225400449</v>
      </c>
    </row>
    <row r="5" spans="1:19" x14ac:dyDescent="0.25">
      <c r="A5">
        <v>59</v>
      </c>
      <c r="B5">
        <v>90</v>
      </c>
      <c r="C5">
        <f t="shared" ref="C5:C12" si="9">-(B5-$A$3)</f>
        <v>20</v>
      </c>
      <c r="D5">
        <v>2</v>
      </c>
      <c r="E5">
        <v>130.1</v>
      </c>
      <c r="F5">
        <v>1.3048375377800869</v>
      </c>
      <c r="G5">
        <v>0.88208881963266972</v>
      </c>
      <c r="H5">
        <v>2.2476316384680759E-2</v>
      </c>
      <c r="I5" s="11">
        <f t="shared" si="2"/>
        <v>130.1</v>
      </c>
      <c r="J5" s="12">
        <f t="shared" si="3"/>
        <v>0.88208881963266972</v>
      </c>
      <c r="K5" s="12">
        <f t="shared" si="4"/>
        <v>1979.4736569964361</v>
      </c>
      <c r="L5" s="12">
        <f t="shared" si="1"/>
        <v>257529.52277523634</v>
      </c>
      <c r="M5" s="12">
        <f t="shared" si="5"/>
        <v>1746.0715815939504</v>
      </c>
      <c r="N5" s="12">
        <f t="shared" si="6"/>
        <v>33504590.913058247</v>
      </c>
      <c r="O5" s="13">
        <f t="shared" si="7"/>
        <v>227163.91276537295</v>
      </c>
      <c r="Q5">
        <f>SQRT(K13/P3)</f>
        <v>1.6498676479271048E-5</v>
      </c>
      <c r="R5">
        <f>SQRT(N13/P3)</f>
        <v>1.7021062448007217E-3</v>
      </c>
      <c r="S5">
        <f t="shared" si="8"/>
        <v>8.2483212709444698E-2</v>
      </c>
    </row>
    <row r="6" spans="1:19" x14ac:dyDescent="0.25">
      <c r="B6">
        <v>80</v>
      </c>
      <c r="C6">
        <f t="shared" si="9"/>
        <v>30</v>
      </c>
      <c r="D6">
        <v>2</v>
      </c>
      <c r="E6">
        <v>112.1</v>
      </c>
      <c r="F6">
        <v>1.1254514649686143</v>
      </c>
      <c r="G6">
        <v>0.74939076516042669</v>
      </c>
      <c r="H6">
        <v>3.0242265019995208E-2</v>
      </c>
      <c r="I6" s="11">
        <f t="shared" si="2"/>
        <v>112.1</v>
      </c>
      <c r="J6" s="12">
        <f t="shared" si="3"/>
        <v>0.74939076516042669</v>
      </c>
      <c r="K6" s="12">
        <f t="shared" si="4"/>
        <v>1093.3806159184057</v>
      </c>
      <c r="L6" s="12">
        <f t="shared" si="1"/>
        <v>122567.96704445328</v>
      </c>
      <c r="M6" s="12">
        <f t="shared" si="5"/>
        <v>819.36933637467268</v>
      </c>
      <c r="N6" s="12">
        <f t="shared" si="6"/>
        <v>13739869.105683213</v>
      </c>
      <c r="O6" s="13">
        <f t="shared" si="7"/>
        <v>91851.30260760081</v>
      </c>
      <c r="S6">
        <f t="shared" si="8"/>
        <v>0.28812328751405736</v>
      </c>
    </row>
    <row r="7" spans="1:19" x14ac:dyDescent="0.25">
      <c r="B7">
        <v>70</v>
      </c>
      <c r="C7">
        <f t="shared" si="9"/>
        <v>40</v>
      </c>
      <c r="D7">
        <v>2</v>
      </c>
      <c r="E7">
        <v>89.6</v>
      </c>
      <c r="F7">
        <v>0.90156308708819699</v>
      </c>
      <c r="G7">
        <v>0.58661250379413887</v>
      </c>
      <c r="H7">
        <v>3.437757785394395E-2</v>
      </c>
      <c r="I7" s="11">
        <f t="shared" si="2"/>
        <v>89.6</v>
      </c>
      <c r="J7" s="12">
        <f t="shared" si="3"/>
        <v>0.58661250379413887</v>
      </c>
      <c r="K7" s="12">
        <f t="shared" si="4"/>
        <v>846.15407720964129</v>
      </c>
      <c r="L7" s="12">
        <f t="shared" si="1"/>
        <v>75815.405317983852</v>
      </c>
      <c r="M7" s="12">
        <f t="shared" si="5"/>
        <v>496.36456182756677</v>
      </c>
      <c r="N7" s="12">
        <f t="shared" si="6"/>
        <v>6793060.3164913524</v>
      </c>
      <c r="O7" s="13">
        <f t="shared" si="7"/>
        <v>44474.264739749982</v>
      </c>
      <c r="Q7">
        <f>1/Q3</f>
        <v>146.43664478840384</v>
      </c>
      <c r="S7">
        <f t="shared" si="8"/>
        <v>0.54424562700453427</v>
      </c>
    </row>
    <row r="8" spans="1:19" x14ac:dyDescent="0.25">
      <c r="B8">
        <v>60</v>
      </c>
      <c r="C8">
        <f t="shared" si="9"/>
        <v>50</v>
      </c>
      <c r="D8">
        <v>2</v>
      </c>
      <c r="E8">
        <v>64.599999999999994</v>
      </c>
      <c r="F8">
        <v>0.6536941180705238</v>
      </c>
      <c r="G8">
        <v>0.41338749620586113</v>
      </c>
      <c r="H8">
        <v>3.437757785394395E-2</v>
      </c>
      <c r="I8" s="11">
        <f t="shared" si="2"/>
        <v>64.599999999999994</v>
      </c>
      <c r="J8" s="12">
        <f t="shared" si="3"/>
        <v>0.41338749620586113</v>
      </c>
      <c r="K8" s="12">
        <f t="shared" si="4"/>
        <v>846.15407720964129</v>
      </c>
      <c r="L8" s="12">
        <f t="shared" si="1"/>
        <v>54661.553387742824</v>
      </c>
      <c r="M8" s="12">
        <f t="shared" si="5"/>
        <v>349.78951538207451</v>
      </c>
      <c r="N8" s="12">
        <f t="shared" si="6"/>
        <v>3531136.348848186</v>
      </c>
      <c r="O8" s="13">
        <f t="shared" si="7"/>
        <v>22596.402693682012</v>
      </c>
      <c r="Q8">
        <f>Q5/(Q3)^2</f>
        <v>0.3537925192891449</v>
      </c>
      <c r="S8">
        <f t="shared" si="8"/>
        <v>0.65696016009595426</v>
      </c>
    </row>
    <row r="9" spans="1:19" x14ac:dyDescent="0.25">
      <c r="B9">
        <v>50</v>
      </c>
      <c r="C9">
        <f t="shared" si="9"/>
        <v>60</v>
      </c>
      <c r="D9">
        <v>2</v>
      </c>
      <c r="E9">
        <v>40</v>
      </c>
      <c r="F9">
        <v>0.41231056256176613</v>
      </c>
      <c r="G9">
        <v>0.25060923483957354</v>
      </c>
      <c r="H9">
        <v>3.0242265019995211E-2</v>
      </c>
      <c r="I9" s="11">
        <f t="shared" si="2"/>
        <v>40</v>
      </c>
      <c r="J9" s="12">
        <f t="shared" si="3"/>
        <v>0.25060923483957354</v>
      </c>
      <c r="K9" s="12">
        <f t="shared" si="4"/>
        <v>1093.3806159184055</v>
      </c>
      <c r="L9" s="12">
        <f t="shared" si="1"/>
        <v>43735.224636736224</v>
      </c>
      <c r="M9" s="12">
        <f t="shared" si="5"/>
        <v>274.01127954373322</v>
      </c>
      <c r="N9" s="12">
        <f t="shared" si="6"/>
        <v>1749408.9854694488</v>
      </c>
      <c r="O9" s="13">
        <f t="shared" si="7"/>
        <v>10960.451181749331</v>
      </c>
      <c r="S9">
        <f t="shared" si="8"/>
        <v>0.5610085471645212</v>
      </c>
    </row>
    <row r="10" spans="1:19" x14ac:dyDescent="0.25">
      <c r="B10">
        <v>40</v>
      </c>
      <c r="C10">
        <f t="shared" si="9"/>
        <v>70</v>
      </c>
      <c r="D10">
        <v>2</v>
      </c>
      <c r="E10">
        <v>20.2</v>
      </c>
      <c r="F10">
        <v>0.22539742678211744</v>
      </c>
      <c r="G10">
        <v>0.11791118036733045</v>
      </c>
      <c r="H10">
        <v>2.2476316384680766E-2</v>
      </c>
      <c r="I10" s="11">
        <f t="shared" si="2"/>
        <v>20.2</v>
      </c>
      <c r="J10" s="12">
        <f t="shared" si="3"/>
        <v>0.11791118036733045</v>
      </c>
      <c r="K10" s="12">
        <f t="shared" si="4"/>
        <v>1979.4736569964352</v>
      </c>
      <c r="L10" s="12">
        <f t="shared" si="1"/>
        <v>39985.367871327988</v>
      </c>
      <c r="M10" s="12">
        <f t="shared" si="5"/>
        <v>233.40207540248588</v>
      </c>
      <c r="N10" s="12">
        <f t="shared" si="6"/>
        <v>807704.43100082537</v>
      </c>
      <c r="O10" s="13">
        <f t="shared" si="7"/>
        <v>4714.7219231302142</v>
      </c>
      <c r="S10">
        <f t="shared" si="8"/>
        <v>0.80272244922435654</v>
      </c>
    </row>
    <row r="11" spans="1:19" x14ac:dyDescent="0.25">
      <c r="B11">
        <v>30</v>
      </c>
      <c r="C11">
        <f t="shared" si="9"/>
        <v>80</v>
      </c>
      <c r="D11">
        <v>2</v>
      </c>
      <c r="E11">
        <v>6</v>
      </c>
      <c r="F11">
        <v>0.11661903789690602</v>
      </c>
      <c r="G11">
        <v>3.1298676573191485E-2</v>
      </c>
      <c r="H11">
        <v>1.2048064843326742E-2</v>
      </c>
      <c r="I11" s="11">
        <f t="shared" si="2"/>
        <v>6</v>
      </c>
      <c r="J11" s="12">
        <f t="shared" si="3"/>
        <v>3.1298676573191485E-2</v>
      </c>
      <c r="K11" s="12">
        <f t="shared" si="4"/>
        <v>6889.1462971875362</v>
      </c>
      <c r="L11" s="12">
        <f t="shared" si="1"/>
        <v>41334.877783125216</v>
      </c>
      <c r="M11" s="12">
        <f t="shared" si="5"/>
        <v>215.62116182107241</v>
      </c>
      <c r="N11" s="12">
        <f t="shared" si="6"/>
        <v>248009.26669875131</v>
      </c>
      <c r="O11" s="13">
        <f t="shared" si="7"/>
        <v>1293.7269709264344</v>
      </c>
      <c r="S11">
        <f t="shared" si="8"/>
        <v>0.65891514789969907</v>
      </c>
    </row>
    <row r="12" spans="1:19" x14ac:dyDescent="0.25">
      <c r="B12">
        <v>20</v>
      </c>
      <c r="C12">
        <f t="shared" si="9"/>
        <v>90</v>
      </c>
      <c r="D12">
        <v>2</v>
      </c>
      <c r="E12">
        <v>0.1</v>
      </c>
      <c r="F12">
        <v>0.10000499987500626</v>
      </c>
      <c r="G12">
        <v>1.2184696791468343E-3</v>
      </c>
      <c r="H12">
        <v>1.7231763455898465E-3</v>
      </c>
      <c r="I12" s="11">
        <f t="shared" si="2"/>
        <v>0.1</v>
      </c>
      <c r="J12" s="12">
        <f t="shared" si="3"/>
        <v>1.2184696791468343E-3</v>
      </c>
      <c r="K12" s="12">
        <f t="shared" si="4"/>
        <v>336775.5478649197</v>
      </c>
      <c r="L12" s="12">
        <f t="shared" si="1"/>
        <v>33677.554786491972</v>
      </c>
      <c r="M12" s="12">
        <f t="shared" si="5"/>
        <v>410.35079375146802</v>
      </c>
      <c r="N12" s="12">
        <f t="shared" si="6"/>
        <v>3367.7554786491974</v>
      </c>
      <c r="O12" s="13">
        <f t="shared" si="7"/>
        <v>41.035079375146807</v>
      </c>
      <c r="S12">
        <f t="shared" si="8"/>
        <v>6.2388030695643956E-2</v>
      </c>
    </row>
    <row r="13" spans="1:19" x14ac:dyDescent="0.25">
      <c r="A13" s="7" t="s">
        <v>27</v>
      </c>
      <c r="B13" s="7"/>
      <c r="C13" s="7"/>
      <c r="D13" s="7"/>
      <c r="E13" s="7"/>
      <c r="F13" s="7"/>
      <c r="G13" s="7"/>
      <c r="H13" s="7"/>
      <c r="I13" s="12">
        <f t="shared" ref="I13:O13" si="10">SUM(I3:I12)</f>
        <v>751.50000000000011</v>
      </c>
      <c r="J13" s="12">
        <f t="shared" si="10"/>
        <v>5</v>
      </c>
      <c r="K13" s="12">
        <f t="shared" si="10"/>
        <v>695167.40502446354</v>
      </c>
      <c r="L13" s="12">
        <f t="shared" si="10"/>
        <v>50888284.833433293</v>
      </c>
      <c r="M13" s="12">
        <f t="shared" si="10"/>
        <v>347583.70251223177</v>
      </c>
      <c r="N13" s="12">
        <f t="shared" si="10"/>
        <v>7398855024.9867792</v>
      </c>
      <c r="O13" s="12">
        <f t="shared" si="10"/>
        <v>50531332.314069636</v>
      </c>
      <c r="S13">
        <f>SUM(S3:S12)</f>
        <v>3.8721920718708298</v>
      </c>
    </row>
    <row r="14" spans="1:19" x14ac:dyDescent="0.25">
      <c r="A14" s="7"/>
      <c r="B14" s="7"/>
      <c r="C14" s="7"/>
      <c r="D14" s="7"/>
      <c r="E14" s="7"/>
      <c r="F14" s="7"/>
      <c r="G14" s="7"/>
      <c r="H14" s="7"/>
    </row>
    <row r="15" spans="1:19" x14ac:dyDescent="0.25">
      <c r="B15" t="s">
        <v>39</v>
      </c>
      <c r="C15" t="s">
        <v>21</v>
      </c>
      <c r="D15" t="s">
        <v>44</v>
      </c>
      <c r="G15" t="s">
        <v>47</v>
      </c>
    </row>
    <row r="16" spans="1:19" x14ac:dyDescent="0.25">
      <c r="A16" t="s">
        <v>38</v>
      </c>
      <c r="B16">
        <v>0</v>
      </c>
      <c r="C16">
        <v>0.1</v>
      </c>
      <c r="G16">
        <v>143.19999999999999</v>
      </c>
    </row>
    <row r="17" spans="1:12" x14ac:dyDescent="0.25">
      <c r="A17" t="s">
        <v>40</v>
      </c>
      <c r="B17">
        <v>241.1</v>
      </c>
      <c r="C17">
        <v>2</v>
      </c>
      <c r="G17">
        <v>140.5</v>
      </c>
    </row>
    <row r="18" spans="1:12" x14ac:dyDescent="0.25">
      <c r="G18">
        <v>127.6</v>
      </c>
    </row>
    <row r="19" spans="1:12" x14ac:dyDescent="0.25">
      <c r="A19" t="s">
        <v>41</v>
      </c>
      <c r="B19" t="s">
        <v>42</v>
      </c>
      <c r="C19" t="s">
        <v>43</v>
      </c>
      <c r="D19">
        <v>331</v>
      </c>
      <c r="E19">
        <v>1</v>
      </c>
      <c r="G19">
        <v>110.7</v>
      </c>
      <c r="J19">
        <f>(COS(RADIANS(C3)))^2 - 1/2 * (2*COS(2*RADIANS(C3))) * (RADIANS(D3))^2</f>
        <v>0.99878153032085315</v>
      </c>
      <c r="K19">
        <f>1/SQRT(2) * ABS(2*COS(2*RADIANS(C3))) * (RADIANS(D3))</f>
        <v>4.9365365979537397E-2</v>
      </c>
      <c r="L19">
        <f>SQRT(F3^2+K19^2)</f>
        <v>1.4662472299575857</v>
      </c>
    </row>
    <row r="20" spans="1:12" x14ac:dyDescent="0.25">
      <c r="A20" t="s">
        <v>45</v>
      </c>
      <c r="B20" t="s">
        <v>46</v>
      </c>
      <c r="C20">
        <v>2</v>
      </c>
      <c r="D20">
        <v>59</v>
      </c>
      <c r="E20">
        <v>1</v>
      </c>
      <c r="G20">
        <v>89.3</v>
      </c>
      <c r="J20">
        <f>(COS(RADIANS(C4)))^2 - 1/2 * (2*COS(2*RADIANS(C4))) * (RADIANS(D4))^2</f>
        <v>0.96870132342680848</v>
      </c>
      <c r="K20">
        <f t="shared" ref="K20:K28" si="11">1/SQRT(2) * ABS(2*COS(2*RADIANS(C4))) * (RADIANS(D4))</f>
        <v>4.6388270133367021E-2</v>
      </c>
      <c r="L20">
        <f>SQRT(F4^2+K20^2)</f>
        <v>1.4302544779185156</v>
      </c>
    </row>
    <row r="21" spans="1:12" x14ac:dyDescent="0.25">
      <c r="G21">
        <v>64.3</v>
      </c>
      <c r="J21">
        <f>(COS(RADIANS(C5)))^2 - 1/2 * (2*COS(2*RADIANS(C5))) * (RADIANS(D5))^2</f>
        <v>0.88208881963266972</v>
      </c>
      <c r="K21">
        <f>1/SQRT(2) * ABS(2*COS(2*RADIANS(C5))) * (RADIANS(D5))</f>
        <v>3.7816064291159274E-2</v>
      </c>
      <c r="L21">
        <f t="shared" ref="L21:L28" si="12">SQRT(F5^2+K21^2)</f>
        <v>1.3053854046673239</v>
      </c>
    </row>
    <row r="22" spans="1:12" x14ac:dyDescent="0.25">
      <c r="G22">
        <v>40.6</v>
      </c>
      <c r="J22">
        <f>(COS(RADIANS(C6)))^2 - 1/2 * (2*COS(2*RADIANS(C6))) * (RADIANS(D6))^2</f>
        <v>0.74939076516042669</v>
      </c>
      <c r="K22">
        <f t="shared" si="11"/>
        <v>2.4682682989768702E-2</v>
      </c>
      <c r="L22">
        <f t="shared" si="12"/>
        <v>1.1257220948527098</v>
      </c>
    </row>
    <row r="23" spans="1:12" x14ac:dyDescent="0.25">
      <c r="G23">
        <v>19.899999999999999</v>
      </c>
      <c r="J23">
        <f>(COS(RADIANS(C7)))^2 - 1/2 * (2*COS(2*RADIANS(C7))) * (RADIANS(D7))^2</f>
        <v>0.58661250379413887</v>
      </c>
      <c r="K23">
        <f t="shared" si="11"/>
        <v>8.5722058422077526E-3</v>
      </c>
      <c r="L23">
        <f t="shared" si="12"/>
        <v>0.90160383911837971</v>
      </c>
    </row>
    <row r="24" spans="1:12" x14ac:dyDescent="0.25">
      <c r="G24">
        <v>6.1</v>
      </c>
      <c r="J24">
        <f>(COS(RADIANS(C8)))^2 - 1/2 * (2*COS(2*RADIANS(C8))) * (RADIANS(D8))^2</f>
        <v>0.41338749620586113</v>
      </c>
      <c r="K24">
        <f t="shared" si="11"/>
        <v>8.5722058422077474E-3</v>
      </c>
      <c r="L24">
        <f t="shared" si="12"/>
        <v>0.65375032138653755</v>
      </c>
    </row>
    <row r="25" spans="1:12" x14ac:dyDescent="0.25">
      <c r="G25">
        <v>0.1</v>
      </c>
      <c r="J25">
        <f>(COS(RADIANS(C9)))^2 - 1/2 * (2*COS(2*RADIANS(C9))) * (RADIANS(D9))^2</f>
        <v>0.25060923483957354</v>
      </c>
      <c r="K25">
        <f t="shared" si="11"/>
        <v>2.4682682989768688E-2</v>
      </c>
      <c r="L25">
        <f t="shared" si="12"/>
        <v>0.41304870758734191</v>
      </c>
    </row>
    <row r="26" spans="1:12" x14ac:dyDescent="0.25">
      <c r="J26">
        <f>(COS(RADIANS(C10)))^2 - 1/2 * (2*COS(2*RADIANS(C10))) * (RADIANS(D10))^2</f>
        <v>0.11791118036733045</v>
      </c>
      <c r="K26">
        <f t="shared" si="11"/>
        <v>3.7816064291159267E-2</v>
      </c>
      <c r="L26">
        <f t="shared" si="12"/>
        <v>0.22854770775151756</v>
      </c>
    </row>
    <row r="27" spans="1:12" x14ac:dyDescent="0.25">
      <c r="D27">
        <v>4.9365365979537397E-2</v>
      </c>
      <c r="J27">
        <f>(COS(RADIANS(C11)))^2 - 1/2 * (2*COS(2*RADIANS(C11))) * (RADIANS(D11))^2</f>
        <v>3.1298676573191485E-2</v>
      </c>
      <c r="K27">
        <f t="shared" si="11"/>
        <v>4.6388270133367014E-2</v>
      </c>
      <c r="L27">
        <f t="shared" si="12"/>
        <v>0.12550646041525604</v>
      </c>
    </row>
    <row r="28" spans="1:12" x14ac:dyDescent="0.25">
      <c r="D28">
        <v>4.789995284058169E-2</v>
      </c>
      <c r="J28">
        <f>(COS(RADIANS(C12)))^2 - 1/2 * (2*COS(2*RADIANS(C12))) * (RADIANS(D12))^2</f>
        <v>1.2184696791468343E-3</v>
      </c>
      <c r="K28">
        <f t="shared" si="11"/>
        <v>4.9365365979537397E-2</v>
      </c>
      <c r="L28">
        <f t="shared" si="12"/>
        <v>0.11152550989927672</v>
      </c>
    </row>
    <row r="29" spans="1:12" x14ac:dyDescent="0.25">
      <c r="D29">
        <v>4.3971548055343472E-2</v>
      </c>
    </row>
    <row r="30" spans="1:12" x14ac:dyDescent="0.25">
      <c r="D30">
        <v>3.9026748505781812E-2</v>
      </c>
    </row>
    <row r="31" spans="1:12" x14ac:dyDescent="0.25">
      <c r="D31">
        <v>3.5428957586237632E-2</v>
      </c>
    </row>
    <row r="32" spans="1:12" x14ac:dyDescent="0.25">
      <c r="D32">
        <v>3.5428957586237625E-2</v>
      </c>
    </row>
    <row r="33" spans="4:4" x14ac:dyDescent="0.25">
      <c r="D33">
        <v>3.9026748505781805E-2</v>
      </c>
    </row>
    <row r="34" spans="4:4" x14ac:dyDescent="0.25">
      <c r="D34">
        <v>4.3971548055343465E-2</v>
      </c>
    </row>
    <row r="35" spans="4:4" x14ac:dyDescent="0.25">
      <c r="D35">
        <v>4.7899952840581683E-2</v>
      </c>
    </row>
    <row r="36" spans="4:4" x14ac:dyDescent="0.25">
      <c r="D36">
        <v>4.9365365979537397E-2</v>
      </c>
    </row>
  </sheetData>
  <mergeCells count="3">
    <mergeCell ref="A1:H1"/>
    <mergeCell ref="P1:R1"/>
    <mergeCell ref="A13:H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311C-F258-4E27-A54B-F5DED100C935}">
  <dimension ref="A1:S28"/>
  <sheetViews>
    <sheetView zoomScale="98" workbookViewId="0">
      <selection activeCell="L19" sqref="L19:L28"/>
    </sheetView>
  </sheetViews>
  <sheetFormatPr defaultRowHeight="15" x14ac:dyDescent="0.25"/>
  <sheetData>
    <row r="1" spans="1:19" x14ac:dyDescent="0.25">
      <c r="A1" s="4" t="s">
        <v>3</v>
      </c>
      <c r="B1" s="5"/>
      <c r="C1" s="5"/>
      <c r="D1" s="5"/>
      <c r="E1" s="5"/>
      <c r="F1" s="5"/>
      <c r="G1" s="5"/>
      <c r="H1" s="6"/>
      <c r="I1" s="11"/>
      <c r="J1" s="12"/>
      <c r="K1" s="12"/>
      <c r="L1" s="12"/>
      <c r="M1" s="12"/>
      <c r="N1" s="12"/>
      <c r="O1" s="13"/>
      <c r="P1" s="8" t="s">
        <v>33</v>
      </c>
      <c r="Q1" s="9"/>
      <c r="R1" s="9"/>
    </row>
    <row r="2" spans="1:19" x14ac:dyDescent="0.25">
      <c r="A2" t="s">
        <v>29</v>
      </c>
      <c r="B2" s="1" t="s">
        <v>30</v>
      </c>
      <c r="C2" s="1" t="s">
        <v>28</v>
      </c>
      <c r="D2" t="s">
        <v>32</v>
      </c>
      <c r="E2" t="s">
        <v>1</v>
      </c>
      <c r="F2" t="s">
        <v>2</v>
      </c>
      <c r="G2" t="s">
        <v>47</v>
      </c>
      <c r="H2" s="2" t="s">
        <v>48</v>
      </c>
      <c r="I2" s="11" t="s">
        <v>4</v>
      </c>
      <c r="J2" s="12" t="s">
        <v>5</v>
      </c>
      <c r="K2" s="12" t="s">
        <v>6</v>
      </c>
      <c r="L2" s="12" t="s">
        <v>9</v>
      </c>
      <c r="M2" s="12" t="s">
        <v>16</v>
      </c>
      <c r="N2" s="12" t="s">
        <v>10</v>
      </c>
      <c r="O2" s="13" t="s">
        <v>11</v>
      </c>
      <c r="P2" t="s">
        <v>0</v>
      </c>
      <c r="Q2" t="s">
        <v>12</v>
      </c>
      <c r="R2" t="s">
        <v>13</v>
      </c>
    </row>
    <row r="3" spans="1:19" x14ac:dyDescent="0.25">
      <c r="A3">
        <v>110</v>
      </c>
      <c r="B3">
        <v>110</v>
      </c>
      <c r="C3">
        <f t="shared" ref="C3" si="0">B3-$A$3</f>
        <v>0</v>
      </c>
      <c r="D3">
        <v>2</v>
      </c>
      <c r="E3">
        <f>COS(C3*PI()/180)^2</f>
        <v>1</v>
      </c>
      <c r="F3">
        <f>SIN(2*C3*PI()/180)*PI()/180*D3</f>
        <v>0</v>
      </c>
      <c r="G3">
        <v>146.19999999999999</v>
      </c>
      <c r="H3" s="2">
        <f>SQRT((G3*0.01)^2+0.1^2)</f>
        <v>1.4654159818972903</v>
      </c>
      <c r="I3" s="11">
        <f>E3</f>
        <v>1</v>
      </c>
      <c r="J3" s="12">
        <f>G3</f>
        <v>146.19999999999999</v>
      </c>
      <c r="K3" s="12">
        <f>H3^(-2)</f>
        <v>0.46566988475601706</v>
      </c>
      <c r="L3" s="12">
        <f t="shared" ref="L3:L12" si="1">K3*I3</f>
        <v>0.46566988475601706</v>
      </c>
      <c r="M3" s="12">
        <f>K3*J3</f>
        <v>68.080937151329692</v>
      </c>
      <c r="N3" s="12">
        <f>K3*I3*I3</f>
        <v>0.46566988475601706</v>
      </c>
      <c r="O3" s="13">
        <f>K3*I3*J3</f>
        <v>68.080937151329692</v>
      </c>
      <c r="P3">
        <f>N13*K13-L13^2</f>
        <v>593.06350951330501</v>
      </c>
      <c r="Q3">
        <f>(K13*O13-L13*M13)/P3</f>
        <v>151.10065248336875</v>
      </c>
      <c r="R3">
        <f>(N13*M13-L13*O13)/P3</f>
        <v>0.86846688301996811</v>
      </c>
      <c r="S3">
        <f>(G3-$Q$3*E3-$R$3)^2/H3^2</f>
        <v>15.498768891594603</v>
      </c>
    </row>
    <row r="4" spans="1:19" x14ac:dyDescent="0.25">
      <c r="A4" t="s">
        <v>31</v>
      </c>
      <c r="B4">
        <v>100</v>
      </c>
      <c r="C4">
        <f>-(B4-$A$3)</f>
        <v>10</v>
      </c>
      <c r="D4">
        <v>2</v>
      </c>
      <c r="E4">
        <f t="shared" ref="E4:E12" si="2">COS(C4*PI()/180)^2</f>
        <v>0.9698463103929541</v>
      </c>
      <c r="F4">
        <f t="shared" ref="F4:F12" si="3">SIN(2*C4*PI()/180)*PI()/180*D4</f>
        <v>1.1938755218351655E-2</v>
      </c>
      <c r="G4">
        <v>142.6</v>
      </c>
      <c r="H4" s="2">
        <f>SQRT((G4*0.01)^2+0.1^2)</f>
        <v>1.4295020111913097</v>
      </c>
      <c r="I4" s="11">
        <f t="shared" ref="I4:I12" si="4">E4</f>
        <v>0.9698463103929541</v>
      </c>
      <c r="J4" s="12">
        <f t="shared" ref="J4:J12" si="5">G4</f>
        <v>142.6</v>
      </c>
      <c r="K4" s="12">
        <f t="shared" ref="K4:K12" si="6">H4^(-2)</f>
        <v>0.48936224354971647</v>
      </c>
      <c r="L4" s="12">
        <f t="shared" si="1"/>
        <v>0.47460616635231073</v>
      </c>
      <c r="M4" s="12">
        <f t="shared" ref="M4:M12" si="7">K4*J4</f>
        <v>69.783055930189562</v>
      </c>
      <c r="N4" s="12">
        <f t="shared" ref="N4:N12" si="8">K4*I4*I4</f>
        <v>0.46029503932653315</v>
      </c>
      <c r="O4" s="13">
        <f t="shared" ref="O4:O12" si="9">K4*I4*J4</f>
        <v>67.678839321839504</v>
      </c>
      <c r="Q4" s="1" t="s">
        <v>14</v>
      </c>
      <c r="R4" t="s">
        <v>15</v>
      </c>
      <c r="S4">
        <f t="shared" ref="S4:S12" si="10">(G4-$Q$3*E4-$R$3)^2/H4^2</f>
        <v>11.335482709418285</v>
      </c>
    </row>
    <row r="5" spans="1:19" x14ac:dyDescent="0.25">
      <c r="A5">
        <v>59</v>
      </c>
      <c r="B5">
        <v>90</v>
      </c>
      <c r="C5">
        <f t="shared" ref="C5:C12" si="11">-(B5-$A$3)</f>
        <v>20</v>
      </c>
      <c r="D5">
        <v>2</v>
      </c>
      <c r="E5">
        <f t="shared" si="2"/>
        <v>0.88302222155948906</v>
      </c>
      <c r="F5">
        <f t="shared" si="3"/>
        <v>2.2437520360108612E-2</v>
      </c>
      <c r="G5">
        <v>130.1</v>
      </c>
      <c r="H5" s="2">
        <f t="shared" ref="H5:H12" si="12">SQRT((G5*0.01)^2+0.1^2)</f>
        <v>1.3048375377800869</v>
      </c>
      <c r="I5" s="11">
        <f>E5</f>
        <v>0.88302222155948906</v>
      </c>
      <c r="J5" s="12">
        <f t="shared" si="5"/>
        <v>130.1</v>
      </c>
      <c r="K5" s="12">
        <f t="shared" si="6"/>
        <v>0.58733666901405557</v>
      </c>
      <c r="L5" s="12">
        <f t="shared" si="1"/>
        <v>0.51863133027614172</v>
      </c>
      <c r="M5" s="12">
        <f t="shared" si="7"/>
        <v>76.412500638728631</v>
      </c>
      <c r="N5" s="12">
        <f t="shared" si="8"/>
        <v>0.45796298943079178</v>
      </c>
      <c r="O5" s="13">
        <f t="shared" si="9"/>
        <v>67.473936068926037</v>
      </c>
      <c r="Q5">
        <f>SQRT(K13/P3)</f>
        <v>0.58791316625113488</v>
      </c>
      <c r="R5">
        <f>SQRT(N13/P3)</f>
        <v>7.5213855502230503E-2</v>
      </c>
      <c r="S5">
        <f t="shared" si="10"/>
        <v>10.329563833172671</v>
      </c>
    </row>
    <row r="6" spans="1:19" x14ac:dyDescent="0.25">
      <c r="B6">
        <v>80</v>
      </c>
      <c r="C6">
        <f t="shared" si="11"/>
        <v>30</v>
      </c>
      <c r="D6">
        <v>2</v>
      </c>
      <c r="E6">
        <f t="shared" si="2"/>
        <v>0.75000000000000011</v>
      </c>
      <c r="F6">
        <f t="shared" si="3"/>
        <v>3.0229989403903628E-2</v>
      </c>
      <c r="G6">
        <v>112.1</v>
      </c>
      <c r="H6" s="2">
        <f t="shared" si="12"/>
        <v>1.1254514649686143</v>
      </c>
      <c r="I6" s="11">
        <f t="shared" si="4"/>
        <v>0.75000000000000011</v>
      </c>
      <c r="J6" s="12">
        <f t="shared" si="5"/>
        <v>112.1</v>
      </c>
      <c r="K6" s="12">
        <f t="shared" si="6"/>
        <v>0.78948968176460421</v>
      </c>
      <c r="L6" s="12">
        <f t="shared" si="1"/>
        <v>0.59211726132345321</v>
      </c>
      <c r="M6" s="12">
        <f t="shared" si="7"/>
        <v>88.50179332581213</v>
      </c>
      <c r="N6" s="12">
        <f t="shared" si="8"/>
        <v>0.44408794599258999</v>
      </c>
      <c r="O6" s="13">
        <f t="shared" si="9"/>
        <v>66.376344994359101</v>
      </c>
      <c r="S6">
        <f t="shared" si="10"/>
        <v>3.4616381107696879</v>
      </c>
    </row>
    <row r="7" spans="1:19" x14ac:dyDescent="0.25">
      <c r="B7">
        <v>70</v>
      </c>
      <c r="C7">
        <f t="shared" si="11"/>
        <v>40</v>
      </c>
      <c r="D7">
        <v>2</v>
      </c>
      <c r="E7">
        <f t="shared" si="2"/>
        <v>0.58682408883346515</v>
      </c>
      <c r="F7">
        <f t="shared" si="3"/>
        <v>3.4376275578460271E-2</v>
      </c>
      <c r="G7">
        <v>89.6</v>
      </c>
      <c r="H7" s="2">
        <f t="shared" si="12"/>
        <v>0.90156308708819699</v>
      </c>
      <c r="I7" s="11">
        <f t="shared" si="4"/>
        <v>0.58682408883346515</v>
      </c>
      <c r="J7" s="12">
        <f t="shared" si="5"/>
        <v>89.6</v>
      </c>
      <c r="K7" s="12">
        <f t="shared" si="6"/>
        <v>1.2302907423082226</v>
      </c>
      <c r="L7" s="12">
        <f t="shared" si="1"/>
        <v>0.72196424385527014</v>
      </c>
      <c r="M7" s="12">
        <f t="shared" si="7"/>
        <v>110.23405051081673</v>
      </c>
      <c r="N7" s="12">
        <f t="shared" si="8"/>
        <v>0.42366600957071054</v>
      </c>
      <c r="O7" s="13">
        <f t="shared" si="9"/>
        <v>64.687996249432203</v>
      </c>
      <c r="S7">
        <f t="shared" si="10"/>
        <v>4.7338766505454957E-3</v>
      </c>
    </row>
    <row r="8" spans="1:19" x14ac:dyDescent="0.25">
      <c r="B8">
        <v>60</v>
      </c>
      <c r="C8">
        <f t="shared" si="11"/>
        <v>50</v>
      </c>
      <c r="D8">
        <v>2</v>
      </c>
      <c r="E8">
        <f t="shared" si="2"/>
        <v>0.41317591116653485</v>
      </c>
      <c r="F8">
        <f t="shared" si="3"/>
        <v>3.4376275578460271E-2</v>
      </c>
      <c r="G8">
        <v>64.599999999999994</v>
      </c>
      <c r="H8" s="2">
        <f t="shared" si="12"/>
        <v>0.6536941180705238</v>
      </c>
      <c r="I8" s="11">
        <f t="shared" si="4"/>
        <v>0.41317591116653485</v>
      </c>
      <c r="J8" s="12">
        <f t="shared" si="5"/>
        <v>64.599999999999994</v>
      </c>
      <c r="K8" s="12">
        <f t="shared" si="6"/>
        <v>2.3401885255876218</v>
      </c>
      <c r="L8" s="12">
        <f t="shared" si="1"/>
        <v>0.96690952636113536</v>
      </c>
      <c r="M8" s="12">
        <f t="shared" si="7"/>
        <v>151.17617875296037</v>
      </c>
      <c r="N8" s="12">
        <f t="shared" si="8"/>
        <v>0.39950372456986477</v>
      </c>
      <c r="O8" s="13">
        <f t="shared" si="9"/>
        <v>62.46235540292934</v>
      </c>
      <c r="S8">
        <f t="shared" si="10"/>
        <v>3.9572514372334258</v>
      </c>
    </row>
    <row r="9" spans="1:19" x14ac:dyDescent="0.25">
      <c r="B9">
        <v>50</v>
      </c>
      <c r="C9">
        <f t="shared" si="11"/>
        <v>60</v>
      </c>
      <c r="D9">
        <v>2</v>
      </c>
      <c r="E9">
        <f t="shared" si="2"/>
        <v>0.25000000000000011</v>
      </c>
      <c r="F9">
        <f t="shared" si="3"/>
        <v>3.0229989403903632E-2</v>
      </c>
      <c r="G9">
        <v>40</v>
      </c>
      <c r="H9" s="2">
        <f t="shared" si="12"/>
        <v>0.41231056256176613</v>
      </c>
      <c r="I9" s="11">
        <f t="shared" si="4"/>
        <v>0.25000000000000011</v>
      </c>
      <c r="J9" s="12">
        <f t="shared" si="5"/>
        <v>40</v>
      </c>
      <c r="K9" s="12">
        <f t="shared" si="6"/>
        <v>5.8823529411764683</v>
      </c>
      <c r="L9" s="12">
        <f t="shared" si="1"/>
        <v>1.4705882352941178</v>
      </c>
      <c r="M9" s="12">
        <f t="shared" si="7"/>
        <v>235.29411764705873</v>
      </c>
      <c r="N9" s="12">
        <f t="shared" si="8"/>
        <v>0.3676470588235296</v>
      </c>
      <c r="O9" s="13">
        <f t="shared" si="9"/>
        <v>58.82352941176471</v>
      </c>
      <c r="S9">
        <f t="shared" si="10"/>
        <v>10.821997449546696</v>
      </c>
    </row>
    <row r="10" spans="1:19" x14ac:dyDescent="0.25">
      <c r="B10">
        <v>40</v>
      </c>
      <c r="C10">
        <f t="shared" si="11"/>
        <v>70</v>
      </c>
      <c r="D10">
        <v>2</v>
      </c>
      <c r="E10">
        <f t="shared" si="2"/>
        <v>0.11697777844051105</v>
      </c>
      <c r="F10">
        <f t="shared" si="3"/>
        <v>2.2437520360108619E-2</v>
      </c>
      <c r="G10">
        <v>20.2</v>
      </c>
      <c r="H10" s="2">
        <f t="shared" si="12"/>
        <v>0.22539742678211744</v>
      </c>
      <c r="I10" s="11">
        <f t="shared" si="4"/>
        <v>0.11697777844051105</v>
      </c>
      <c r="J10" s="12">
        <f t="shared" si="5"/>
        <v>20.2</v>
      </c>
      <c r="K10" s="12">
        <f t="shared" si="6"/>
        <v>19.683489489016619</v>
      </c>
      <c r="L10" s="12">
        <f t="shared" si="1"/>
        <v>2.3025308723823139</v>
      </c>
      <c r="M10" s="12">
        <f t="shared" si="7"/>
        <v>397.60648767813569</v>
      </c>
      <c r="N10" s="12">
        <f t="shared" si="8"/>
        <v>0.26934494624197491</v>
      </c>
      <c r="O10" s="13">
        <f t="shared" si="9"/>
        <v>46.511123622122739</v>
      </c>
      <c r="S10">
        <f t="shared" si="10"/>
        <v>53.986204491508062</v>
      </c>
    </row>
    <row r="11" spans="1:19" x14ac:dyDescent="0.25">
      <c r="B11">
        <v>30</v>
      </c>
      <c r="C11">
        <f t="shared" si="11"/>
        <v>80</v>
      </c>
      <c r="D11">
        <v>2</v>
      </c>
      <c r="E11">
        <f t="shared" si="2"/>
        <v>3.0153689607045831E-2</v>
      </c>
      <c r="F11">
        <f t="shared" si="3"/>
        <v>1.193875521835166E-2</v>
      </c>
      <c r="G11">
        <v>6</v>
      </c>
      <c r="H11" s="2">
        <f t="shared" si="12"/>
        <v>0.11661903789690602</v>
      </c>
      <c r="I11" s="11">
        <f t="shared" si="4"/>
        <v>3.0153689607045831E-2</v>
      </c>
      <c r="J11" s="12">
        <f t="shared" si="5"/>
        <v>6</v>
      </c>
      <c r="K11" s="12">
        <f t="shared" si="6"/>
        <v>73.529411764705884</v>
      </c>
      <c r="L11" s="12">
        <f t="shared" si="1"/>
        <v>2.2171830593416053</v>
      </c>
      <c r="M11" s="12">
        <f t="shared" si="7"/>
        <v>441.1764705882353</v>
      </c>
      <c r="N11" s="12">
        <f t="shared" si="8"/>
        <v>6.6856249773387041E-2</v>
      </c>
      <c r="O11" s="13">
        <f t="shared" si="9"/>
        <v>13.303098356049631</v>
      </c>
      <c r="S11">
        <f t="shared" si="10"/>
        <v>24.335269750601316</v>
      </c>
    </row>
    <row r="12" spans="1:19" x14ac:dyDescent="0.25">
      <c r="B12">
        <v>20</v>
      </c>
      <c r="C12">
        <f t="shared" si="11"/>
        <v>90</v>
      </c>
      <c r="D12">
        <v>2</v>
      </c>
      <c r="E12">
        <f t="shared" si="2"/>
        <v>3.7524718414124473E-33</v>
      </c>
      <c r="F12">
        <f t="shared" si="3"/>
        <v>4.2765748727753404E-18</v>
      </c>
      <c r="G12">
        <v>0.1</v>
      </c>
      <c r="H12" s="2">
        <f t="shared" si="12"/>
        <v>0.10000499987500626</v>
      </c>
      <c r="I12" s="11">
        <f t="shared" si="4"/>
        <v>3.7524718414124473E-33</v>
      </c>
      <c r="J12" s="12">
        <f t="shared" si="5"/>
        <v>0.1</v>
      </c>
      <c r="K12" s="12">
        <f t="shared" si="6"/>
        <v>99.990000999900005</v>
      </c>
      <c r="L12" s="12">
        <f t="shared" si="1"/>
        <v>3.7520966317492723E-31</v>
      </c>
      <c r="M12" s="12">
        <f t="shared" si="7"/>
        <v>9.9990000999900008</v>
      </c>
      <c r="N12" s="12">
        <f t="shared" si="8"/>
        <v>1.4079636956897632E-63</v>
      </c>
      <c r="O12" s="13">
        <f t="shared" si="9"/>
        <v>3.7520966317492727E-32</v>
      </c>
      <c r="S12">
        <f t="shared" si="10"/>
        <v>59.048230206821849</v>
      </c>
    </row>
    <row r="13" spans="1:19" x14ac:dyDescent="0.25">
      <c r="A13" s="7" t="s">
        <v>27</v>
      </c>
      <c r="B13" s="7"/>
      <c r="C13" s="7"/>
      <c r="D13" s="7"/>
      <c r="E13" s="7"/>
      <c r="F13" s="7"/>
      <c r="G13" s="7"/>
      <c r="H13" s="7"/>
      <c r="I13" s="12">
        <f t="shared" ref="I13:O13" si="13">SUM(I3:I12)</f>
        <v>5</v>
      </c>
      <c r="J13" s="12">
        <f t="shared" si="13"/>
        <v>751.50000000000011</v>
      </c>
      <c r="K13" s="12">
        <f t="shared" si="13"/>
        <v>204.98759294177921</v>
      </c>
      <c r="L13" s="12">
        <f t="shared" si="13"/>
        <v>9.7302005799423643</v>
      </c>
      <c r="M13" s="12">
        <f t="shared" si="13"/>
        <v>1648.2645923232569</v>
      </c>
      <c r="N13" s="12">
        <f t="shared" si="13"/>
        <v>3.3550338484853981</v>
      </c>
      <c r="O13" s="12">
        <f t="shared" si="13"/>
        <v>515.39816057875294</v>
      </c>
      <c r="S13">
        <f>SUM(S3:S12)</f>
        <v>192.77914075731715</v>
      </c>
    </row>
    <row r="14" spans="1:19" x14ac:dyDescent="0.25">
      <c r="A14" s="7"/>
      <c r="B14" s="7"/>
      <c r="C14" s="7"/>
      <c r="D14" s="7"/>
      <c r="E14" s="7"/>
      <c r="F14" s="7"/>
      <c r="G14" s="7"/>
      <c r="H14" s="7"/>
    </row>
    <row r="15" spans="1:19" x14ac:dyDescent="0.25">
      <c r="B15" t="s">
        <v>39</v>
      </c>
      <c r="C15" t="s">
        <v>21</v>
      </c>
      <c r="D15" t="s">
        <v>44</v>
      </c>
      <c r="G15" t="s">
        <v>47</v>
      </c>
    </row>
    <row r="16" spans="1:19" x14ac:dyDescent="0.25">
      <c r="A16" t="s">
        <v>38</v>
      </c>
      <c r="B16">
        <v>0</v>
      </c>
      <c r="C16">
        <v>0.1</v>
      </c>
      <c r="G16">
        <v>143.19999999999999</v>
      </c>
    </row>
    <row r="17" spans="1:12" x14ac:dyDescent="0.25">
      <c r="A17" t="s">
        <v>40</v>
      </c>
      <c r="B17">
        <v>241.1</v>
      </c>
      <c r="C17">
        <v>2</v>
      </c>
      <c r="G17">
        <v>140.5</v>
      </c>
    </row>
    <row r="18" spans="1:12" x14ac:dyDescent="0.25">
      <c r="G18">
        <v>127.6</v>
      </c>
    </row>
    <row r="19" spans="1:12" x14ac:dyDescent="0.25">
      <c r="A19" t="s">
        <v>41</v>
      </c>
      <c r="B19" t="s">
        <v>42</v>
      </c>
      <c r="C19" t="s">
        <v>43</v>
      </c>
      <c r="D19">
        <v>331</v>
      </c>
      <c r="E19">
        <v>1</v>
      </c>
      <c r="G19">
        <v>110.7</v>
      </c>
      <c r="J19">
        <f>(COS(RADIANS(C3)))^2 - 1/2 * (2*COS(2*RADIANS(C3))) * (RADIANS(D3))^2</f>
        <v>0.99878153032085315</v>
      </c>
      <c r="K19">
        <f>1/SQRT(2) * ABS(2*COS(2*RADIANS(C3))) * (RADIANS(D3))^2</f>
        <v>1.7231763455898465E-3</v>
      </c>
      <c r="L19">
        <f>SQRT(F3^2+K19^2)</f>
        <v>1.7231763455898465E-3</v>
      </c>
    </row>
    <row r="20" spans="1:12" x14ac:dyDescent="0.25">
      <c r="A20" t="s">
        <v>45</v>
      </c>
      <c r="B20" t="s">
        <v>46</v>
      </c>
      <c r="C20">
        <v>2</v>
      </c>
      <c r="D20">
        <v>59</v>
      </c>
      <c r="E20">
        <v>1</v>
      </c>
      <c r="G20">
        <v>89.3</v>
      </c>
      <c r="J20">
        <f t="shared" ref="J20:J28" si="14">(COS(RADIANS(C4)))^2 - 1/2 * (2*COS(2*RADIANS(C4))) * (RADIANS(D4))^2</f>
        <v>0.96870132342680848</v>
      </c>
      <c r="K20">
        <f>1/SQRT(2) * ABS(2*COS(2*RADIANS(C4))) * (RADIANS(D4))^2</f>
        <v>1.619256096263607E-3</v>
      </c>
      <c r="L20">
        <f>SQRT(F4^2+K20^2)</f>
        <v>1.2048064843326737E-2</v>
      </c>
    </row>
    <row r="21" spans="1:12" x14ac:dyDescent="0.25">
      <c r="G21">
        <v>64.3</v>
      </c>
      <c r="J21">
        <f t="shared" si="14"/>
        <v>0.88208881963266972</v>
      </c>
      <c r="K21">
        <f t="shared" ref="K20:K28" si="15">1/SQRT(2) * ABS(2*COS(2*RADIANS(C5))) * (RADIANS(D5))^2</f>
        <v>1.3200296640531698E-3</v>
      </c>
      <c r="L21">
        <f t="shared" ref="L20:L28" si="16">SQRT(F5^2+K21^2)</f>
        <v>2.2476316384680759E-2</v>
      </c>
    </row>
    <row r="22" spans="1:12" x14ac:dyDescent="0.25">
      <c r="G22">
        <v>40.6</v>
      </c>
      <c r="J22">
        <f t="shared" si="14"/>
        <v>0.74939076516042669</v>
      </c>
      <c r="K22">
        <f t="shared" si="15"/>
        <v>8.6158817279492338E-4</v>
      </c>
      <c r="L22">
        <f t="shared" si="16"/>
        <v>3.0242265019995208E-2</v>
      </c>
    </row>
    <row r="23" spans="1:12" x14ac:dyDescent="0.25">
      <c r="G23">
        <v>19.899999999999999</v>
      </c>
      <c r="J23">
        <f t="shared" si="14"/>
        <v>0.58661250379413887</v>
      </c>
      <c r="K23">
        <f t="shared" si="15"/>
        <v>2.9922643221043756E-4</v>
      </c>
      <c r="L23">
        <f t="shared" si="16"/>
        <v>3.437757785394395E-2</v>
      </c>
    </row>
    <row r="24" spans="1:12" x14ac:dyDescent="0.25">
      <c r="G24">
        <v>6.1</v>
      </c>
      <c r="J24">
        <f t="shared" si="14"/>
        <v>0.41338749620586113</v>
      </c>
      <c r="K24">
        <f t="shared" si="15"/>
        <v>2.9922643221043735E-4</v>
      </c>
      <c r="L24">
        <f t="shared" si="16"/>
        <v>3.437757785394395E-2</v>
      </c>
    </row>
    <row r="25" spans="1:12" x14ac:dyDescent="0.25">
      <c r="G25">
        <v>0.1</v>
      </c>
      <c r="J25">
        <f t="shared" si="14"/>
        <v>0.25060923483957354</v>
      </c>
      <c r="K25">
        <f t="shared" si="15"/>
        <v>8.6158817279492284E-4</v>
      </c>
      <c r="L25">
        <f t="shared" si="16"/>
        <v>3.0242265019995211E-2</v>
      </c>
    </row>
    <row r="26" spans="1:12" x14ac:dyDescent="0.25">
      <c r="J26">
        <f t="shared" si="14"/>
        <v>0.11791118036733045</v>
      </c>
      <c r="K26">
        <f t="shared" si="15"/>
        <v>1.3200296640531693E-3</v>
      </c>
      <c r="L26">
        <f t="shared" si="16"/>
        <v>2.2476316384680766E-2</v>
      </c>
    </row>
    <row r="27" spans="1:12" x14ac:dyDescent="0.25">
      <c r="J27">
        <f t="shared" si="14"/>
        <v>3.1298676573191485E-2</v>
      </c>
      <c r="K27">
        <f t="shared" si="15"/>
        <v>1.6192560962636068E-3</v>
      </c>
      <c r="L27">
        <f t="shared" si="16"/>
        <v>1.2048064843326742E-2</v>
      </c>
    </row>
    <row r="28" spans="1:12" x14ac:dyDescent="0.25">
      <c r="J28">
        <f>(COS(RADIANS(C12)))^2 - 1/2 * (2*COS(2*RADIANS(C12))) * (RADIANS(D12))^2</f>
        <v>1.2184696791468343E-3</v>
      </c>
      <c r="K28">
        <f t="shared" si="15"/>
        <v>1.7231763455898465E-3</v>
      </c>
      <c r="L28">
        <f t="shared" si="16"/>
        <v>1.7231763455898465E-3</v>
      </c>
    </row>
  </sheetData>
  <mergeCells count="3">
    <mergeCell ref="A1:H1"/>
    <mergeCell ref="A13:H14"/>
    <mergeCell ref="P1:R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173D-4D88-4A36-BB0E-A6ECCF5185AA}">
  <dimension ref="A1:P25"/>
  <sheetViews>
    <sheetView workbookViewId="0">
      <selection activeCell="F25" sqref="F25"/>
    </sheetView>
  </sheetViews>
  <sheetFormatPr defaultRowHeight="15" x14ac:dyDescent="0.25"/>
  <cols>
    <col min="5" max="5" width="9" bestFit="1" customWidth="1"/>
    <col min="6" max="6" width="12" bestFit="1" customWidth="1"/>
  </cols>
  <sheetData>
    <row r="1" spans="1:16" x14ac:dyDescent="0.25">
      <c r="A1" s="1" t="s">
        <v>36</v>
      </c>
      <c r="B1" t="s">
        <v>34</v>
      </c>
      <c r="C1" t="s">
        <v>35</v>
      </c>
      <c r="D1" t="s">
        <v>23</v>
      </c>
      <c r="E1" s="10" t="s">
        <v>37</v>
      </c>
      <c r="F1" s="10"/>
    </row>
    <row r="2" spans="1:16" x14ac:dyDescent="0.25">
      <c r="A2">
        <v>0.65</v>
      </c>
      <c r="B2">
        <v>2.6819999999999999</v>
      </c>
      <c r="C2">
        <v>20.114000000000001</v>
      </c>
      <c r="D2">
        <v>0.65500000000000003</v>
      </c>
      <c r="E2" s="9">
        <f>B2+C2*A2^(-2)+D2*A2^(-4)</f>
        <v>53.958439900563704</v>
      </c>
      <c r="F2" s="9"/>
    </row>
    <row r="3" spans="1:16" x14ac:dyDescent="0.25">
      <c r="A3" s="9" t="s">
        <v>22</v>
      </c>
      <c r="B3" s="9"/>
      <c r="C3" s="9"/>
      <c r="D3" s="9"/>
      <c r="E3" s="9" t="s">
        <v>25</v>
      </c>
      <c r="F3" s="9"/>
      <c r="G3" s="9"/>
      <c r="H3" s="9"/>
      <c r="I3" s="9" t="s">
        <v>26</v>
      </c>
      <c r="J3" s="9"/>
      <c r="K3" s="9"/>
      <c r="L3" s="9"/>
    </row>
    <row r="4" spans="1:16" x14ac:dyDescent="0.25">
      <c r="A4" t="s">
        <v>17</v>
      </c>
      <c r="B4" s="1" t="s">
        <v>18</v>
      </c>
      <c r="E4" t="s">
        <v>17</v>
      </c>
      <c r="F4" s="1" t="s">
        <v>18</v>
      </c>
      <c r="I4" t="s">
        <v>17</v>
      </c>
      <c r="J4" s="1" t="s">
        <v>18</v>
      </c>
    </row>
    <row r="5" spans="1:16" x14ac:dyDescent="0.25">
      <c r="A5">
        <v>1.07</v>
      </c>
      <c r="B5">
        <v>0.01</v>
      </c>
      <c r="E5">
        <v>1.0900000000000001</v>
      </c>
      <c r="F5">
        <v>0.01</v>
      </c>
      <c r="I5">
        <v>1.0900000000000001</v>
      </c>
      <c r="J5">
        <v>0.01</v>
      </c>
    </row>
    <row r="6" spans="1:16" x14ac:dyDescent="0.25">
      <c r="A6" s="1" t="s">
        <v>8</v>
      </c>
      <c r="B6" t="s">
        <v>7</v>
      </c>
      <c r="C6" t="s">
        <v>19</v>
      </c>
      <c r="D6" t="s">
        <v>21</v>
      </c>
      <c r="E6" s="1" t="s">
        <v>8</v>
      </c>
      <c r="F6" t="s">
        <v>7</v>
      </c>
      <c r="G6" t="s">
        <v>19</v>
      </c>
      <c r="H6" t="s">
        <v>21</v>
      </c>
      <c r="I6" s="1" t="s">
        <v>8</v>
      </c>
      <c r="J6" t="s">
        <v>7</v>
      </c>
      <c r="K6" t="s">
        <v>19</v>
      </c>
      <c r="L6" t="s">
        <v>21</v>
      </c>
    </row>
    <row r="7" spans="1:16" x14ac:dyDescent="0.25">
      <c r="A7">
        <v>20</v>
      </c>
      <c r="B7">
        <f>(338-360)</f>
        <v>-22</v>
      </c>
      <c r="C7">
        <f>B7-A7</f>
        <v>-42</v>
      </c>
      <c r="D7">
        <v>2</v>
      </c>
      <c r="E7">
        <v>182</v>
      </c>
      <c r="F7">
        <v>138</v>
      </c>
      <c r="G7">
        <f>F7-E7</f>
        <v>-44</v>
      </c>
      <c r="H7">
        <v>2</v>
      </c>
      <c r="I7">
        <v>189</v>
      </c>
      <c r="J7">
        <v>149</v>
      </c>
      <c r="K7">
        <f>J7-I7</f>
        <v>-40</v>
      </c>
      <c r="L7">
        <v>2</v>
      </c>
    </row>
    <row r="8" spans="1:16" x14ac:dyDescent="0.25">
      <c r="A8">
        <v>20</v>
      </c>
      <c r="B8">
        <f>(336-360)</f>
        <v>-24</v>
      </c>
      <c r="C8">
        <f t="shared" ref="C8:C14" si="0">B8-A8</f>
        <v>-44</v>
      </c>
      <c r="D8">
        <v>2</v>
      </c>
      <c r="E8">
        <v>183</v>
      </c>
      <c r="F8">
        <v>137</v>
      </c>
      <c r="G8">
        <f t="shared" ref="G8:G14" si="1">F8-E8</f>
        <v>-46</v>
      </c>
      <c r="H8">
        <v>2</v>
      </c>
      <c r="I8">
        <v>189</v>
      </c>
      <c r="J8">
        <v>149</v>
      </c>
      <c r="K8">
        <f t="shared" ref="K8:K14" si="2">J8-I8</f>
        <v>-40</v>
      </c>
      <c r="L8">
        <v>2</v>
      </c>
    </row>
    <row r="9" spans="1:16" x14ac:dyDescent="0.25">
      <c r="A9">
        <v>20</v>
      </c>
      <c r="B9">
        <f>(337-360)</f>
        <v>-23</v>
      </c>
      <c r="C9">
        <f t="shared" si="0"/>
        <v>-43</v>
      </c>
      <c r="D9">
        <v>2</v>
      </c>
      <c r="E9">
        <v>196</v>
      </c>
      <c r="F9">
        <v>154</v>
      </c>
      <c r="G9">
        <f t="shared" si="1"/>
        <v>-42</v>
      </c>
      <c r="H9">
        <v>2</v>
      </c>
      <c r="I9">
        <v>358</v>
      </c>
      <c r="J9">
        <v>316</v>
      </c>
      <c r="K9">
        <f t="shared" si="2"/>
        <v>-42</v>
      </c>
      <c r="L9">
        <v>2</v>
      </c>
    </row>
    <row r="10" spans="1:16" x14ac:dyDescent="0.25">
      <c r="A10">
        <v>17</v>
      </c>
      <c r="B10" s="3">
        <f>334-360</f>
        <v>-26</v>
      </c>
      <c r="C10">
        <f t="shared" si="0"/>
        <v>-43</v>
      </c>
      <c r="D10">
        <v>2</v>
      </c>
      <c r="E10">
        <v>198</v>
      </c>
      <c r="F10">
        <v>152</v>
      </c>
      <c r="G10">
        <f t="shared" si="1"/>
        <v>-46</v>
      </c>
      <c r="H10">
        <v>2</v>
      </c>
      <c r="I10">
        <v>359</v>
      </c>
      <c r="J10">
        <v>316</v>
      </c>
      <c r="K10">
        <f t="shared" si="2"/>
        <v>-43</v>
      </c>
      <c r="L10">
        <v>2</v>
      </c>
    </row>
    <row r="11" spans="1:16" x14ac:dyDescent="0.25">
      <c r="A11">
        <v>17</v>
      </c>
      <c r="B11">
        <f>(335-360)</f>
        <v>-25</v>
      </c>
      <c r="C11">
        <f t="shared" si="0"/>
        <v>-42</v>
      </c>
      <c r="D11">
        <v>2</v>
      </c>
      <c r="E11">
        <v>358</v>
      </c>
      <c r="F11">
        <v>313</v>
      </c>
      <c r="G11">
        <f t="shared" si="1"/>
        <v>-45</v>
      </c>
      <c r="H11">
        <v>2</v>
      </c>
      <c r="I11">
        <v>9</v>
      </c>
      <c r="J11">
        <v>326</v>
      </c>
      <c r="K11">
        <f>-I11-(360-J11)</f>
        <v>-43</v>
      </c>
      <c r="L11">
        <v>2</v>
      </c>
    </row>
    <row r="12" spans="1:16" x14ac:dyDescent="0.25">
      <c r="A12">
        <v>189</v>
      </c>
      <c r="B12">
        <v>145</v>
      </c>
      <c r="C12">
        <f t="shared" si="0"/>
        <v>-44</v>
      </c>
      <c r="D12">
        <v>2</v>
      </c>
      <c r="E12">
        <v>357</v>
      </c>
      <c r="F12">
        <v>312</v>
      </c>
      <c r="G12">
        <f t="shared" si="1"/>
        <v>-45</v>
      </c>
      <c r="H12">
        <v>2</v>
      </c>
      <c r="I12">
        <v>11</v>
      </c>
      <c r="J12">
        <v>328</v>
      </c>
      <c r="K12">
        <f>-(360-J12+I12)</f>
        <v>-43</v>
      </c>
      <c r="L12">
        <v>2</v>
      </c>
      <c r="N12">
        <v>51</v>
      </c>
      <c r="P12">
        <v>229</v>
      </c>
    </row>
    <row r="13" spans="1:16" x14ac:dyDescent="0.25">
      <c r="A13">
        <v>187</v>
      </c>
      <c r="B13">
        <v>145</v>
      </c>
      <c r="C13">
        <f t="shared" si="0"/>
        <v>-42</v>
      </c>
      <c r="D13">
        <v>2</v>
      </c>
      <c r="E13">
        <v>190</v>
      </c>
      <c r="F13">
        <v>144</v>
      </c>
      <c r="G13">
        <f t="shared" si="1"/>
        <v>-46</v>
      </c>
      <c r="H13">
        <v>2</v>
      </c>
      <c r="I13">
        <v>0</v>
      </c>
      <c r="J13">
        <v>316</v>
      </c>
      <c r="K13">
        <f>J13-I13-360</f>
        <v>-44</v>
      </c>
      <c r="L13">
        <v>2</v>
      </c>
    </row>
    <row r="14" spans="1:16" x14ac:dyDescent="0.25">
      <c r="A14">
        <v>47</v>
      </c>
      <c r="B14">
        <v>5</v>
      </c>
      <c r="C14">
        <f t="shared" si="0"/>
        <v>-42</v>
      </c>
      <c r="D14">
        <v>2</v>
      </c>
      <c r="E14">
        <v>190</v>
      </c>
      <c r="F14">
        <v>147</v>
      </c>
      <c r="G14">
        <f t="shared" si="1"/>
        <v>-43</v>
      </c>
      <c r="H14">
        <v>2</v>
      </c>
      <c r="I14">
        <v>359</v>
      </c>
      <c r="J14">
        <v>317</v>
      </c>
      <c r="K14">
        <f t="shared" si="2"/>
        <v>-42</v>
      </c>
      <c r="L14">
        <v>2</v>
      </c>
    </row>
    <row r="15" spans="1:16" x14ac:dyDescent="0.25">
      <c r="A15" t="s">
        <v>20</v>
      </c>
      <c r="B15" t="s">
        <v>21</v>
      </c>
      <c r="E15" t="s">
        <v>20</v>
      </c>
      <c r="F15" t="s">
        <v>21</v>
      </c>
      <c r="I15" t="s">
        <v>20</v>
      </c>
      <c r="J15" t="s">
        <v>21</v>
      </c>
      <c r="N15" t="s">
        <v>50</v>
      </c>
      <c r="P15" t="s">
        <v>49</v>
      </c>
    </row>
    <row r="16" spans="1:16" x14ac:dyDescent="0.25">
      <c r="A16">
        <f>AVERAGE(C7:C14)</f>
        <v>-42.75</v>
      </c>
      <c r="B16">
        <f>_xlfn.STDEV.S(C7:C14)/SQRT(8)</f>
        <v>0.31339158526400435</v>
      </c>
      <c r="E16">
        <f>AVERAGE(G7:G14)</f>
        <v>-44.625</v>
      </c>
      <c r="F16">
        <f>_xlfn.STDEV.S(G7:G14)/SQRT(8)</f>
        <v>0.53243041128127044</v>
      </c>
      <c r="I16">
        <f>AVERAGE(K7:K14)</f>
        <v>-42.125</v>
      </c>
      <c r="J16">
        <f>_xlfn.STDEV.S(K7:K14)/SQRT(8)</f>
        <v>0.51538820320220757</v>
      </c>
      <c r="N16">
        <f>A16+E16+I16</f>
        <v>-129.5</v>
      </c>
      <c r="P16">
        <f>359-229</f>
        <v>130</v>
      </c>
    </row>
    <row r="17" spans="1:10" x14ac:dyDescent="0.25">
      <c r="A17" t="s">
        <v>23</v>
      </c>
      <c r="B17" t="s">
        <v>24</v>
      </c>
      <c r="E17" t="s">
        <v>23</v>
      </c>
      <c r="F17" t="s">
        <v>24</v>
      </c>
      <c r="I17" t="s">
        <v>23</v>
      </c>
      <c r="J17" t="s">
        <v>24</v>
      </c>
    </row>
    <row r="18" spans="1:10" x14ac:dyDescent="0.25">
      <c r="A18">
        <f>-A16/(E2*A5)</f>
        <v>0.74044525938230454</v>
      </c>
      <c r="B18">
        <f>A18*(B5/A5-2/A16)</f>
        <v>4.1560763042336274E-2</v>
      </c>
      <c r="E18">
        <f>-E16/(E2*E5)</f>
        <v>0.7587388932653214</v>
      </c>
      <c r="F18">
        <f>E18*(F5/E5-2/E16)</f>
        <v>4.0966011737733926E-2</v>
      </c>
      <c r="I18">
        <f>-I16/(E2*I5)</f>
        <v>0.71623251269023336</v>
      </c>
      <c r="J18">
        <f>I18*(J5/I5-2/I16)</f>
        <v>4.0576044943467067E-2</v>
      </c>
    </row>
    <row r="23" spans="1:10" x14ac:dyDescent="0.25">
      <c r="E23" t="s">
        <v>51</v>
      </c>
    </row>
    <row r="24" spans="1:10" x14ac:dyDescent="0.25">
      <c r="E24" t="s">
        <v>23</v>
      </c>
      <c r="F24" t="s">
        <v>52</v>
      </c>
    </row>
    <row r="25" spans="1:10" x14ac:dyDescent="0.25">
      <c r="E25">
        <f>((1/B18^2) * A18  + (1/F18^2) * E18  +  (1/J18^2) * I18)  /  (1/B18^2 + 1/F18^2 + 1/J18^2)</f>
        <v>0.73830986207982618</v>
      </c>
      <c r="F25">
        <f>1  /  (1/B18^2 + 1/F18^2 + 1/J18^2)</f>
        <v>5.6110712834281081E-4</v>
      </c>
    </row>
  </sheetData>
  <mergeCells count="5">
    <mergeCell ref="A3:D3"/>
    <mergeCell ref="E3:H3"/>
    <mergeCell ref="I3:L3"/>
    <mergeCell ref="E1:F1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Legge di Malus (2)</vt:lpstr>
      <vt:lpstr>Legge di Malus</vt:lpstr>
      <vt:lpstr>Potere rotatorio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MADONNA</dc:creator>
  <cp:lastModifiedBy>MATTEO MARIA RUCCO</cp:lastModifiedBy>
  <dcterms:created xsi:type="dcterms:W3CDTF">2025-05-25T12:43:23Z</dcterms:created>
  <dcterms:modified xsi:type="dcterms:W3CDTF">2025-06-04T12:58:15Z</dcterms:modified>
</cp:coreProperties>
</file>