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Lima\Desktop\Estatistica\"/>
    </mc:Choice>
  </mc:AlternateContent>
  <xr:revisionPtr revIDLastSave="0" documentId="13_ncr:1_{91437399-3CDA-4A62-AF4E-B84A33B426F2}" xr6:coauthVersionLast="47" xr6:coauthVersionMax="47" xr10:uidLastSave="{00000000-0000-0000-0000-000000000000}"/>
  <bookViews>
    <workbookView xWindow="-28920" yWindow="-120" windowWidth="29040" windowHeight="15840" xr2:uid="{47582722-128C-4D45-9736-33551C545E8B}"/>
  </bookViews>
  <sheets>
    <sheet name="2SIA SUB" sheetId="2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2" l="1"/>
  <c r="B45" i="2"/>
  <c r="B30" i="2"/>
  <c r="C30" i="2"/>
  <c r="C29" i="2"/>
  <c r="D24" i="2"/>
  <c r="D28" i="2"/>
  <c r="D25" i="2"/>
  <c r="E11" i="2"/>
  <c r="M22" i="2"/>
  <c r="O22" i="2" s="1"/>
  <c r="P14" i="2"/>
  <c r="P12" i="2"/>
  <c r="P10" i="2"/>
  <c r="P8" i="2"/>
  <c r="E16" i="2"/>
  <c r="E13" i="2"/>
  <c r="E17" i="2" l="1"/>
  <c r="E15" i="2"/>
  <c r="F4" i="2" l="1"/>
  <c r="F5" i="2" l="1"/>
  <c r="E12" i="2"/>
  <c r="E14" i="2"/>
  <c r="C11" i="2" l="1"/>
  <c r="B12" i="2" s="1"/>
  <c r="C12" i="2" s="1"/>
  <c r="B13" i="2" s="1"/>
  <c r="E18" i="2"/>
  <c r="D11" i="2" l="1"/>
  <c r="C13" i="2"/>
  <c r="B14" i="2" s="1"/>
  <c r="D12" i="2"/>
  <c r="F12" i="2" l="1"/>
  <c r="G12" i="2"/>
  <c r="G11" i="2"/>
  <c r="F11" i="2"/>
  <c r="D13" i="2"/>
  <c r="C14" i="2"/>
  <c r="B15" i="2" s="1"/>
  <c r="F13" i="2" l="1"/>
  <c r="G13" i="2"/>
  <c r="C15" i="2"/>
  <c r="B16" i="2" s="1"/>
  <c r="D14" i="2"/>
  <c r="F14" i="2" l="1"/>
  <c r="G14" i="2"/>
  <c r="C16" i="2"/>
  <c r="B17" i="2" s="1"/>
  <c r="D15" i="2"/>
  <c r="F15" i="2" l="1"/>
  <c r="G15" i="2"/>
  <c r="D16" i="2"/>
  <c r="C17" i="2"/>
  <c r="D17" i="2" s="1"/>
  <c r="F17" i="2" l="1"/>
  <c r="G17" i="2"/>
  <c r="F16" i="2"/>
  <c r="G16" i="2"/>
  <c r="F18" i="2" l="1"/>
  <c r="D20" i="2" s="1"/>
  <c r="G18" i="2"/>
  <c r="Y16" i="2" l="1"/>
  <c r="U16" i="2"/>
  <c r="R10" i="2"/>
  <c r="R14" i="2"/>
  <c r="R12" i="2"/>
  <c r="R6" i="2"/>
  <c r="T6" i="2"/>
  <c r="R4" i="2"/>
  <c r="R2" i="2"/>
  <c r="T4" i="2"/>
  <c r="R8" i="2"/>
  <c r="T2" i="2"/>
  <c r="B54" i="2"/>
  <c r="B33" i="2"/>
  <c r="B26" i="2"/>
  <c r="B53" i="2"/>
  <c r="B25" i="2"/>
  <c r="B49" i="2"/>
  <c r="B41" i="2"/>
  <c r="B29" i="2"/>
  <c r="B37" i="2"/>
  <c r="B34" i="2"/>
  <c r="D22" i="2"/>
  <c r="N23" i="2" s="1"/>
  <c r="AJ16" i="2" l="1"/>
  <c r="M18" i="2"/>
  <c r="N18" i="2" s="1"/>
  <c r="K18" i="2"/>
  <c r="L18" i="2" s="1"/>
  <c r="AD16" i="2"/>
  <c r="AE16" i="2"/>
  <c r="M19" i="2"/>
  <c r="K19" i="2"/>
  <c r="L19" i="2" s="1"/>
  <c r="AL16" i="2"/>
  <c r="AH16" i="2"/>
  <c r="Z4" i="2"/>
  <c r="X2" i="2"/>
  <c r="AC4" i="2"/>
  <c r="AC2" i="2"/>
  <c r="AC8" i="2"/>
  <c r="AE8" i="2" s="1"/>
  <c r="AC12" i="2"/>
  <c r="AE12" i="2" s="1"/>
  <c r="X12" i="2"/>
  <c r="AC14" i="2"/>
  <c r="AE14" i="2" s="1"/>
  <c r="X14" i="2"/>
  <c r="AC10" i="2"/>
  <c r="AE10" i="2" s="1"/>
  <c r="X10" i="2"/>
  <c r="X8" i="2"/>
  <c r="AE4" i="2"/>
  <c r="X4" i="2"/>
  <c r="AE6" i="2"/>
  <c r="Z6" i="2"/>
  <c r="AC6" i="2"/>
  <c r="X6" i="2"/>
  <c r="AE2" i="2"/>
  <c r="Z2" i="2"/>
  <c r="C25" i="2"/>
  <c r="D57" i="2"/>
  <c r="D56" i="2" s="1"/>
  <c r="E41" i="2"/>
  <c r="E40" i="2" s="1"/>
  <c r="D41" i="2"/>
  <c r="D40" i="2" s="1"/>
  <c r="C41" i="2"/>
  <c r="E49" i="2"/>
  <c r="E48" i="2" s="1"/>
  <c r="D49" i="2"/>
  <c r="D30" i="2"/>
  <c r="D45" i="2"/>
  <c r="D44" i="2" s="1"/>
  <c r="E45" i="2"/>
  <c r="E44" i="2" s="1"/>
  <c r="C45" i="2"/>
  <c r="E34" i="2"/>
  <c r="D34" i="2"/>
  <c r="C34" i="2"/>
  <c r="D37" i="2"/>
  <c r="D29" i="2"/>
  <c r="D33" i="2"/>
  <c r="D26" i="2"/>
  <c r="E26" i="2"/>
  <c r="C26" i="2"/>
  <c r="E25" i="2"/>
  <c r="AN16" i="2" l="1"/>
  <c r="L17" i="2"/>
  <c r="M17" i="2"/>
  <c r="N19" i="2"/>
  <c r="N17" i="2" s="1"/>
  <c r="AG4" i="2"/>
  <c r="AG2" i="2"/>
  <c r="AG6" i="2"/>
  <c r="D32" i="2"/>
  <c r="E24" i="2"/>
  <c r="E30" i="2" l="1"/>
  <c r="E29" i="2"/>
  <c r="E28" i="2" l="1"/>
  <c r="E33" i="2" l="1"/>
  <c r="E32" i="2" s="1"/>
  <c r="C33" i="2"/>
  <c r="E37" i="2" l="1"/>
  <c r="E36" i="2" s="1"/>
  <c r="C37" i="2"/>
  <c r="D36" i="2" l="1"/>
  <c r="D48" i="2" l="1"/>
  <c r="F53" i="2" l="1"/>
  <c r="F54" i="2"/>
  <c r="C54" i="2"/>
  <c r="D54" i="2"/>
  <c r="E54" i="2" s="1"/>
  <c r="G54" i="2" l="1"/>
  <c r="G53" i="2"/>
  <c r="F52" i="2"/>
  <c r="C53" i="2"/>
  <c r="D53" i="2"/>
  <c r="E53" i="2" s="1"/>
  <c r="E52" i="2" s="1"/>
  <c r="G52" i="2" l="1"/>
</calcChain>
</file>

<file path=xl/sharedStrings.xml><?xml version="1.0" encoding="utf-8"?>
<sst xmlns="http://schemas.openxmlformats.org/spreadsheetml/2006/main" count="196" uniqueCount="65">
  <si>
    <t>COMPLETAR AS CÉLULAS QUE ESTÃO COM PREENCHIMENTO NA COR VERMELHA PARA OBSERVAR OS RESULTADOS</t>
  </si>
  <si>
    <t>QUESTÃO 3</t>
  </si>
  <si>
    <t>P (</t>
  </si>
  <si>
    <t>.M</t>
  </si>
  <si>
    <t>&lt; S &lt;</t>
  </si>
  <si>
    <t>.M)</t>
  </si>
  <si>
    <t>=</t>
  </si>
  <si>
    <t>)</t>
  </si>
  <si>
    <t>&lt; Z &lt;</t>
  </si>
  <si>
    <t>+</t>
  </si>
  <si>
    <t>1.o ALGARISMO DO RM (ESQUERDA PARA DIREITA)</t>
  </si>
  <si>
    <t>R =</t>
  </si>
  <si>
    <t>QUESTÃO 4</t>
  </si>
  <si>
    <t>-</t>
  </si>
  <si>
    <t>2.o ALGARISMO DO RM (ESQUERDA PARA DIREITA)</t>
  </si>
  <si>
    <t>H =</t>
  </si>
  <si>
    <t>3.o ALGARISMO DO RM (ESQUERDA PARA DIREITA)</t>
  </si>
  <si>
    <t>QUESTÃO 5</t>
  </si>
  <si>
    <t>4.o ALGARISMO DO RM (ESQUERDA PARA DIREITA)</t>
  </si>
  <si>
    <t>5.o ALGARISMO DO RM (ESQUERDA PARA DIREITA)</t>
  </si>
  <si>
    <t>QUESTÃO 6</t>
  </si>
  <si>
    <t xml:space="preserve"> S    &lt;</t>
  </si>
  <si>
    <t>Z    &lt;</t>
  </si>
  <si>
    <t>[Apoio para Média Aritmética]</t>
  </si>
  <si>
    <t>[Apoio para Desvio Padrão]</t>
  </si>
  <si>
    <t>Limite Inferior da classe</t>
  </si>
  <si>
    <t>Limite Superior da classe</t>
  </si>
  <si>
    <t>QUESTÃO 7</t>
  </si>
  <si>
    <t>QUESTÃO 8</t>
  </si>
  <si>
    <t xml:space="preserve"> S    &gt;</t>
  </si>
  <si>
    <t>Z    &gt;</t>
  </si>
  <si>
    <t>QUESTÃO 9</t>
  </si>
  <si>
    <t>QUESTÃO 10</t>
  </si>
  <si>
    <t>S &lt;</t>
  </si>
  <si>
    <t>ou</t>
  </si>
  <si>
    <t>S &gt;</t>
  </si>
  <si>
    <t>Z &lt;</t>
  </si>
  <si>
    <t>Z &gt;</t>
  </si>
  <si>
    <t>Auxiliar</t>
  </si>
  <si>
    <t>TOTAL</t>
  </si>
  <si>
    <t>QUESTÃO 1</t>
  </si>
  <si>
    <t>Média Aritmética</t>
  </si>
  <si>
    <t>QUESTÃO 11</t>
  </si>
  <si>
    <t xml:space="preserve">P(S &lt; N) = </t>
  </si>
  <si>
    <t>QUESTÃO 2</t>
  </si>
  <si>
    <t>Desvio Padrão</t>
  </si>
  <si>
    <t>P(0 &lt; S &lt; N) =</t>
  </si>
  <si>
    <t>Þ</t>
  </si>
  <si>
    <t>Z =</t>
  </si>
  <si>
    <t>N =</t>
  </si>
  <si>
    <t>P(0,80M &lt; S &lt; 1,15M) =</t>
  </si>
  <si>
    <t>P(1,10M &lt; S &lt; 1,20M) =</t>
  </si>
  <si>
    <t>P(0,75M &lt; S &lt; 0,95M) =</t>
  </si>
  <si>
    <t>P(S &lt; 1,25M) =</t>
  </si>
  <si>
    <t>Apoio</t>
  </si>
  <si>
    <t>P(S &lt; 0,85M) =</t>
  </si>
  <si>
    <t>P(S &gt; 1,05M) =</t>
  </si>
  <si>
    <t>P(S &gt; 0,90M) =</t>
  </si>
  <si>
    <t>P(S &lt; 0,82M ou S &gt; 1,28M) =</t>
  </si>
  <si>
    <t>P(S &lt; N) = 26,11%</t>
  </si>
  <si>
    <r>
      <rPr>
        <b/>
        <sz val="11"/>
        <color theme="1"/>
        <rFont val="Calibri"/>
        <family val="2"/>
        <scheme val="minor"/>
      </rPr>
      <t>x</t>
    </r>
    <r>
      <rPr>
        <b/>
        <vertAlign val="subscript"/>
        <sz val="11"/>
        <color theme="1"/>
        <rFont val="Calibri"/>
        <family val="2"/>
        <scheme val="minor"/>
      </rPr>
      <t>i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(Ponto Médio da Classe)</t>
    </r>
  </si>
  <si>
    <r>
      <t>f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 xml:space="preserve"> (Número de funcionários)</t>
    </r>
  </si>
  <si>
    <r>
      <t>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.f</t>
    </r>
    <r>
      <rPr>
        <vertAlign val="subscript"/>
        <sz val="11"/>
        <color theme="1"/>
        <rFont val="Calibri"/>
        <family val="2"/>
        <scheme val="minor"/>
      </rPr>
      <t>i</t>
    </r>
  </si>
  <si>
    <r>
      <t>[x</t>
    </r>
    <r>
      <rPr>
        <vertAlign val="subscript"/>
        <sz val="11"/>
        <color theme="1"/>
        <rFont val="Calibri"/>
        <family val="2"/>
        <scheme val="minor"/>
      </rPr>
      <t>i</t>
    </r>
    <r>
      <rPr>
        <sz val="11"/>
        <color theme="1"/>
        <rFont val="Calibri"/>
        <family val="2"/>
        <scheme val="minor"/>
      </rPr>
      <t>]².f</t>
    </r>
    <r>
      <rPr>
        <vertAlign val="subscript"/>
        <sz val="11"/>
        <color theme="1"/>
        <rFont val="Calibri"/>
        <family val="2"/>
        <scheme val="minor"/>
      </rPr>
      <t>i</t>
    </r>
  </si>
  <si>
    <r>
      <t xml:space="preserve">P(0 &lt; S &lt; N) = 50% - 26,11% = 23,89% </t>
    </r>
    <r>
      <rPr>
        <b/>
        <sz val="11"/>
        <rFont val="Symbol"/>
        <family val="1"/>
        <charset val="2"/>
      </rPr>
      <t>Þ</t>
    </r>
    <r>
      <rPr>
        <b/>
        <sz val="11"/>
        <rFont val="Calibri"/>
        <family val="2"/>
        <scheme val="minor"/>
      </rPr>
      <t xml:space="preserve"> z =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</si>
</sst>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4" x14ac:knownFonts="1">
    <font>
      <sz val="11"/>
      <color theme="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00009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C00000"/>
      <name val="Arial"/>
      <family val="2"/>
    </font>
    <font>
      <b/>
      <sz val="11"/>
      <color theme="1"/>
      <name val="Arial"/>
      <family val="2"/>
    </font>
    <font>
      <sz val="11"/>
      <color rgb="FFFF0000"/>
      <name val="Arial"/>
      <family val="2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2060"/>
      <name val="Arial"/>
      <family val="2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name val="Arial"/>
      <family val="2"/>
    </font>
    <font>
      <b/>
      <sz val="11"/>
      <color rgb="FFFF0000"/>
      <name val="Arial"/>
      <family val="2"/>
    </font>
    <font>
      <sz val="11"/>
      <name val="Symbol"/>
      <family val="1"/>
      <charset val="2"/>
    </font>
    <font>
      <sz val="11"/>
      <name val="Arial"/>
      <family val="2"/>
    </font>
    <font>
      <b/>
      <sz val="11"/>
      <name val="Symbol"/>
      <family val="1"/>
      <charset val="2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7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7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right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9" fillId="17" borderId="6" xfId="0" applyFont="1" applyFill="1" applyBorder="1" applyAlignment="1">
      <alignment horizontal="center" vertical="center"/>
    </xf>
    <xf numFmtId="0" fontId="10" fillId="10" borderId="9" xfId="0" applyFont="1" applyFill="1" applyBorder="1" applyAlignment="1">
      <alignment horizontal="right" vertical="center"/>
    </xf>
    <xf numFmtId="2" fontId="10" fillId="10" borderId="7" xfId="0" applyNumberFormat="1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center" vertical="center"/>
    </xf>
    <xf numFmtId="2" fontId="10" fillId="10" borderId="7" xfId="0" applyNumberFormat="1" applyFont="1" applyFill="1" applyBorder="1" applyAlignment="1">
      <alignment horizontal="right" vertical="center"/>
    </xf>
    <xf numFmtId="0" fontId="7" fillId="10" borderId="7" xfId="0" applyFont="1" applyFill="1" applyBorder="1" applyAlignment="1">
      <alignment horizontal="center" vertical="center"/>
    </xf>
    <xf numFmtId="0" fontId="10" fillId="10" borderId="7" xfId="0" applyFont="1" applyFill="1" applyBorder="1" applyAlignment="1">
      <alignment horizontal="right" vertical="center"/>
    </xf>
    <xf numFmtId="164" fontId="10" fillId="10" borderId="7" xfId="0" applyNumberFormat="1" applyFont="1" applyFill="1" applyBorder="1" applyAlignment="1">
      <alignment horizontal="center" vertical="center"/>
    </xf>
    <xf numFmtId="10" fontId="9" fillId="10" borderId="7" xfId="0" applyNumberFormat="1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10" fontId="9" fillId="17" borderId="8" xfId="0" applyNumberFormat="1" applyFont="1" applyFill="1" applyBorder="1" applyAlignment="1">
      <alignment horizontal="center" vertical="center"/>
    </xf>
    <xf numFmtId="0" fontId="9" fillId="1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" fillId="4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10" fillId="10" borderId="7" xfId="0" applyFont="1" applyFill="1" applyBorder="1" applyAlignment="1">
      <alignment vertical="center"/>
    </xf>
    <xf numFmtId="164" fontId="10" fillId="10" borderId="7" xfId="0" applyNumberFormat="1" applyFont="1" applyFill="1" applyBorder="1" applyAlignment="1">
      <alignment horizontal="center" vertical="center"/>
    </xf>
    <xf numFmtId="2" fontId="10" fillId="10" borderId="7" xfId="0" applyNumberFormat="1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164" fontId="5" fillId="7" borderId="1" xfId="0" applyNumberFormat="1" applyFont="1" applyFill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0" fillId="6" borderId="1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164" fontId="6" fillId="9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64" fontId="0" fillId="11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10" fontId="9" fillId="17" borderId="10" xfId="1" applyNumberFormat="1" applyFont="1" applyFill="1" applyBorder="1" applyAlignment="1">
      <alignment horizontal="center"/>
    </xf>
    <xf numFmtId="10" fontId="15" fillId="10" borderId="10" xfId="1" applyNumberFormat="1" applyFont="1" applyFill="1" applyBorder="1" applyAlignment="1">
      <alignment horizontal="center" vertical="center"/>
    </xf>
    <xf numFmtId="0" fontId="16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64" fontId="0" fillId="10" borderId="1" xfId="0" applyNumberFormat="1" applyFont="1" applyFill="1" applyBorder="1" applyAlignment="1">
      <alignment horizontal="center" vertical="center"/>
    </xf>
    <xf numFmtId="10" fontId="10" fillId="18" borderId="1" xfId="0" applyNumberFormat="1" applyFont="1" applyFill="1" applyBorder="1" applyAlignment="1">
      <alignment horizontal="center" vertical="center"/>
    </xf>
    <xf numFmtId="10" fontId="10" fillId="16" borderId="1" xfId="0" applyNumberFormat="1" applyFont="1" applyFill="1" applyBorder="1" applyAlignment="1">
      <alignment horizontal="center" vertical="center"/>
    </xf>
    <xf numFmtId="10" fontId="10" fillId="14" borderId="1" xfId="0" applyNumberFormat="1" applyFont="1" applyFill="1" applyBorder="1" applyAlignment="1">
      <alignment horizontal="center" vertical="center"/>
    </xf>
    <xf numFmtId="0" fontId="17" fillId="17" borderId="1" xfId="0" applyFont="1" applyFill="1" applyBorder="1" applyAlignment="1">
      <alignment horizontal="center" vertical="center"/>
    </xf>
    <xf numFmtId="0" fontId="18" fillId="3" borderId="1" xfId="0" applyFont="1" applyFill="1" applyBorder="1" applyAlignment="1">
      <alignment horizontal="center"/>
    </xf>
    <xf numFmtId="164" fontId="17" fillId="17" borderId="2" xfId="0" applyNumberFormat="1" applyFont="1" applyFill="1" applyBorder="1" applyAlignment="1">
      <alignment horizontal="center"/>
    </xf>
    <xf numFmtId="0" fontId="9" fillId="17" borderId="12" xfId="0" applyFont="1" applyFill="1" applyBorder="1" applyAlignment="1">
      <alignment horizontal="center" vertical="center"/>
    </xf>
    <xf numFmtId="0" fontId="19" fillId="10" borderId="9" xfId="0" applyFont="1" applyFill="1" applyBorder="1" applyAlignment="1">
      <alignment horizontal="center" vertical="center"/>
    </xf>
    <xf numFmtId="10" fontId="19" fillId="10" borderId="8" xfId="0" applyNumberFormat="1" applyFont="1" applyFill="1" applyBorder="1" applyAlignment="1">
      <alignment horizontal="center" vertical="center"/>
    </xf>
    <xf numFmtId="0" fontId="17" fillId="12" borderId="1" xfId="0" applyFont="1" applyFill="1" applyBorder="1" applyAlignment="1">
      <alignment horizontal="center" vertical="center"/>
    </xf>
    <xf numFmtId="0" fontId="18" fillId="15" borderId="1" xfId="0" applyFont="1" applyFill="1" applyBorder="1" applyAlignment="1">
      <alignment horizontal="center"/>
    </xf>
    <xf numFmtId="164" fontId="17" fillId="12" borderId="2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 vertical="center"/>
    </xf>
    <xf numFmtId="0" fontId="19" fillId="10" borderId="7" xfId="0" applyFont="1" applyFill="1" applyBorder="1" applyAlignment="1">
      <alignment horizontal="center" vertical="center"/>
    </xf>
    <xf numFmtId="9" fontId="19" fillId="10" borderId="7" xfId="0" applyNumberFormat="1" applyFont="1" applyFill="1" applyBorder="1" applyAlignment="1">
      <alignment horizontal="center" vertical="center"/>
    </xf>
    <xf numFmtId="0" fontId="20" fillId="2" borderId="7" xfId="0" applyFont="1" applyFill="1" applyBorder="1" applyAlignment="1">
      <alignment horizontal="center" vertical="center"/>
    </xf>
    <xf numFmtId="10" fontId="19" fillId="10" borderId="7" xfId="0" applyNumberFormat="1" applyFont="1" applyFill="1" applyBorder="1" applyAlignment="1">
      <alignment horizontal="center" vertical="center"/>
    </xf>
    <xf numFmtId="10" fontId="20" fillId="10" borderId="7" xfId="1" applyNumberFormat="1" applyFont="1" applyFill="1" applyBorder="1" applyAlignment="1">
      <alignment horizontal="center" vertical="center"/>
    </xf>
    <xf numFmtId="0" fontId="21" fillId="10" borderId="7" xfId="0" applyFont="1" applyFill="1" applyBorder="1" applyAlignment="1">
      <alignment horizontal="center" vertical="center"/>
    </xf>
    <xf numFmtId="0" fontId="22" fillId="10" borderId="7" xfId="0" applyFont="1" applyFill="1" applyBorder="1" applyAlignment="1">
      <alignment horizontal="center" vertical="center"/>
    </xf>
    <xf numFmtId="0" fontId="20" fillId="10" borderId="7" xfId="0" applyFont="1" applyFill="1" applyBorder="1" applyAlignment="1">
      <alignment horizontal="center" vertical="center"/>
    </xf>
    <xf numFmtId="0" fontId="9" fillId="17" borderId="7" xfId="0" applyFont="1" applyFill="1" applyBorder="1" applyAlignment="1">
      <alignment horizontal="center" vertical="center"/>
    </xf>
    <xf numFmtId="164" fontId="9" fillId="17" borderId="7" xfId="0" applyNumberFormat="1" applyFont="1" applyFill="1" applyBorder="1" applyAlignment="1">
      <alignment horizontal="center" vertical="center"/>
    </xf>
    <xf numFmtId="0" fontId="9" fillId="17" borderId="11" xfId="0" applyFont="1" applyFill="1" applyBorder="1" applyAlignment="1">
      <alignment horizontal="center" vertical="center"/>
    </xf>
    <xf numFmtId="10" fontId="17" fillId="17" borderId="2" xfId="1" applyNumberFormat="1" applyFont="1" applyFill="1" applyBorder="1" applyAlignment="1">
      <alignment horizontal="center"/>
    </xf>
    <xf numFmtId="10" fontId="18" fillId="10" borderId="1" xfId="1" applyNumberFormat="1" applyFont="1" applyFill="1" applyBorder="1" applyAlignment="1">
      <alignment horizontal="center" vertical="center"/>
    </xf>
    <xf numFmtId="164" fontId="16" fillId="13" borderId="1" xfId="0" applyNumberFormat="1" applyFont="1" applyFill="1" applyBorder="1" applyAlignment="1">
      <alignment horizontal="center"/>
    </xf>
    <xf numFmtId="2" fontId="6" fillId="13" borderId="1" xfId="1" applyNumberFormat="1" applyFont="1" applyFill="1" applyBorder="1" applyAlignment="1">
      <alignment horizontal="center" vertical="center"/>
    </xf>
    <xf numFmtId="10" fontId="6" fillId="13" borderId="1" xfId="0" applyNumberFormat="1" applyFont="1" applyFill="1" applyBorder="1" applyAlignment="1">
      <alignment horizontal="center" vertical="center"/>
    </xf>
    <xf numFmtId="10" fontId="6" fillId="14" borderId="1" xfId="0" applyNumberFormat="1" applyFont="1" applyFill="1" applyBorder="1" applyAlignment="1">
      <alignment horizontal="center" vertical="center"/>
    </xf>
    <xf numFmtId="164" fontId="6" fillId="13" borderId="1" xfId="0" applyNumberFormat="1" applyFont="1" applyFill="1" applyBorder="1" applyAlignment="1">
      <alignment horizontal="center" vertical="center"/>
    </xf>
    <xf numFmtId="10" fontId="0" fillId="0" borderId="0" xfId="0" applyNumberFormat="1" applyFont="1" applyAlignment="1">
      <alignment horizontal="center" vertical="center"/>
    </xf>
    <xf numFmtId="10" fontId="17" fillId="12" borderId="2" xfId="1" applyNumberFormat="1" applyFont="1" applyFill="1" applyBorder="1" applyAlignment="1">
      <alignment horizontal="center"/>
    </xf>
    <xf numFmtId="0" fontId="17" fillId="12" borderId="3" xfId="0" applyFont="1" applyFill="1" applyBorder="1" applyAlignment="1">
      <alignment horizontal="center" vertical="center"/>
    </xf>
    <xf numFmtId="10" fontId="17" fillId="12" borderId="1" xfId="1" applyNumberFormat="1" applyFont="1" applyFill="1" applyBorder="1" applyAlignment="1">
      <alignment horizontal="center"/>
    </xf>
    <xf numFmtId="10" fontId="6" fillId="16" borderId="1" xfId="0" applyNumberFormat="1" applyFont="1" applyFill="1" applyBorder="1" applyAlignment="1">
      <alignment horizontal="center" vertical="center"/>
    </xf>
    <xf numFmtId="164" fontId="17" fillId="17" borderId="2" xfId="1" applyNumberFormat="1" applyFont="1" applyFill="1" applyBorder="1" applyAlignment="1">
      <alignment horizontal="center"/>
    </xf>
    <xf numFmtId="0" fontId="16" fillId="13" borderId="1" xfId="0" applyFont="1" applyFill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colors>
    <mruColors>
      <color rgb="FF00FFFF"/>
      <color rgb="FFFFFF66"/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7157A-8689-433E-B8BC-EEA427DC50C5}">
  <dimension ref="B1:AP58"/>
  <sheetViews>
    <sheetView tabSelected="1" zoomScale="90" zoomScaleNormal="90" workbookViewId="0">
      <selection activeCell="C12" sqref="C12"/>
    </sheetView>
  </sheetViews>
  <sheetFormatPr defaultColWidth="36.453125" defaultRowHeight="14.5" x14ac:dyDescent="0.35"/>
  <cols>
    <col min="1" max="1" width="5.453125" style="5" customWidth="1"/>
    <col min="2" max="2" width="70.7265625" style="5" bestFit="1" customWidth="1"/>
    <col min="3" max="3" width="46.54296875" style="5" bestFit="1" customWidth="1"/>
    <col min="4" max="4" width="34.81640625" style="5" bestFit="1" customWidth="1"/>
    <col min="5" max="5" width="36" style="5" bestFit="1" customWidth="1"/>
    <col min="6" max="6" width="34.7265625" style="5" bestFit="1" customWidth="1"/>
    <col min="7" max="7" width="39.26953125" style="5" bestFit="1" customWidth="1"/>
    <col min="8" max="8" width="2.54296875" style="5" customWidth="1"/>
    <col min="9" max="9" width="23" style="6" bestFit="1" customWidth="1"/>
    <col min="10" max="10" width="16.7265625" style="6" bestFit="1" customWidth="1"/>
    <col min="11" max="13" width="11.453125" style="6" bestFit="1" customWidth="1"/>
    <col min="14" max="14" width="19.7265625" style="6" bestFit="1" customWidth="1"/>
    <col min="15" max="15" width="20.7265625" style="6" bestFit="1" customWidth="1"/>
    <col min="16" max="16" width="7.1796875" style="6" bestFit="1" customWidth="1"/>
    <col min="17" max="17" width="5.7265625" style="6" bestFit="1" customWidth="1"/>
    <col min="18" max="18" width="20.54296875" style="6" bestFit="1" customWidth="1"/>
    <col min="19" max="19" width="8.54296875" style="6" bestFit="1" customWidth="1"/>
    <col min="20" max="20" width="20.54296875" style="6" bestFit="1" customWidth="1"/>
    <col min="21" max="21" width="17.7265625" style="6" customWidth="1"/>
    <col min="22" max="22" width="3.26953125" style="6" bestFit="1" customWidth="1"/>
    <col min="23" max="23" width="5.1796875" style="6" bestFit="1" customWidth="1"/>
    <col min="24" max="24" width="8.54296875" style="6" bestFit="1" customWidth="1"/>
    <col min="25" max="25" width="20.54296875" style="6" bestFit="1" customWidth="1"/>
    <col min="26" max="26" width="8.54296875" style="6" bestFit="1" customWidth="1"/>
    <col min="27" max="27" width="11.453125" style="6" bestFit="1" customWidth="1"/>
    <col min="28" max="28" width="5.1796875" style="6" bestFit="1" customWidth="1"/>
    <col min="29" max="29" width="11.453125" style="6" bestFit="1" customWidth="1"/>
    <col min="30" max="30" width="3.1796875" style="6" bestFit="1" customWidth="1"/>
    <col min="31" max="31" width="11.453125" style="6" bestFit="1" customWidth="1"/>
    <col min="32" max="32" width="19" style="6" bestFit="1" customWidth="1"/>
    <col min="33" max="33" width="11.453125" style="6" bestFit="1" customWidth="1"/>
    <col min="34" max="34" width="19" style="6" bestFit="1" customWidth="1"/>
    <col min="35" max="35" width="3.1796875" style="6" bestFit="1" customWidth="1"/>
    <col min="36" max="36" width="11.453125" style="6" bestFit="1" customWidth="1"/>
    <col min="37" max="37" width="3.1796875" style="6" bestFit="1" customWidth="1"/>
    <col min="38" max="38" width="11.453125" style="6" bestFit="1" customWidth="1"/>
    <col min="39" max="39" width="3.1796875" style="6" bestFit="1" customWidth="1"/>
    <col min="40" max="40" width="11.453125" style="5" bestFit="1" customWidth="1"/>
    <col min="41" max="41" width="20.7265625" style="5" bestFit="1" customWidth="1"/>
    <col min="42" max="16384" width="36.453125" style="5"/>
  </cols>
  <sheetData>
    <row r="1" spans="2:42" ht="15" thickBot="1" x14ac:dyDescent="0.4">
      <c r="Q1" s="7"/>
    </row>
    <row r="2" spans="2:42" ht="15" thickBot="1" x14ac:dyDescent="0.4">
      <c r="B2" s="8" t="s">
        <v>0</v>
      </c>
      <c r="C2" s="9"/>
      <c r="D2" s="9"/>
      <c r="E2" s="9"/>
      <c r="F2" s="9"/>
      <c r="G2" s="10"/>
      <c r="I2" s="11" t="s">
        <v>1</v>
      </c>
      <c r="J2" s="12" t="s">
        <v>2</v>
      </c>
      <c r="K2" s="13">
        <v>0.8</v>
      </c>
      <c r="L2" s="14" t="s">
        <v>3</v>
      </c>
      <c r="M2" s="15" t="s">
        <v>4</v>
      </c>
      <c r="N2" s="16">
        <v>1.1499999999999999</v>
      </c>
      <c r="O2" s="14" t="s">
        <v>5</v>
      </c>
      <c r="P2" s="17" t="s">
        <v>6</v>
      </c>
      <c r="Q2" s="18" t="s">
        <v>2</v>
      </c>
      <c r="R2" s="19">
        <f>K2*$D$20</f>
        <v>7173.333333333333</v>
      </c>
      <c r="S2" s="15" t="s">
        <v>4</v>
      </c>
      <c r="T2" s="19">
        <f>N2*$D$20</f>
        <v>10311.666666666666</v>
      </c>
      <c r="U2" s="19" t="s">
        <v>7</v>
      </c>
      <c r="V2" s="17" t="s">
        <v>6</v>
      </c>
      <c r="W2" s="18" t="s">
        <v>2</v>
      </c>
      <c r="X2" s="13">
        <f>(R2-$D$20)/$D$22</f>
        <v>-0.55279159481426376</v>
      </c>
      <c r="Y2" s="15" t="s">
        <v>8</v>
      </c>
      <c r="Z2" s="13">
        <f>(T2-$D$20)/$D$22</f>
        <v>0.41459369611069785</v>
      </c>
      <c r="AA2" s="19" t="s">
        <v>7</v>
      </c>
      <c r="AB2" s="17" t="s">
        <v>6</v>
      </c>
      <c r="AC2" s="20">
        <f>0.5-_xlfn.NORM.DIST(R2,$D$20,$D$22,TRUE)</f>
        <v>0.20979693767833629</v>
      </c>
      <c r="AD2" s="21" t="s">
        <v>9</v>
      </c>
      <c r="AE2" s="20">
        <f>_xlfn.NORM.DIST(T2,$D$20,$D$22,TRUE)-0.5</f>
        <v>0.16078031813440918</v>
      </c>
      <c r="AF2" s="21" t="s">
        <v>6</v>
      </c>
      <c r="AG2" s="22">
        <f>AC2+AE2</f>
        <v>0.37057725581274548</v>
      </c>
      <c r="AH2" s="23" t="s">
        <v>1</v>
      </c>
      <c r="AK2" s="5"/>
      <c r="AL2" s="5"/>
      <c r="AM2" s="5"/>
    </row>
    <row r="3" spans="2:42" ht="15" thickBot="1" x14ac:dyDescent="0.4">
      <c r="L3" s="24"/>
      <c r="N3" s="7"/>
      <c r="AK3" s="5"/>
      <c r="AL3" s="5"/>
      <c r="AM3" s="5"/>
    </row>
    <row r="4" spans="2:42" ht="15" thickBot="1" x14ac:dyDescent="0.4">
      <c r="B4" s="3" t="s">
        <v>10</v>
      </c>
      <c r="C4" s="25">
        <v>8</v>
      </c>
      <c r="E4" s="26" t="s">
        <v>11</v>
      </c>
      <c r="F4" s="26">
        <f>SUM(C4:C8)</f>
        <v>20</v>
      </c>
      <c r="I4" s="11" t="s">
        <v>12</v>
      </c>
      <c r="J4" s="12" t="s">
        <v>2</v>
      </c>
      <c r="K4" s="13">
        <v>1.1000000000000001</v>
      </c>
      <c r="L4" s="14" t="s">
        <v>3</v>
      </c>
      <c r="M4" s="15" t="s">
        <v>4</v>
      </c>
      <c r="N4" s="16">
        <v>1.2</v>
      </c>
      <c r="O4" s="14" t="s">
        <v>5</v>
      </c>
      <c r="P4" s="17" t="s">
        <v>6</v>
      </c>
      <c r="Q4" s="18" t="s">
        <v>2</v>
      </c>
      <c r="R4" s="19">
        <f>K4*$D$20</f>
        <v>9863.3333333333339</v>
      </c>
      <c r="S4" s="15" t="s">
        <v>4</v>
      </c>
      <c r="T4" s="19">
        <f>N4*$D$20</f>
        <v>10759.999999999998</v>
      </c>
      <c r="U4" s="19" t="s">
        <v>7</v>
      </c>
      <c r="V4" s="17" t="s">
        <v>6</v>
      </c>
      <c r="W4" s="18" t="s">
        <v>2</v>
      </c>
      <c r="X4" s="13">
        <f>(R4-$D$20)/$D$22</f>
        <v>0.27639579740713227</v>
      </c>
      <c r="Y4" s="15" t="s">
        <v>8</v>
      </c>
      <c r="Z4" s="13">
        <f>(T4-$D$20)/$D$22</f>
        <v>0.55279159481426343</v>
      </c>
      <c r="AA4" s="19" t="s">
        <v>7</v>
      </c>
      <c r="AB4" s="17" t="s">
        <v>6</v>
      </c>
      <c r="AC4" s="20">
        <f>_xlfn.NORM.DIST(T4,$D$20,$D$22,TRUE)-0.5</f>
        <v>0.20979693767833618</v>
      </c>
      <c r="AD4" s="21" t="s">
        <v>13</v>
      </c>
      <c r="AE4" s="20">
        <f>_xlfn.NORM.DIST(R4,$D$20,$D$22,TRUE)-0.5</f>
        <v>0.10887795788263588</v>
      </c>
      <c r="AF4" s="21" t="s">
        <v>6</v>
      </c>
      <c r="AG4" s="22">
        <f>AC4-AE4</f>
        <v>0.1009189797957003</v>
      </c>
      <c r="AH4" s="23" t="s">
        <v>12</v>
      </c>
      <c r="AK4" s="5"/>
      <c r="AL4" s="5"/>
      <c r="AM4" s="5"/>
    </row>
    <row r="5" spans="2:42" ht="15" thickBot="1" x14ac:dyDescent="0.4">
      <c r="B5" s="3" t="s">
        <v>14</v>
      </c>
      <c r="C5" s="25">
        <v>8</v>
      </c>
      <c r="E5" s="27" t="s">
        <v>15</v>
      </c>
      <c r="F5" s="27">
        <f>100*F4</f>
        <v>2000</v>
      </c>
      <c r="L5" s="24"/>
      <c r="N5" s="7"/>
      <c r="AK5" s="5"/>
      <c r="AL5" s="5"/>
      <c r="AM5" s="5"/>
    </row>
    <row r="6" spans="2:42" ht="15" thickBot="1" x14ac:dyDescent="0.4">
      <c r="B6" s="3" t="s">
        <v>16</v>
      </c>
      <c r="C6" s="25">
        <v>0</v>
      </c>
      <c r="I6" s="11" t="s">
        <v>17</v>
      </c>
      <c r="J6" s="12" t="s">
        <v>2</v>
      </c>
      <c r="K6" s="13">
        <v>0.75</v>
      </c>
      <c r="L6" s="14" t="s">
        <v>3</v>
      </c>
      <c r="M6" s="15" t="s">
        <v>4</v>
      </c>
      <c r="N6" s="16">
        <v>0.95</v>
      </c>
      <c r="O6" s="14" t="s">
        <v>5</v>
      </c>
      <c r="P6" s="17" t="s">
        <v>6</v>
      </c>
      <c r="Q6" s="18" t="s">
        <v>2</v>
      </c>
      <c r="R6" s="19">
        <f>K6*$D$20</f>
        <v>6725</v>
      </c>
      <c r="S6" s="15" t="s">
        <v>4</v>
      </c>
      <c r="T6" s="19">
        <f>N6*$D$20</f>
        <v>8518.3333333333321</v>
      </c>
      <c r="U6" s="19" t="s">
        <v>7</v>
      </c>
      <c r="V6" s="17" t="s">
        <v>6</v>
      </c>
      <c r="W6" s="18" t="s">
        <v>2</v>
      </c>
      <c r="X6" s="13">
        <f>(R6-$D$20)/$D$22</f>
        <v>-0.69098949351782957</v>
      </c>
      <c r="Y6" s="15" t="s">
        <v>8</v>
      </c>
      <c r="Z6" s="13">
        <f>(T6-$D$20)/$D$22</f>
        <v>-0.13819789870356614</v>
      </c>
      <c r="AA6" s="19" t="s">
        <v>7</v>
      </c>
      <c r="AB6" s="17" t="s">
        <v>6</v>
      </c>
      <c r="AC6" s="20">
        <f>0.5-_xlfn.NORM.DIST(R6,$D$20,$D$22,TRUE)</f>
        <v>0.25521392817411026</v>
      </c>
      <c r="AD6" s="21" t="s">
        <v>13</v>
      </c>
      <c r="AE6" s="20">
        <f>0.5-_xlfn.NORM.DIST(T6,$D$20,$D$22,TRUE)</f>
        <v>5.495799212239888E-2</v>
      </c>
      <c r="AF6" s="21" t="s">
        <v>6</v>
      </c>
      <c r="AG6" s="22">
        <f>AC6-AE6</f>
        <v>0.20025593605171138</v>
      </c>
      <c r="AH6" s="23" t="s">
        <v>17</v>
      </c>
      <c r="AK6" s="5"/>
      <c r="AL6" s="5"/>
      <c r="AM6" s="5"/>
    </row>
    <row r="7" spans="2:42" ht="15" thickBot="1" x14ac:dyDescent="0.4">
      <c r="B7" s="3" t="s">
        <v>18</v>
      </c>
      <c r="C7" s="25">
        <v>0</v>
      </c>
      <c r="O7" s="7"/>
      <c r="AL7" s="5"/>
      <c r="AM7" s="5"/>
    </row>
    <row r="8" spans="2:42" ht="15" thickBot="1" x14ac:dyDescent="0.4">
      <c r="B8" s="3" t="s">
        <v>19</v>
      </c>
      <c r="C8" s="25">
        <v>4</v>
      </c>
      <c r="E8" s="28"/>
      <c r="I8" s="11" t="s">
        <v>20</v>
      </c>
      <c r="J8" s="12" t="s">
        <v>2</v>
      </c>
      <c r="K8" s="29" t="s">
        <v>21</v>
      </c>
      <c r="L8" s="16">
        <v>1.25</v>
      </c>
      <c r="M8" s="14" t="s">
        <v>5</v>
      </c>
      <c r="N8" s="17" t="s">
        <v>6</v>
      </c>
      <c r="O8" s="18" t="s">
        <v>2</v>
      </c>
      <c r="P8" s="30" t="str">
        <f>K8</f>
        <v xml:space="preserve"> S    &lt;</v>
      </c>
      <c r="Q8" s="30"/>
      <c r="R8" s="19">
        <f>L8*$D$20</f>
        <v>11208.333333333332</v>
      </c>
      <c r="S8" s="19" t="s">
        <v>7</v>
      </c>
      <c r="T8" s="17" t="s">
        <v>6</v>
      </c>
      <c r="U8" s="18" t="s">
        <v>2</v>
      </c>
      <c r="V8" s="31" t="s">
        <v>22</v>
      </c>
      <c r="W8" s="31"/>
      <c r="X8" s="13">
        <f>(R8-$D$20)/$D$22</f>
        <v>0.69098949351782957</v>
      </c>
      <c r="Y8" s="19" t="s">
        <v>7</v>
      </c>
      <c r="Z8" s="17" t="s">
        <v>6</v>
      </c>
      <c r="AA8" s="20">
        <v>0.5</v>
      </c>
      <c r="AB8" s="21" t="s">
        <v>9</v>
      </c>
      <c r="AC8" s="20">
        <f>_xlfn.NORM.DIST(R8,$D$20,$D$22,TRUE)-0.5</f>
        <v>0.25521392817411026</v>
      </c>
      <c r="AD8" s="21" t="s">
        <v>6</v>
      </c>
      <c r="AE8" s="22">
        <f>AA8+AC8</f>
        <v>0.75521392817411026</v>
      </c>
      <c r="AF8" s="23" t="s">
        <v>20</v>
      </c>
      <c r="AI8" s="5"/>
      <c r="AJ8" s="5"/>
      <c r="AK8" s="5"/>
      <c r="AL8" s="5"/>
      <c r="AM8" s="5"/>
    </row>
    <row r="9" spans="2:42" ht="15" thickBot="1" x14ac:dyDescent="0.4">
      <c r="F9" s="4" t="s">
        <v>23</v>
      </c>
      <c r="G9" s="4" t="s">
        <v>24</v>
      </c>
      <c r="L9" s="7"/>
      <c r="AI9" s="5"/>
      <c r="AJ9" s="5"/>
      <c r="AK9" s="5"/>
      <c r="AL9" s="5"/>
      <c r="AM9" s="5"/>
    </row>
    <row r="10" spans="2:42" ht="17" thickBot="1" x14ac:dyDescent="0.4">
      <c r="B10" s="32" t="s">
        <v>25</v>
      </c>
      <c r="C10" s="32" t="s">
        <v>26</v>
      </c>
      <c r="D10" s="33" t="s">
        <v>60</v>
      </c>
      <c r="E10" s="33" t="s">
        <v>61</v>
      </c>
      <c r="F10" s="33" t="s">
        <v>62</v>
      </c>
      <c r="G10" s="33" t="s">
        <v>63</v>
      </c>
      <c r="I10" s="11" t="s">
        <v>27</v>
      </c>
      <c r="J10" s="12" t="s">
        <v>2</v>
      </c>
      <c r="K10" s="29" t="s">
        <v>21</v>
      </c>
      <c r="L10" s="16">
        <v>0.85</v>
      </c>
      <c r="M10" s="14" t="s">
        <v>5</v>
      </c>
      <c r="N10" s="17" t="s">
        <v>6</v>
      </c>
      <c r="O10" s="18" t="s">
        <v>2</v>
      </c>
      <c r="P10" s="30" t="str">
        <f>K10</f>
        <v xml:space="preserve"> S    &lt;</v>
      </c>
      <c r="Q10" s="30"/>
      <c r="R10" s="19">
        <f>L10*$D$20</f>
        <v>7621.6666666666661</v>
      </c>
      <c r="S10" s="19" t="s">
        <v>7</v>
      </c>
      <c r="T10" s="17" t="s">
        <v>6</v>
      </c>
      <c r="U10" s="18" t="s">
        <v>2</v>
      </c>
      <c r="V10" s="31" t="s">
        <v>22</v>
      </c>
      <c r="W10" s="31"/>
      <c r="X10" s="13">
        <f>(R10-$D$20)/$D$22</f>
        <v>-0.41459369611069785</v>
      </c>
      <c r="Y10" s="19" t="s">
        <v>7</v>
      </c>
      <c r="Z10" s="17" t="s">
        <v>6</v>
      </c>
      <c r="AA10" s="20">
        <v>0.5</v>
      </c>
      <c r="AB10" s="21" t="s">
        <v>13</v>
      </c>
      <c r="AC10" s="20">
        <f>0.5-_xlfn.NORM.DIST(R10,$D$20,$D$22,TRUE)</f>
        <v>0.16078031813440918</v>
      </c>
      <c r="AD10" s="21" t="s">
        <v>6</v>
      </c>
      <c r="AE10" s="22">
        <f>AA10-AC10</f>
        <v>0.33921968186559082</v>
      </c>
      <c r="AF10" s="23" t="s">
        <v>27</v>
      </c>
      <c r="AI10" s="5"/>
      <c r="AJ10" s="5"/>
      <c r="AK10" s="5"/>
      <c r="AL10" s="5"/>
      <c r="AM10" s="5"/>
    </row>
    <row r="11" spans="2:42" ht="15" thickBot="1" x14ac:dyDescent="0.4">
      <c r="B11" s="34">
        <v>2500</v>
      </c>
      <c r="C11" s="35">
        <f>B11+$F$5</f>
        <v>4500</v>
      </c>
      <c r="D11" s="36">
        <f t="shared" ref="D11:D17" si="0">(B11+C11)/2</f>
        <v>3500</v>
      </c>
      <c r="E11" s="37">
        <f>30+C4</f>
        <v>38</v>
      </c>
      <c r="F11" s="36">
        <f t="shared" ref="F11:F17" si="1">D11*E11</f>
        <v>133000</v>
      </c>
      <c r="G11" s="36">
        <f>D11^2*E11</f>
        <v>465500000</v>
      </c>
      <c r="L11" s="7"/>
      <c r="AI11" s="5"/>
      <c r="AJ11" s="5"/>
      <c r="AK11" s="5"/>
      <c r="AL11" s="5"/>
      <c r="AM11" s="5"/>
    </row>
    <row r="12" spans="2:42" ht="15" thickBot="1" x14ac:dyDescent="0.4">
      <c r="B12" s="38">
        <f>C11</f>
        <v>4500</v>
      </c>
      <c r="C12" s="38">
        <f t="shared" ref="C12:C17" si="2">B12+$F$5</f>
        <v>6500</v>
      </c>
      <c r="D12" s="39">
        <f t="shared" si="0"/>
        <v>5500</v>
      </c>
      <c r="E12" s="40">
        <f>4*F4</f>
        <v>80</v>
      </c>
      <c r="F12" s="39">
        <f t="shared" si="1"/>
        <v>440000</v>
      </c>
      <c r="G12" s="41">
        <f t="shared" ref="G12:G17" si="3">D12^2*E12</f>
        <v>2420000000</v>
      </c>
      <c r="I12" s="11" t="s">
        <v>28</v>
      </c>
      <c r="J12" s="12" t="s">
        <v>2</v>
      </c>
      <c r="K12" s="29" t="s">
        <v>29</v>
      </c>
      <c r="L12" s="16">
        <v>1.05</v>
      </c>
      <c r="M12" s="14" t="s">
        <v>5</v>
      </c>
      <c r="N12" s="17" t="s">
        <v>6</v>
      </c>
      <c r="O12" s="18" t="s">
        <v>2</v>
      </c>
      <c r="P12" s="30" t="str">
        <f>K12</f>
        <v xml:space="preserve"> S    &gt;</v>
      </c>
      <c r="Q12" s="30"/>
      <c r="R12" s="19">
        <f>L12*$D$20</f>
        <v>9415</v>
      </c>
      <c r="S12" s="19" t="s">
        <v>7</v>
      </c>
      <c r="T12" s="17" t="s">
        <v>6</v>
      </c>
      <c r="U12" s="18" t="s">
        <v>2</v>
      </c>
      <c r="V12" s="31" t="s">
        <v>30</v>
      </c>
      <c r="W12" s="31"/>
      <c r="X12" s="13">
        <f>(R12-$D$20)/$D$22</f>
        <v>0.13819789870356614</v>
      </c>
      <c r="Y12" s="19" t="s">
        <v>7</v>
      </c>
      <c r="Z12" s="17" t="s">
        <v>6</v>
      </c>
      <c r="AA12" s="20">
        <v>0.5</v>
      </c>
      <c r="AB12" s="21" t="s">
        <v>13</v>
      </c>
      <c r="AC12" s="20">
        <f>_xlfn.NORM.DIST(R12,$D$20,$D$22,TRUE)-0.5</f>
        <v>5.4957992122398824E-2</v>
      </c>
      <c r="AD12" s="21" t="s">
        <v>6</v>
      </c>
      <c r="AE12" s="22">
        <f>AA12-AC12</f>
        <v>0.44504200787760118</v>
      </c>
      <c r="AF12" s="23" t="s">
        <v>28</v>
      </c>
      <c r="AI12" s="5"/>
      <c r="AJ12" s="5"/>
      <c r="AK12" s="5"/>
      <c r="AL12" s="5"/>
      <c r="AM12" s="5"/>
    </row>
    <row r="13" spans="2:42" ht="15" thickBot="1" x14ac:dyDescent="0.4">
      <c r="B13" s="35">
        <f t="shared" ref="B13:B17" si="4">C12</f>
        <v>6500</v>
      </c>
      <c r="C13" s="35">
        <f t="shared" si="2"/>
        <v>8500</v>
      </c>
      <c r="D13" s="36">
        <f t="shared" si="0"/>
        <v>7500</v>
      </c>
      <c r="E13" s="37">
        <f>70+C5</f>
        <v>78</v>
      </c>
      <c r="F13" s="36">
        <f t="shared" si="1"/>
        <v>585000</v>
      </c>
      <c r="G13" s="36">
        <f t="shared" si="3"/>
        <v>4387500000</v>
      </c>
      <c r="L13" s="7"/>
      <c r="AI13" s="5"/>
      <c r="AJ13" s="5"/>
      <c r="AK13" s="5"/>
      <c r="AL13" s="5"/>
      <c r="AM13" s="5"/>
    </row>
    <row r="14" spans="2:42" ht="15" thickBot="1" x14ac:dyDescent="0.4">
      <c r="B14" s="38">
        <f t="shared" si="4"/>
        <v>8500</v>
      </c>
      <c r="C14" s="38">
        <f t="shared" si="2"/>
        <v>10500</v>
      </c>
      <c r="D14" s="39">
        <f t="shared" si="0"/>
        <v>9500</v>
      </c>
      <c r="E14" s="40">
        <f>6*F4</f>
        <v>120</v>
      </c>
      <c r="F14" s="39">
        <f t="shared" si="1"/>
        <v>1140000</v>
      </c>
      <c r="G14" s="41">
        <f t="shared" si="3"/>
        <v>10830000000</v>
      </c>
      <c r="I14" s="11" t="s">
        <v>31</v>
      </c>
      <c r="J14" s="12" t="s">
        <v>2</v>
      </c>
      <c r="K14" s="29" t="s">
        <v>29</v>
      </c>
      <c r="L14" s="16">
        <v>0.9</v>
      </c>
      <c r="M14" s="14" t="s">
        <v>5</v>
      </c>
      <c r="N14" s="17" t="s">
        <v>6</v>
      </c>
      <c r="O14" s="18" t="s">
        <v>2</v>
      </c>
      <c r="P14" s="30" t="str">
        <f>K14</f>
        <v xml:space="preserve"> S    &gt;</v>
      </c>
      <c r="Q14" s="30"/>
      <c r="R14" s="19">
        <f>L14*$D$20</f>
        <v>8070</v>
      </c>
      <c r="S14" s="19" t="s">
        <v>7</v>
      </c>
      <c r="T14" s="17" t="s">
        <v>6</v>
      </c>
      <c r="U14" s="18" t="s">
        <v>2</v>
      </c>
      <c r="V14" s="31" t="s">
        <v>30</v>
      </c>
      <c r="W14" s="31"/>
      <c r="X14" s="13">
        <f>(R14-$D$20)/$D$22</f>
        <v>-0.27639579740713172</v>
      </c>
      <c r="Y14" s="19" t="s">
        <v>7</v>
      </c>
      <c r="Z14" s="17" t="s">
        <v>6</v>
      </c>
      <c r="AA14" s="20">
        <v>0.5</v>
      </c>
      <c r="AB14" s="21" t="s">
        <v>9</v>
      </c>
      <c r="AC14" s="20">
        <f>0.5-_xlfn.NORM.DIST(R14,$D$20,$D$22,TRUE)</f>
        <v>0.10887795788263566</v>
      </c>
      <c r="AD14" s="21" t="s">
        <v>6</v>
      </c>
      <c r="AE14" s="22">
        <f>AA14+AC14</f>
        <v>0.60887795788263566</v>
      </c>
      <c r="AF14" s="23" t="s">
        <v>31</v>
      </c>
      <c r="AI14" s="5"/>
      <c r="AJ14" s="5"/>
      <c r="AK14" s="5"/>
      <c r="AL14" s="5"/>
      <c r="AM14" s="5"/>
    </row>
    <row r="15" spans="2:42" ht="15" thickBot="1" x14ac:dyDescent="0.4">
      <c r="B15" s="35">
        <f t="shared" si="4"/>
        <v>10500</v>
      </c>
      <c r="C15" s="35">
        <f t="shared" si="2"/>
        <v>12500</v>
      </c>
      <c r="D15" s="36">
        <f t="shared" si="0"/>
        <v>11500</v>
      </c>
      <c r="E15" s="42">
        <f>60+C6</f>
        <v>60</v>
      </c>
      <c r="F15" s="36">
        <f t="shared" si="1"/>
        <v>690000</v>
      </c>
      <c r="G15" s="36">
        <f t="shared" si="3"/>
        <v>7935000000</v>
      </c>
      <c r="P15" s="7"/>
      <c r="AM15" s="5"/>
    </row>
    <row r="16" spans="2:42" ht="15" thickBot="1" x14ac:dyDescent="0.4">
      <c r="B16" s="38">
        <f t="shared" si="4"/>
        <v>12500</v>
      </c>
      <c r="C16" s="38">
        <f t="shared" si="2"/>
        <v>14500</v>
      </c>
      <c r="D16" s="39">
        <f t="shared" si="0"/>
        <v>13500</v>
      </c>
      <c r="E16" s="43">
        <f>50+C7</f>
        <v>50</v>
      </c>
      <c r="F16" s="39">
        <f t="shared" si="1"/>
        <v>675000</v>
      </c>
      <c r="G16" s="41">
        <f t="shared" si="3"/>
        <v>9112500000</v>
      </c>
      <c r="I16" s="11" t="s">
        <v>32</v>
      </c>
      <c r="J16" s="12" t="s">
        <v>2</v>
      </c>
      <c r="K16" s="18" t="s">
        <v>33</v>
      </c>
      <c r="L16" s="29">
        <v>0.82</v>
      </c>
      <c r="M16" s="29" t="s">
        <v>3</v>
      </c>
      <c r="N16" s="15" t="s">
        <v>34</v>
      </c>
      <c r="O16" s="29" t="s">
        <v>35</v>
      </c>
      <c r="P16" s="16">
        <v>1.28</v>
      </c>
      <c r="Q16" s="14" t="s">
        <v>5</v>
      </c>
      <c r="R16" s="17" t="s">
        <v>6</v>
      </c>
      <c r="S16" s="18" t="s">
        <v>2</v>
      </c>
      <c r="T16" s="18" t="s">
        <v>33</v>
      </c>
      <c r="U16" s="30">
        <f>L16*D20</f>
        <v>7352.6666666666661</v>
      </c>
      <c r="V16" s="30"/>
      <c r="W16" s="15" t="s">
        <v>34</v>
      </c>
      <c r="X16" s="29" t="s">
        <v>35</v>
      </c>
      <c r="Y16" s="19">
        <f>P16*D20</f>
        <v>11477.333333333332</v>
      </c>
      <c r="Z16" s="14"/>
      <c r="AA16" s="17" t="s">
        <v>6</v>
      </c>
      <c r="AB16" s="18" t="s">
        <v>2</v>
      </c>
      <c r="AC16" s="18" t="s">
        <v>36</v>
      </c>
      <c r="AD16" s="31">
        <f>(U16-$D$20)/$D$22</f>
        <v>-0.49751243533283745</v>
      </c>
      <c r="AE16" s="31">
        <f t="shared" ref="AE16" si="5">(Y16-$D$20)/$D$22</f>
        <v>0.77390823273996912</v>
      </c>
      <c r="AF16" s="15" t="s">
        <v>34</v>
      </c>
      <c r="AG16" s="29" t="s">
        <v>37</v>
      </c>
      <c r="AH16" s="13">
        <f>(Y16-$D$20)/$D$22</f>
        <v>0.77390823273996912</v>
      </c>
      <c r="AI16" s="17" t="s">
        <v>6</v>
      </c>
      <c r="AJ16" s="20">
        <f>_xlfn.NORM.DIST(U16,$D$20,$D$22,TRUE)</f>
        <v>0.30941386795831116</v>
      </c>
      <c r="AK16" s="21" t="s">
        <v>9</v>
      </c>
      <c r="AL16" s="20">
        <f>1-_xlfn.NORM.DIST(Y16,$D$20,$D$22,TRUE)</f>
        <v>0.21949253036146821</v>
      </c>
      <c r="AM16" s="21" t="s">
        <v>6</v>
      </c>
      <c r="AN16" s="22">
        <f>AJ16+AL16</f>
        <v>0.52890639831977937</v>
      </c>
      <c r="AO16" s="23" t="s">
        <v>32</v>
      </c>
      <c r="AP16" s="6"/>
    </row>
    <row r="17" spans="2:40" x14ac:dyDescent="0.3">
      <c r="B17" s="35">
        <f t="shared" si="4"/>
        <v>14500</v>
      </c>
      <c r="C17" s="35">
        <f t="shared" si="2"/>
        <v>16500</v>
      </c>
      <c r="D17" s="36">
        <f t="shared" si="0"/>
        <v>15500</v>
      </c>
      <c r="E17" s="42">
        <f>20+C8</f>
        <v>24</v>
      </c>
      <c r="F17" s="36">
        <f t="shared" si="1"/>
        <v>372000</v>
      </c>
      <c r="G17" s="36">
        <f t="shared" si="3"/>
        <v>5766000000</v>
      </c>
      <c r="K17" s="6" t="s">
        <v>38</v>
      </c>
      <c r="L17" s="44">
        <f>L18+L19</f>
        <v>0.52890639831977937</v>
      </c>
      <c r="M17" s="45">
        <f>M19-M18</f>
        <v>0.47109360168022063</v>
      </c>
      <c r="N17" s="45">
        <f>N18+N19</f>
        <v>0.52890639831977937</v>
      </c>
      <c r="AL17" s="5"/>
      <c r="AM17" s="5"/>
    </row>
    <row r="18" spans="2:40" x14ac:dyDescent="0.35">
      <c r="B18" s="46" t="s">
        <v>13</v>
      </c>
      <c r="C18" s="46"/>
      <c r="D18" s="47" t="s">
        <v>39</v>
      </c>
      <c r="E18" s="47">
        <f>SUM(E11:E17)</f>
        <v>450</v>
      </c>
      <c r="F18" s="48">
        <f>SUM(F11:F17)</f>
        <v>4035000</v>
      </c>
      <c r="G18" s="48">
        <f>SUM(G11:G17)</f>
        <v>40916500000</v>
      </c>
      <c r="K18" s="49">
        <f>0.5-_xlfn.NORM.DIST(U16,$D$20,$D$22,TRUE)</f>
        <v>0.19058613204168884</v>
      </c>
      <c r="L18" s="50">
        <f>0.5-K18</f>
        <v>0.30941386795831116</v>
      </c>
      <c r="M18" s="51">
        <f>_xlfn.NORM.DIST(U16,$D$20,$D$22,TRUE)</f>
        <v>0.30941386795831116</v>
      </c>
      <c r="N18" s="51">
        <f>M18</f>
        <v>0.30941386795831116</v>
      </c>
    </row>
    <row r="19" spans="2:40" x14ac:dyDescent="0.35">
      <c r="K19" s="49">
        <f>_xlfn.NORM.DIST(Y16,$D$20,$D$22,TRUE)-0.5</f>
        <v>0.28050746963853179</v>
      </c>
      <c r="L19" s="50">
        <f>0.5-K19</f>
        <v>0.21949253036146821</v>
      </c>
      <c r="M19" s="51">
        <f>_xlfn.NORM.DIST(Y16,$D$20,$D$22,TRUE)</f>
        <v>0.78050746963853179</v>
      </c>
      <c r="N19" s="51">
        <f>1-M19</f>
        <v>0.21949253036146821</v>
      </c>
    </row>
    <row r="20" spans="2:40" ht="15" thickBot="1" x14ac:dyDescent="0.4">
      <c r="B20" s="52" t="s">
        <v>40</v>
      </c>
      <c r="C20" s="53" t="s">
        <v>41</v>
      </c>
      <c r="D20" s="54">
        <f>F18/E18</f>
        <v>8966.6666666666661</v>
      </c>
      <c r="E20" s="1"/>
    </row>
    <row r="21" spans="2:40" ht="15" thickBot="1" x14ac:dyDescent="0.4">
      <c r="C21" s="2"/>
      <c r="D21" s="2"/>
      <c r="E21" s="1"/>
      <c r="I21" s="55" t="s">
        <v>42</v>
      </c>
      <c r="J21" s="56" t="s">
        <v>43</v>
      </c>
      <c r="K21" s="57">
        <v>0.2611</v>
      </c>
    </row>
    <row r="22" spans="2:40" ht="15" thickBot="1" x14ac:dyDescent="0.4">
      <c r="B22" s="58" t="s">
        <v>44</v>
      </c>
      <c r="C22" s="59" t="s">
        <v>45</v>
      </c>
      <c r="D22" s="60">
        <f>SQRT((G18/E18)-(D20^2))</f>
        <v>3244.1400161590509</v>
      </c>
      <c r="E22" s="1"/>
      <c r="I22" s="61" t="s">
        <v>46</v>
      </c>
      <c r="J22" s="62"/>
      <c r="K22" s="63">
        <v>0.5</v>
      </c>
      <c r="L22" s="64" t="s">
        <v>13</v>
      </c>
      <c r="M22" s="65">
        <f>K21</f>
        <v>0.2611</v>
      </c>
      <c r="N22" s="62" t="s">
        <v>6</v>
      </c>
      <c r="O22" s="66">
        <f>K22-M22</f>
        <v>0.2389</v>
      </c>
    </row>
    <row r="23" spans="2:40" ht="15" thickBot="1" x14ac:dyDescent="0.4">
      <c r="B23" s="2"/>
      <c r="C23" s="2"/>
      <c r="D23" s="1"/>
      <c r="I23" s="67" t="s">
        <v>47</v>
      </c>
      <c r="J23" s="68" t="s">
        <v>48</v>
      </c>
      <c r="K23" s="69">
        <v>-0.64</v>
      </c>
      <c r="L23" s="67" t="s">
        <v>47</v>
      </c>
      <c r="M23" s="70" t="s">
        <v>49</v>
      </c>
      <c r="N23" s="71">
        <f>K23*D22+D20</f>
        <v>6890.4170563248736</v>
      </c>
      <c r="O23" s="72" t="s">
        <v>42</v>
      </c>
      <c r="AN23" s="6"/>
    </row>
    <row r="24" spans="2:40" x14ac:dyDescent="0.35">
      <c r="B24" s="52" t="s">
        <v>1</v>
      </c>
      <c r="C24" s="53" t="s">
        <v>50</v>
      </c>
      <c r="D24" s="73">
        <f>D25+D26</f>
        <v>0.37057725581274548</v>
      </c>
      <c r="E24" s="74">
        <f>E26-E25</f>
        <v>0.37057725581274548</v>
      </c>
      <c r="I24" s="5"/>
      <c r="J24" s="5"/>
      <c r="AL24" s="5"/>
      <c r="AM24" s="5"/>
    </row>
    <row r="25" spans="2:40" x14ac:dyDescent="0.35">
      <c r="B25" s="75">
        <f>0.8*$D$20</f>
        <v>7173.333333333333</v>
      </c>
      <c r="C25" s="76">
        <f>(B25-$D$20)/$D$22</f>
        <v>-0.55279159481426376</v>
      </c>
      <c r="D25" s="77">
        <f>0.5-_xlfn.NORM.DIST(B25,$D$20,$D$22,TRUE)</f>
        <v>0.20979693767833629</v>
      </c>
      <c r="E25" s="78">
        <f>_xlfn.NORM.DIST(B25,$D$20,$D$22,TRUE)</f>
        <v>0.29020306232166371</v>
      </c>
      <c r="I25" s="5"/>
      <c r="J25" s="5"/>
      <c r="AL25" s="5"/>
      <c r="AM25" s="5"/>
    </row>
    <row r="26" spans="2:40" x14ac:dyDescent="0.35">
      <c r="B26" s="79">
        <f>1.15*$D$20</f>
        <v>10311.666666666666</v>
      </c>
      <c r="C26" s="76">
        <f>(B26-$D$20)/$D$22</f>
        <v>0.41459369611069785</v>
      </c>
      <c r="D26" s="77">
        <f>_xlfn.NORM.DIST(B26,$D$20,$D$22,TRUE)-0.5</f>
        <v>0.16078031813440918</v>
      </c>
      <c r="E26" s="78">
        <f>_xlfn.NORM.DIST(B26,$D$20,$D$22,TRUE)</f>
        <v>0.66078031813440918</v>
      </c>
      <c r="I26" s="5"/>
      <c r="J26" s="5"/>
      <c r="AL26" s="5"/>
      <c r="AM26" s="5"/>
    </row>
    <row r="27" spans="2:40" x14ac:dyDescent="0.35">
      <c r="D27" s="80"/>
      <c r="I27" s="5"/>
      <c r="J27" s="5"/>
      <c r="AL27" s="5"/>
      <c r="AM27" s="5"/>
    </row>
    <row r="28" spans="2:40" x14ac:dyDescent="0.35">
      <c r="B28" s="58" t="s">
        <v>12</v>
      </c>
      <c r="C28" s="59" t="s">
        <v>51</v>
      </c>
      <c r="D28" s="81">
        <f>D30-D29</f>
        <v>0.1009189797957003</v>
      </c>
      <c r="E28" s="74">
        <f>E30-E29</f>
        <v>0.1009189797957003</v>
      </c>
      <c r="I28" s="5"/>
      <c r="J28" s="5"/>
      <c r="AL28" s="5"/>
      <c r="AM28" s="5"/>
    </row>
    <row r="29" spans="2:40" x14ac:dyDescent="0.35">
      <c r="B29" s="75">
        <f>1.1*$D$20</f>
        <v>9863.3333333333339</v>
      </c>
      <c r="C29" s="76">
        <f>(B29-$D$20)/$D$22</f>
        <v>0.27639579740713227</v>
      </c>
      <c r="D29" s="77">
        <f>_xlfn.NORM.DIST(B29,$D$20,$D$22,TRUE)-0.5</f>
        <v>0.10887795788263588</v>
      </c>
      <c r="E29" s="78">
        <f>_xlfn.NORM.DIST(B29,$D$20,$D$22,TRUE)</f>
        <v>0.60887795788263588</v>
      </c>
      <c r="I29" s="5"/>
      <c r="J29" s="5"/>
      <c r="AL29" s="5"/>
      <c r="AM29" s="5"/>
    </row>
    <row r="30" spans="2:40" x14ac:dyDescent="0.35">
      <c r="B30" s="79">
        <f>1.2*$D$20</f>
        <v>10759.999999999998</v>
      </c>
      <c r="C30" s="76">
        <f>(B30-$D$20)/$D$22</f>
        <v>0.55279159481426343</v>
      </c>
      <c r="D30" s="77">
        <f>_xlfn.NORM.DIST(B30,$D$20,$D$22,TRUE)-0.5</f>
        <v>0.20979693767833618</v>
      </c>
      <c r="E30" s="78">
        <f>_xlfn.NORM.DIST(B30,$D$20,$D$22,TRUE)</f>
        <v>0.70979693767833618</v>
      </c>
      <c r="I30" s="5"/>
      <c r="J30" s="5"/>
      <c r="AL30" s="5"/>
      <c r="AM30" s="5"/>
    </row>
    <row r="31" spans="2:40" x14ac:dyDescent="0.35">
      <c r="I31" s="5"/>
      <c r="J31" s="5"/>
      <c r="AL31" s="5"/>
      <c r="AM31" s="5"/>
    </row>
    <row r="32" spans="2:40" x14ac:dyDescent="0.35">
      <c r="B32" s="52" t="s">
        <v>17</v>
      </c>
      <c r="C32" s="53" t="s">
        <v>52</v>
      </c>
      <c r="D32" s="73">
        <f>D33-D34</f>
        <v>0.20025593605171138</v>
      </c>
      <c r="E32" s="74">
        <f>E34-E33</f>
        <v>0.20025593605171138</v>
      </c>
      <c r="I32" s="5"/>
      <c r="J32" s="5"/>
      <c r="AL32" s="5"/>
      <c r="AM32" s="5"/>
    </row>
    <row r="33" spans="2:37" s="5" customFormat="1" x14ac:dyDescent="0.35">
      <c r="B33" s="75">
        <f>0.75*$D$20</f>
        <v>6725</v>
      </c>
      <c r="C33" s="76">
        <f>(B33-$D$20)/$D$22</f>
        <v>-0.69098949351782957</v>
      </c>
      <c r="D33" s="77">
        <f>0.5-_xlfn.NORM.DIST(B33,$D$20,$D$22,TRUE)</f>
        <v>0.25521392817411026</v>
      </c>
      <c r="E33" s="78">
        <f>_xlfn.NORM.DIST(B33,$D$20,$D$22,TRUE)</f>
        <v>0.24478607182588974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</row>
    <row r="34" spans="2:37" s="5" customFormat="1" x14ac:dyDescent="0.35">
      <c r="B34" s="79">
        <f>0.95*$D$20</f>
        <v>8518.3333333333321</v>
      </c>
      <c r="C34" s="76">
        <f>(B34-$D$20)/$D$22</f>
        <v>-0.13819789870356614</v>
      </c>
      <c r="D34" s="77">
        <f>0.5-_xlfn.NORM.DIST(B34,$D$20,$D$22,TRUE)</f>
        <v>5.495799212239888E-2</v>
      </c>
      <c r="E34" s="78">
        <f>_xlfn.NORM.DIST(B34,$D$20,$D$22,TRUE)</f>
        <v>0.44504200787760112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</row>
    <row r="35" spans="2:37" s="5" customFormat="1" x14ac:dyDescent="0.35"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</row>
    <row r="36" spans="2:37" s="5" customFormat="1" x14ac:dyDescent="0.35">
      <c r="B36" s="58" t="s">
        <v>20</v>
      </c>
      <c r="C36" s="59" t="s">
        <v>53</v>
      </c>
      <c r="D36" s="81">
        <f>D37+D38</f>
        <v>0.75521392817411026</v>
      </c>
      <c r="E36" s="74">
        <f>E37</f>
        <v>0.75521392817411026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</row>
    <row r="37" spans="2:37" s="5" customFormat="1" x14ac:dyDescent="0.35">
      <c r="B37" s="75">
        <f>1.25*$D$20</f>
        <v>11208.333333333332</v>
      </c>
      <c r="C37" s="76">
        <f>(B37-$D$20)/$D$22</f>
        <v>0.69098949351782957</v>
      </c>
      <c r="D37" s="77">
        <f>_xlfn.NORM.DIST(B37,$D$20,$D$22,TRUE)-0.5</f>
        <v>0.25521392817411026</v>
      </c>
      <c r="E37" s="78">
        <f>_xlfn.NORM.DIST(B37,$D$20,$D$22,TRUE)</f>
        <v>0.75521392817411026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</row>
    <row r="38" spans="2:37" s="5" customFormat="1" x14ac:dyDescent="0.35">
      <c r="B38" s="79" t="s">
        <v>54</v>
      </c>
      <c r="C38" s="76" t="s">
        <v>13</v>
      </c>
      <c r="D38" s="77">
        <v>0.5</v>
      </c>
      <c r="E38" s="78" t="s">
        <v>13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2:37" s="5" customFormat="1" x14ac:dyDescent="0.35"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</row>
    <row r="40" spans="2:37" s="5" customFormat="1" x14ac:dyDescent="0.35">
      <c r="B40" s="52" t="s">
        <v>27</v>
      </c>
      <c r="C40" s="53" t="s">
        <v>55</v>
      </c>
      <c r="D40" s="73">
        <f>D42-D41</f>
        <v>0.33921968186559082</v>
      </c>
      <c r="E40" s="74">
        <f>E41</f>
        <v>0.33921968186559082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</row>
    <row r="41" spans="2:37" s="5" customFormat="1" x14ac:dyDescent="0.35">
      <c r="B41" s="75">
        <f>0.85*$D$20</f>
        <v>7621.6666666666661</v>
      </c>
      <c r="C41" s="76">
        <f>(B41-$D$20)/$D$22</f>
        <v>-0.41459369611069785</v>
      </c>
      <c r="D41" s="77">
        <f>0.5-_xlfn.NORM.DIST(B41,$D$20,$D$22,TRUE)</f>
        <v>0.16078031813440918</v>
      </c>
      <c r="E41" s="78">
        <f>_xlfn.NORM.DIST(B41,$D$20,$D$22,TRUE)</f>
        <v>0.33921968186559082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2:37" s="5" customFormat="1" x14ac:dyDescent="0.35">
      <c r="B42" s="79" t="s">
        <v>54</v>
      </c>
      <c r="C42" s="76" t="s">
        <v>13</v>
      </c>
      <c r="D42" s="77">
        <v>0.5</v>
      </c>
      <c r="E42" s="78" t="s">
        <v>13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2:37" s="5" customFormat="1" x14ac:dyDescent="0.35"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2:37" s="5" customFormat="1" x14ac:dyDescent="0.35">
      <c r="B44" s="58" t="s">
        <v>28</v>
      </c>
      <c r="C44" s="59" t="s">
        <v>56</v>
      </c>
      <c r="D44" s="81">
        <f>D46-D45</f>
        <v>0.44504200787760118</v>
      </c>
      <c r="E44" s="74">
        <f>1-E45</f>
        <v>0.44504200787760118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2:37" s="5" customFormat="1" x14ac:dyDescent="0.35">
      <c r="B45" s="75">
        <f>1.05*$D$20</f>
        <v>9415</v>
      </c>
      <c r="C45" s="76">
        <f>(B45-$D$20)/$D$22</f>
        <v>0.13819789870356614</v>
      </c>
      <c r="D45" s="77">
        <f>_xlfn.NORM.DIST(B45,$D$20,$D$22,TRUE)-0.5</f>
        <v>5.4957992122398824E-2</v>
      </c>
      <c r="E45" s="78">
        <f>_xlfn.NORM.DIST(B45,$D$20,$D$22,TRUE)</f>
        <v>0.55495799212239882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2:37" s="5" customFormat="1" x14ac:dyDescent="0.35">
      <c r="B46" s="79" t="s">
        <v>54</v>
      </c>
      <c r="C46" s="76" t="s">
        <v>13</v>
      </c>
      <c r="D46" s="77">
        <v>0.5</v>
      </c>
      <c r="E46" s="78" t="s">
        <v>13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2:37" s="5" customFormat="1" x14ac:dyDescent="0.35"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2:37" s="5" customFormat="1" x14ac:dyDescent="0.35">
      <c r="B48" s="52" t="s">
        <v>31</v>
      </c>
      <c r="C48" s="53" t="s">
        <v>57</v>
      </c>
      <c r="D48" s="73">
        <f>D49+D50</f>
        <v>0.60887795788263566</v>
      </c>
      <c r="E48" s="74">
        <f>1-E49</f>
        <v>0.60887795788263566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2:39" x14ac:dyDescent="0.35">
      <c r="B49" s="75">
        <f>0.9*$D$20</f>
        <v>8070</v>
      </c>
      <c r="C49" s="76">
        <f>(B49-$D$20)/$D$22</f>
        <v>-0.27639579740713172</v>
      </c>
      <c r="D49" s="77">
        <f>0.5-_xlfn.NORM.DIST(B49,$D$20,$D$22,TRUE)</f>
        <v>0.10887795788263566</v>
      </c>
      <c r="E49" s="78">
        <f>_xlfn.NORM.DIST(B49,$D$20,$D$22,TRUE)</f>
        <v>0.39112204211736434</v>
      </c>
      <c r="I49" s="5"/>
      <c r="J49" s="5"/>
      <c r="AL49" s="5"/>
      <c r="AM49" s="5"/>
    </row>
    <row r="50" spans="2:39" x14ac:dyDescent="0.35">
      <c r="B50" s="79" t="s">
        <v>54</v>
      </c>
      <c r="C50" s="76" t="s">
        <v>13</v>
      </c>
      <c r="D50" s="77">
        <v>0.5</v>
      </c>
      <c r="E50" s="78" t="s">
        <v>13</v>
      </c>
      <c r="I50" s="5"/>
      <c r="J50" s="5"/>
      <c r="AL50" s="5"/>
      <c r="AM50" s="5"/>
    </row>
    <row r="51" spans="2:39" x14ac:dyDescent="0.35">
      <c r="I51" s="5"/>
      <c r="J51" s="5"/>
      <c r="K51" s="5"/>
    </row>
    <row r="52" spans="2:39" x14ac:dyDescent="0.35">
      <c r="B52" s="82" t="s">
        <v>32</v>
      </c>
      <c r="C52" s="59" t="s">
        <v>58</v>
      </c>
      <c r="E52" s="83">
        <f>E53+E54</f>
        <v>0.52890639831977937</v>
      </c>
      <c r="F52" s="74">
        <f>F54-F53</f>
        <v>0.47109360168022063</v>
      </c>
      <c r="G52" s="74">
        <f>G53+G54</f>
        <v>0.52890639831977937</v>
      </c>
      <c r="I52" s="5"/>
      <c r="J52" s="5"/>
      <c r="K52" s="5"/>
    </row>
    <row r="53" spans="2:39" x14ac:dyDescent="0.35">
      <c r="B53" s="75">
        <f>0.82*$D$20</f>
        <v>7352.6666666666661</v>
      </c>
      <c r="C53" s="76">
        <f>(B53-$D$20)/$D$22</f>
        <v>-0.49751243533283745</v>
      </c>
      <c r="D53" s="84">
        <f>0.5-_xlfn.NORM.DIST(B53,$D$20,$D$22,TRUE)</f>
        <v>0.19058613204168884</v>
      </c>
      <c r="E53" s="84">
        <f>0.5-D53</f>
        <v>0.30941386795831116</v>
      </c>
      <c r="F53" s="78">
        <f>_xlfn.NORM.DIST(B53,$D$20,$D$22,TRUE)</f>
        <v>0.30941386795831116</v>
      </c>
      <c r="G53" s="78">
        <f>F53</f>
        <v>0.30941386795831116</v>
      </c>
      <c r="I53" s="5"/>
      <c r="J53" s="5"/>
      <c r="K53" s="5"/>
    </row>
    <row r="54" spans="2:39" x14ac:dyDescent="0.35">
      <c r="B54" s="79">
        <f>1.28*$D$20</f>
        <v>11477.333333333332</v>
      </c>
      <c r="C54" s="76">
        <f>(B54-$D$20)/$D$22</f>
        <v>0.77390823273996912</v>
      </c>
      <c r="D54" s="84">
        <f>_xlfn.NORM.DIST(B54,$D$20,$D$22,TRUE)-0.5</f>
        <v>0.28050746963853179</v>
      </c>
      <c r="E54" s="84">
        <f>0.5-D54</f>
        <v>0.21949253036146821</v>
      </c>
      <c r="F54" s="78">
        <f>_xlfn.NORM.DIST(B54,$D$20,$D$22,TRUE)</f>
        <v>0.78050746963853179</v>
      </c>
      <c r="G54" s="78">
        <f>1-F54</f>
        <v>0.21949253036146821</v>
      </c>
      <c r="I54" s="5"/>
      <c r="J54" s="5"/>
      <c r="K54" s="5"/>
    </row>
    <row r="55" spans="2:39" x14ac:dyDescent="0.35">
      <c r="I55" s="5"/>
      <c r="J55" s="5"/>
      <c r="K55" s="5"/>
    </row>
    <row r="56" spans="2:39" x14ac:dyDescent="0.35">
      <c r="B56" s="52" t="s">
        <v>42</v>
      </c>
      <c r="C56" s="53" t="s">
        <v>59</v>
      </c>
      <c r="D56" s="85">
        <f>D57</f>
        <v>6890.4170563248736</v>
      </c>
      <c r="I56" s="5"/>
      <c r="J56" s="5"/>
      <c r="K56" s="5"/>
    </row>
    <row r="57" spans="2:39" x14ac:dyDescent="0.35">
      <c r="B57" s="86" t="s">
        <v>64</v>
      </c>
      <c r="C57" s="76">
        <v>-0.64</v>
      </c>
      <c r="D57" s="79">
        <f>C57*$D$22+$D$20</f>
        <v>6890.4170563248736</v>
      </c>
      <c r="I57" s="5"/>
      <c r="J57" s="5"/>
      <c r="K57" s="5"/>
    </row>
    <row r="58" spans="2:39" x14ac:dyDescent="0.35">
      <c r="B58" s="79"/>
      <c r="C58" s="76"/>
      <c r="D58" s="77"/>
    </row>
  </sheetData>
  <mergeCells count="12">
    <mergeCell ref="AD16:AE16"/>
    <mergeCell ref="B18:C18"/>
    <mergeCell ref="B2:G2"/>
    <mergeCell ref="V12:W12"/>
    <mergeCell ref="P14:Q14"/>
    <mergeCell ref="V14:W14"/>
    <mergeCell ref="P8:Q8"/>
    <mergeCell ref="V8:W8"/>
    <mergeCell ref="P10:Q10"/>
    <mergeCell ref="V10:W10"/>
    <mergeCell ref="P12:Q12"/>
    <mergeCell ref="U16:V16"/>
  </mergeCells>
  <pageMargins left="0.511811024" right="0.511811024" top="0.78740157499999996" bottom="0.78740157499999996" header="0.31496062000000002" footer="0.31496062000000002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647E37EC11C8246B76D75C67DE7970E" ma:contentTypeVersion="13" ma:contentTypeDescription="Crie um novo documento." ma:contentTypeScope="" ma:versionID="b3352f6cf36f50cf0fbabdd7993fe169">
  <xsd:schema xmlns:xsd="http://www.w3.org/2001/XMLSchema" xmlns:xs="http://www.w3.org/2001/XMLSchema" xmlns:p="http://schemas.microsoft.com/office/2006/metadata/properties" xmlns:ns2="a6194295-1792-4b63-878c-b29c2ff82726" xmlns:ns3="49c50ba2-eaf4-4058-b769-73a32109933c" targetNamespace="http://schemas.microsoft.com/office/2006/metadata/properties" ma:root="true" ma:fieldsID="1d4f56797c83b7dc38274d5867a7ca22" ns2:_="" ns3:_="">
    <xsd:import namespace="a6194295-1792-4b63-878c-b29c2ff82726"/>
    <xsd:import namespace="49c50ba2-eaf4-4058-b769-73a32109933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194295-1792-4b63-878c-b29c2ff8272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c50ba2-eaf4-4058-b769-73a32109933c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f884a67c-109f-47a2-8731-b697e3992bd9}" ma:internalName="TaxCatchAll" ma:showField="CatchAllData" ma:web="49c50ba2-eaf4-4058-b769-73a32109933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6194295-1792-4b63-878c-b29c2ff82726">
      <Terms xmlns="http://schemas.microsoft.com/office/infopath/2007/PartnerControls"/>
    </lcf76f155ced4ddcb4097134ff3c332f>
    <TaxCatchAll xmlns="49c50ba2-eaf4-4058-b769-73a32109933c" xsi:nil="true"/>
  </documentManagement>
</p:properties>
</file>

<file path=customXml/itemProps1.xml><?xml version="1.0" encoding="utf-8"?>
<ds:datastoreItem xmlns:ds="http://schemas.openxmlformats.org/officeDocument/2006/customXml" ds:itemID="{95B98543-A85F-485C-8BF5-C6BC37E620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6194295-1792-4b63-878c-b29c2ff82726"/>
    <ds:schemaRef ds:uri="49c50ba2-eaf4-4058-b769-73a3210993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59B736E-3205-4D0A-BCEE-0DD8197059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4EC689-5A47-4618-BD49-363BCF65A4DD}">
  <ds:schemaRefs>
    <ds:schemaRef ds:uri="http://schemas.microsoft.com/office/2006/metadata/properties"/>
    <ds:schemaRef ds:uri="http://schemas.microsoft.com/office/infopath/2007/PartnerControls"/>
    <ds:schemaRef ds:uri="a6194295-1792-4b63-878c-b29c2ff82726"/>
    <ds:schemaRef ds:uri="49c50ba2-eaf4-4058-b769-73a32109933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2SIA SUB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Ismael de Araujo Silva</dc:creator>
  <cp:keywords/>
  <dc:description/>
  <cp:lastModifiedBy>Victor Lima</cp:lastModifiedBy>
  <cp:revision/>
  <dcterms:created xsi:type="dcterms:W3CDTF">2022-05-15T23:04:56Z</dcterms:created>
  <dcterms:modified xsi:type="dcterms:W3CDTF">2022-11-25T21:51:16Z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0x010100A647E37EC11C8246B76D75C67DE7970E</vt:lpwstr>
  </property>
  <property fmtid="{D5CDD505-2E9C-101B-9397-08002B2CF9AE}" pid="3" name="MediaServiceImageTags">
    <vt:lpwstr/>
  </property>
</Properties>
</file>