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Itecluxanasnc01\sila\SILA-Commun\Projets\e-Parliament\8 - Interinstitutional initiatives\Trilogue Tables &amp; Common Editorial Platform\Trilogue Tables\1-Pre-Project\IRA\"/>
    </mc:Choice>
  </mc:AlternateContent>
  <bookViews>
    <workbookView xWindow="-15" yWindow="7440" windowWidth="28830" windowHeight="7485" tabRatio="546" activeTab="2"/>
  </bookViews>
  <sheets>
    <sheet name="Overview" sheetId="8" r:id="rId1"/>
    <sheet name="1. Size" sheetId="3" r:id="rId2"/>
    <sheet name="2. Structure" sheetId="4" r:id="rId3"/>
    <sheet name="3. Technology" sheetId="5" r:id="rId4"/>
    <sheet name="Scrum_Pre-requisites" sheetId="12" state="hidden" r:id="rId5"/>
    <sheet name="DB" sheetId="11" state="hidden" r:id="rId6"/>
  </sheets>
  <definedNames>
    <definedName name="Cycle">DB!$B$13:$B$14</definedName>
    <definedName name="DocDateInit">#REF!</definedName>
    <definedName name="DocDateLastRevised">#REF!</definedName>
    <definedName name="GroupsWeights" localSheetId="5">DB!$B$6:$C$8</definedName>
    <definedName name="GroupsWeights">DB!$B$5:$C$9</definedName>
    <definedName name="macroRange_2">'1. Size'!$H$3:$I$29</definedName>
    <definedName name="macroRange_3">'2. Structure'!$H$3:$I$40</definedName>
    <definedName name="macroRange_4">'3. Technology'!$H$3:$I$29</definedName>
    <definedName name="Option2" localSheetId="5">DB!$Y$6:$Y$7</definedName>
    <definedName name="Option2">DB!$X$6:$X$7</definedName>
    <definedName name="Option3" localSheetId="5">DB!$X$6:$X$8</definedName>
    <definedName name="Option3">DB!$W$6:$W$8</definedName>
    <definedName name="Option4" localSheetId="5">DB!$W$6:$W$9</definedName>
    <definedName name="Option4">DB!$V$6:$V$9</definedName>
    <definedName name="Option5">DB!$V$6:$V$10</definedName>
    <definedName name="overviewRange">Overview!$L$49:$M$59</definedName>
    <definedName name="phase">DB!$B$20:$B$21</definedName>
    <definedName name="_xlnm.Print_Area" localSheetId="1">'1. Size'!$A$1:$G$29</definedName>
    <definedName name="_xlnm.Print_Area" localSheetId="2">'2. Structure'!$A$1:$G$40</definedName>
    <definedName name="_xlnm.Print_Area" localSheetId="3">'3. Technology'!$A$1:$G$29</definedName>
    <definedName name="_xlnm.Print_Area" localSheetId="5">DB!$K$4:$T$88</definedName>
    <definedName name="_xlnm.Print_Area" localSheetId="0">Overview!$B$1:$J$61</definedName>
    <definedName name="_xlnm.Print_Titles" localSheetId="1">'1. Size'!$1:$2</definedName>
    <definedName name="_xlnm.Print_Titles" localSheetId="2">'2. Structure'!$1:$2</definedName>
    <definedName name="ProjectCode">Overview!$E$6</definedName>
    <definedName name="ProjectName">Overview!$E$8</definedName>
    <definedName name="SubgroupsWeights">DB!$F$6:$I$13</definedName>
    <definedName name="YesNo">DB!$X$23:$X$24</definedName>
    <definedName name="Z_20989AFF_92B9_4E9B_AADA_8707EC412383_.wvu.Cols" localSheetId="1" hidden="1">'1. Size'!#REF!</definedName>
    <definedName name="Z_20989AFF_92B9_4E9B_AADA_8707EC412383_.wvu.Cols" localSheetId="2" hidden="1">'2. Structure'!#REF!</definedName>
    <definedName name="Z_20989AFF_92B9_4E9B_AADA_8707EC412383_.wvu.Cols" localSheetId="3" hidden="1">'3. Technology'!#REF!</definedName>
  </definedNames>
  <calcPr calcId="152511"/>
  <customWorkbookViews>
    <customWorkbookView name="jkasprzak - Personal View" guid="{1154F82E-F7BA-4227-A6C8-AEBBEAEC668B}" mergeInterval="0" personalView="1" maximized="1" windowWidth="1020" windowHeight="577" tabRatio="775" activeSheetId="4" showComments="commIndAndComment"/>
    <customWorkbookView name="emazzone - Personal View" guid="{20989AFF-92B9-4E9B-AADA-8707EC412383}" mergeInterval="0" personalView="1" maximized="1" windowWidth="1012" windowHeight="542" tabRatio="485" activeSheetId="4"/>
  </customWorkbookViews>
</workbook>
</file>

<file path=xl/calcChain.xml><?xml version="1.0" encoding="utf-8"?>
<calcChain xmlns="http://schemas.openxmlformats.org/spreadsheetml/2006/main">
  <c r="AK11" i="11" l="1"/>
  <c r="AK5" i="11"/>
  <c r="F18" i="5"/>
  <c r="F15" i="5"/>
  <c r="F11" i="5"/>
  <c r="F7" i="5"/>
  <c r="F4" i="5"/>
  <c r="AK10" i="11"/>
  <c r="AK9" i="11"/>
  <c r="AK8" i="11"/>
  <c r="AK7" i="11"/>
  <c r="C14" i="12"/>
  <c r="E4" i="12"/>
  <c r="E5" i="12"/>
  <c r="E6" i="12"/>
  <c r="E7" i="12"/>
  <c r="E8" i="12"/>
  <c r="E9" i="12"/>
  <c r="E10" i="12"/>
  <c r="E11" i="12"/>
  <c r="E12" i="12"/>
  <c r="E13" i="12"/>
  <c r="C15" i="12"/>
  <c r="B2" i="12"/>
  <c r="AI11" i="11"/>
  <c r="AH11" i="11"/>
  <c r="AI10" i="11"/>
  <c r="AH10" i="11"/>
  <c r="AI9" i="11"/>
  <c r="AH9" i="11"/>
  <c r="AI8" i="11"/>
  <c r="AH8" i="11"/>
  <c r="AI7" i="11"/>
  <c r="AH7" i="11"/>
  <c r="AI6" i="11"/>
  <c r="AC6" i="11"/>
  <c r="AH6" i="11" s="1"/>
  <c r="AI5" i="11"/>
  <c r="AH5" i="11"/>
  <c r="D31" i="11"/>
  <c r="E31" i="11" s="1"/>
  <c r="P59" i="8" s="1"/>
  <c r="D30" i="11"/>
  <c r="E30" i="11" s="1"/>
  <c r="P58" i="8" s="1"/>
  <c r="D28" i="11"/>
  <c r="E28" i="11" s="1"/>
  <c r="P55" i="8" s="1"/>
  <c r="D29" i="11"/>
  <c r="E29" i="11" s="1"/>
  <c r="P56" i="8" s="1"/>
  <c r="D27" i="11"/>
  <c r="E27" i="11" s="1"/>
  <c r="P54" i="8" s="1"/>
  <c r="D25" i="11"/>
  <c r="E25" i="11" s="1"/>
  <c r="P51" i="8" s="1"/>
  <c r="D26" i="11"/>
  <c r="E26" i="11" s="1"/>
  <c r="P52" i="8" s="1"/>
  <c r="D24" i="11"/>
  <c r="E24" i="11" s="1"/>
  <c r="P50" i="8" s="1"/>
  <c r="B31" i="11"/>
  <c r="B30" i="11"/>
  <c r="B29" i="11"/>
  <c r="B28" i="11"/>
  <c r="B27" i="11"/>
  <c r="B26" i="11"/>
  <c r="B25" i="11"/>
  <c r="B32" i="11"/>
  <c r="B35" i="11"/>
  <c r="B24" i="11"/>
  <c r="N46" i="8"/>
  <c r="E52" i="8"/>
  <c r="D52" i="8"/>
  <c r="E51" i="8"/>
  <c r="D51" i="8"/>
  <c r="E13" i="11"/>
  <c r="G13" i="11"/>
  <c r="L86" i="11" s="1"/>
  <c r="E11" i="11"/>
  <c r="G11" i="11"/>
  <c r="L62" i="11" s="1"/>
  <c r="S51" i="11"/>
  <c r="M51" i="11"/>
  <c r="R51" i="11" s="1"/>
  <c r="S50" i="11"/>
  <c r="M50" i="11"/>
  <c r="R50" i="11" s="1"/>
  <c r="S49" i="11"/>
  <c r="T49" i="11" s="1"/>
  <c r="R49" i="11"/>
  <c r="S40" i="11"/>
  <c r="M40" i="11"/>
  <c r="R40" i="11" s="1"/>
  <c r="S39" i="11"/>
  <c r="T39" i="11" s="1"/>
  <c r="R39" i="11"/>
  <c r="R41" i="11"/>
  <c r="S41" i="11"/>
  <c r="M42" i="11"/>
  <c r="R42" i="11" s="1"/>
  <c r="S42" i="11"/>
  <c r="M43" i="11"/>
  <c r="R43" i="11"/>
  <c r="S43" i="11"/>
  <c r="M44" i="11"/>
  <c r="R44" i="11" s="1"/>
  <c r="S44" i="11"/>
  <c r="S38" i="11"/>
  <c r="M38" i="11"/>
  <c r="R38" i="11" s="1"/>
  <c r="S37" i="11"/>
  <c r="T37" i="11" s="1"/>
  <c r="R37" i="11"/>
  <c r="G7" i="11"/>
  <c r="AB7" i="11" s="1"/>
  <c r="G6" i="11"/>
  <c r="L11" i="11" s="1"/>
  <c r="S20" i="11"/>
  <c r="M20" i="11"/>
  <c r="R20" i="11" s="1"/>
  <c r="S19" i="11"/>
  <c r="M19" i="11"/>
  <c r="R19" i="11" s="1"/>
  <c r="S18" i="11"/>
  <c r="M18" i="11"/>
  <c r="R18" i="11"/>
  <c r="S17" i="11"/>
  <c r="T17" i="11"/>
  <c r="R17" i="11"/>
  <c r="G19" i="8"/>
  <c r="G12" i="11"/>
  <c r="L65" i="11"/>
  <c r="M85" i="11"/>
  <c r="M88" i="11"/>
  <c r="R88" i="11" s="1"/>
  <c r="S71" i="11"/>
  <c r="S72" i="11"/>
  <c r="S73" i="11"/>
  <c r="S74" i="11"/>
  <c r="S75" i="11"/>
  <c r="S76" i="11"/>
  <c r="T75" i="11" s="1"/>
  <c r="Y75" i="11" s="1"/>
  <c r="S78" i="11"/>
  <c r="S79" i="11"/>
  <c r="T78" i="11" s="1"/>
  <c r="Y78" i="11" s="1"/>
  <c r="S80" i="11"/>
  <c r="M76" i="11"/>
  <c r="R76" i="11" s="1"/>
  <c r="M69" i="11"/>
  <c r="M70" i="11" s="1"/>
  <c r="R70" i="11" s="1"/>
  <c r="S77" i="11"/>
  <c r="S67" i="11"/>
  <c r="S68" i="11"/>
  <c r="S69" i="11"/>
  <c r="T67" i="11"/>
  <c r="Y67" i="11" s="1"/>
  <c r="S21" i="11"/>
  <c r="S22" i="11"/>
  <c r="T21" i="11" s="1"/>
  <c r="I8" i="11" s="1"/>
  <c r="S23" i="11"/>
  <c r="S24" i="11"/>
  <c r="S25" i="11"/>
  <c r="S26" i="11"/>
  <c r="S27" i="11"/>
  <c r="S28" i="11"/>
  <c r="S70" i="11"/>
  <c r="S45" i="11"/>
  <c r="S46" i="11"/>
  <c r="S47" i="11"/>
  <c r="S29" i="11"/>
  <c r="S30" i="11"/>
  <c r="T29" i="11" s="1"/>
  <c r="I9" i="11" s="1"/>
  <c r="S31" i="11"/>
  <c r="S32" i="11"/>
  <c r="S33" i="11"/>
  <c r="T32" i="11"/>
  <c r="S34" i="11"/>
  <c r="S48" i="11"/>
  <c r="T45" i="11" s="1"/>
  <c r="M48" i="11"/>
  <c r="R48" i="11"/>
  <c r="G10" i="11"/>
  <c r="AB10" i="11"/>
  <c r="E8" i="11"/>
  <c r="G8" i="11"/>
  <c r="AB8" i="11" s="1"/>
  <c r="G9" i="11"/>
  <c r="L29" i="11" s="1"/>
  <c r="S5" i="11"/>
  <c r="T5" i="11" s="1"/>
  <c r="I6" i="11" s="1"/>
  <c r="S6" i="11"/>
  <c r="S7" i="11"/>
  <c r="S8" i="11"/>
  <c r="S9" i="11"/>
  <c r="S10" i="11"/>
  <c r="S11" i="11"/>
  <c r="S12" i="11"/>
  <c r="R5" i="11"/>
  <c r="F4" i="3"/>
  <c r="M6" i="11"/>
  <c r="R6" i="11" s="1"/>
  <c r="M7" i="11"/>
  <c r="R7" i="11" s="1"/>
  <c r="M8" i="11"/>
  <c r="R8" i="11" s="1"/>
  <c r="R9" i="11"/>
  <c r="M10" i="11"/>
  <c r="R10" i="11" s="1"/>
  <c r="M11" i="11"/>
  <c r="R11" i="11" s="1"/>
  <c r="M12" i="11"/>
  <c r="R12" i="11" s="1"/>
  <c r="R13" i="11"/>
  <c r="M14" i="11"/>
  <c r="R14" i="11"/>
  <c r="M15" i="11"/>
  <c r="R15" i="11"/>
  <c r="M16" i="11"/>
  <c r="R16" i="11"/>
  <c r="S16" i="11"/>
  <c r="S13" i="11"/>
  <c r="S14" i="11"/>
  <c r="S15" i="11"/>
  <c r="S35" i="11"/>
  <c r="S36" i="11"/>
  <c r="T35" i="11" s="1"/>
  <c r="S52" i="11"/>
  <c r="S53" i="11"/>
  <c r="T52" i="11" s="1"/>
  <c r="S54" i="11"/>
  <c r="S55" i="11"/>
  <c r="S56" i="11"/>
  <c r="S57" i="11"/>
  <c r="S58" i="11"/>
  <c r="S59" i="11"/>
  <c r="T58" i="11" s="1"/>
  <c r="S60" i="11"/>
  <c r="S61" i="11"/>
  <c r="T61" i="11" s="1"/>
  <c r="S62" i="11"/>
  <c r="S63" i="11"/>
  <c r="S64" i="11"/>
  <c r="S65" i="11"/>
  <c r="S66" i="11"/>
  <c r="S81" i="11"/>
  <c r="S82" i="11"/>
  <c r="S83" i="11"/>
  <c r="S84" i="11"/>
  <c r="S85" i="11"/>
  <c r="T84" i="11" s="1"/>
  <c r="I13" i="11" s="1"/>
  <c r="S86" i="11"/>
  <c r="S87" i="11"/>
  <c r="R21" i="11"/>
  <c r="M22" i="11"/>
  <c r="R22" i="11" s="1"/>
  <c r="R23" i="11"/>
  <c r="M24" i="11"/>
  <c r="R24" i="11" s="1"/>
  <c r="M25" i="11"/>
  <c r="R25" i="11" s="1"/>
  <c r="R26" i="11"/>
  <c r="M27" i="11"/>
  <c r="R27" i="11" s="1"/>
  <c r="M28" i="11"/>
  <c r="R28" i="11" s="1"/>
  <c r="R29" i="11"/>
  <c r="M30" i="11"/>
  <c r="R30" i="11" s="1"/>
  <c r="M31" i="11"/>
  <c r="R31" i="11" s="1"/>
  <c r="R32" i="11"/>
  <c r="M33" i="11"/>
  <c r="R33" i="11" s="1"/>
  <c r="M34" i="11"/>
  <c r="R34" i="11" s="1"/>
  <c r="R45" i="11"/>
  <c r="M46" i="11"/>
  <c r="R46" i="11" s="1"/>
  <c r="M47" i="11"/>
  <c r="R47" i="11" s="1"/>
  <c r="R35" i="11"/>
  <c r="M36" i="11"/>
  <c r="R36" i="11" s="1"/>
  <c r="R52" i="11"/>
  <c r="M53" i="11"/>
  <c r="R53" i="11"/>
  <c r="M54" i="11"/>
  <c r="R54" i="11"/>
  <c r="R55" i="11"/>
  <c r="M56" i="11"/>
  <c r="R56" i="11" s="1"/>
  <c r="M57" i="11"/>
  <c r="R57" i="11" s="1"/>
  <c r="R58" i="11"/>
  <c r="M59" i="11"/>
  <c r="R59" i="11"/>
  <c r="M60" i="11"/>
  <c r="R60" i="11"/>
  <c r="R61" i="11"/>
  <c r="M62" i="11"/>
  <c r="R62" i="11" s="1"/>
  <c r="M63" i="11"/>
  <c r="R63" i="11" s="1"/>
  <c r="R64" i="11"/>
  <c r="M65" i="11"/>
  <c r="R65" i="11"/>
  <c r="M66" i="11"/>
  <c r="R66" i="11"/>
  <c r="R67" i="11"/>
  <c r="M68" i="11"/>
  <c r="R68" i="11" s="1"/>
  <c r="R71" i="11"/>
  <c r="M72" i="11"/>
  <c r="R72" i="11" s="1"/>
  <c r="M73" i="11"/>
  <c r="R73" i="11" s="1"/>
  <c r="M74" i="11"/>
  <c r="R74" i="11" s="1"/>
  <c r="R75" i="11"/>
  <c r="R78" i="11"/>
  <c r="M79" i="11"/>
  <c r="R79" i="11" s="1"/>
  <c r="M80" i="11"/>
  <c r="R80" i="11" s="1"/>
  <c r="C8" i="11"/>
  <c r="C7" i="11"/>
  <c r="D49" i="8"/>
  <c r="B6" i="11"/>
  <c r="D50" i="8"/>
  <c r="B7" i="11"/>
  <c r="B8" i="11"/>
  <c r="D59" i="8"/>
  <c r="D57" i="8"/>
  <c r="D58" i="8"/>
  <c r="D53" i="8"/>
  <c r="D56" i="8"/>
  <c r="D55" i="8"/>
  <c r="D54" i="8"/>
  <c r="A2" i="3"/>
  <c r="A2" i="4"/>
  <c r="A2" i="5"/>
  <c r="R81" i="11"/>
  <c r="M82" i="11"/>
  <c r="R82" i="11" s="1"/>
  <c r="M83" i="11"/>
  <c r="R83" i="11" s="1"/>
  <c r="R84" i="11"/>
  <c r="M86" i="11"/>
  <c r="R86" i="11" s="1"/>
  <c r="M87" i="11"/>
  <c r="R87" i="11" s="1"/>
  <c r="L56" i="11"/>
  <c r="L64" i="11"/>
  <c r="L68" i="11"/>
  <c r="L73" i="11"/>
  <c r="L78" i="11"/>
  <c r="L82" i="11"/>
  <c r="E59" i="8"/>
  <c r="E58" i="8"/>
  <c r="E56" i="8"/>
  <c r="E55" i="8"/>
  <c r="E54" i="8"/>
  <c r="E50" i="8"/>
  <c r="C6" i="11"/>
  <c r="L61" i="11"/>
  <c r="L30" i="11"/>
  <c r="L52" i="11"/>
  <c r="L58" i="11"/>
  <c r="L59" i="11"/>
  <c r="L26" i="11"/>
  <c r="L76" i="11"/>
  <c r="L72" i="11"/>
  <c r="M77" i="11"/>
  <c r="R77" i="11" s="1"/>
  <c r="L27" i="11"/>
  <c r="L24" i="11"/>
  <c r="R85" i="11"/>
  <c r="L70" i="11"/>
  <c r="L77" i="11"/>
  <c r="L51" i="11"/>
  <c r="L50" i="11"/>
  <c r="L74" i="11"/>
  <c r="L79" i="11"/>
  <c r="R69" i="11"/>
  <c r="L80" i="11"/>
  <c r="L75" i="11"/>
  <c r="L71" i="11"/>
  <c r="L66" i="11"/>
  <c r="L40" i="11"/>
  <c r="T13" i="11"/>
  <c r="I7" i="11" s="1"/>
  <c r="T9" i="11"/>
  <c r="T26" i="11"/>
  <c r="L43" i="11"/>
  <c r="L41" i="11"/>
  <c r="L38" i="11"/>
  <c r="L46" i="11"/>
  <c r="L84" i="11"/>
  <c r="L45" i="11"/>
  <c r="L10" i="11"/>
  <c r="L35" i="11"/>
  <c r="L88" i="11"/>
  <c r="L85" i="11"/>
  <c r="L69" i="11"/>
  <c r="L67" i="11"/>
  <c r="T81" i="11"/>
  <c r="T64" i="11"/>
  <c r="Y64" i="11" s="1"/>
  <c r="L20" i="11"/>
  <c r="L17" i="11"/>
  <c r="F25" i="5"/>
  <c r="F8" i="3"/>
  <c r="F3" i="3" s="1"/>
  <c r="D3" i="3" s="1"/>
  <c r="F22" i="5"/>
  <c r="F21" i="5" s="1"/>
  <c r="F22" i="3"/>
  <c r="AJ8" i="11" s="1"/>
  <c r="F29" i="4"/>
  <c r="F18" i="3"/>
  <c r="F15" i="4"/>
  <c r="F27" i="3"/>
  <c r="AJ9" i="11" s="1"/>
  <c r="AL9" i="11" s="1"/>
  <c r="F11" i="4"/>
  <c r="AJ10" i="11" s="1"/>
  <c r="AL10" i="11" s="1"/>
  <c r="F35" i="4"/>
  <c r="F24" i="3"/>
  <c r="F13" i="4"/>
  <c r="AJ11" i="11"/>
  <c r="AL11" i="11" s="1"/>
  <c r="F32" i="4"/>
  <c r="F4" i="4"/>
  <c r="F25" i="4"/>
  <c r="F17" i="4"/>
  <c r="F13" i="3"/>
  <c r="AJ7" i="11" s="1"/>
  <c r="AL7" i="11" s="1"/>
  <c r="F7" i="4"/>
  <c r="F38" i="4"/>
  <c r="T71" i="11"/>
  <c r="Y71" i="11" s="1"/>
  <c r="F21" i="4"/>
  <c r="T23" i="11"/>
  <c r="L14" i="11"/>
  <c r="L16" i="11"/>
  <c r="AB11" i="11"/>
  <c r="AB5" i="11"/>
  <c r="L9" i="11"/>
  <c r="L31" i="11"/>
  <c r="L47" i="11"/>
  <c r="L48" i="11"/>
  <c r="L12" i="11"/>
  <c r="L36" i="11"/>
  <c r="L37" i="11"/>
  <c r="L42" i="11"/>
  <c r="L44" i="11"/>
  <c r="L39" i="11"/>
  <c r="L49" i="11"/>
  <c r="L34" i="11"/>
  <c r="B14" i="12"/>
  <c r="D70" i="8"/>
  <c r="F3" i="5" l="1"/>
  <c r="D3" i="5" s="1"/>
  <c r="AL8" i="11"/>
  <c r="F12" i="3"/>
  <c r="D12" i="3" s="1"/>
  <c r="F10" i="4"/>
  <c r="D10" i="4" s="1"/>
  <c r="F17" i="3"/>
  <c r="D17" i="3" s="1"/>
  <c r="Z79" i="11"/>
  <c r="I12" i="11" s="1"/>
  <c r="T55" i="11"/>
  <c r="I11" i="11" s="1"/>
  <c r="L6" i="11"/>
  <c r="L32" i="11"/>
  <c r="L8" i="11"/>
  <c r="L13" i="11"/>
  <c r="L5" i="11"/>
  <c r="AB6" i="11"/>
  <c r="AB9" i="11"/>
  <c r="L7" i="11"/>
  <c r="L33" i="11"/>
  <c r="F3" i="4"/>
  <c r="E3" i="4" s="1"/>
  <c r="K54" i="8" s="1"/>
  <c r="F28" i="4"/>
  <c r="D28" i="4" s="1"/>
  <c r="L28" i="11"/>
  <c r="L18" i="11"/>
  <c r="L83" i="11"/>
  <c r="L87" i="11"/>
  <c r="L15" i="11"/>
  <c r="L81" i="11"/>
  <c r="L25" i="11"/>
  <c r="L21" i="11"/>
  <c r="L22" i="11"/>
  <c r="L23" i="11"/>
  <c r="L55" i="11"/>
  <c r="L63" i="11"/>
  <c r="L60" i="11"/>
  <c r="L53" i="11"/>
  <c r="L57" i="11"/>
  <c r="L54" i="11"/>
  <c r="L19" i="11"/>
  <c r="T41" i="11"/>
  <c r="I10" i="11" s="1"/>
  <c r="E3" i="3"/>
  <c r="K50" i="8" s="1"/>
  <c r="D21" i="5"/>
  <c r="E21" i="5"/>
  <c r="K59" i="8" s="1"/>
  <c r="N59" i="8" s="1"/>
  <c r="AJ5" i="11"/>
  <c r="AL5" i="11" s="1"/>
  <c r="T3" i="11"/>
  <c r="E3" i="5" l="1"/>
  <c r="K58" i="8" s="1"/>
  <c r="N58" i="8" s="1"/>
  <c r="E28" i="4"/>
  <c r="K56" i="8" s="1"/>
  <c r="N56" i="8" s="1"/>
  <c r="D3" i="4"/>
  <c r="E17" i="3"/>
  <c r="K52" i="8" s="1"/>
  <c r="N52" i="8" s="1"/>
  <c r="E12" i="3"/>
  <c r="K51" i="8" s="1"/>
  <c r="N51" i="8" s="1"/>
  <c r="E10" i="4"/>
  <c r="K55" i="8" s="1"/>
  <c r="N55" i="8" s="1"/>
  <c r="I3" i="11"/>
  <c r="N54" i="8"/>
  <c r="N50" i="8"/>
  <c r="H57" i="8" l="1"/>
  <c r="H53" i="8"/>
  <c r="H49" i="8"/>
  <c r="K48" i="8" l="1"/>
  <c r="AK12" i="11" s="1"/>
  <c r="F48" i="8" l="1"/>
  <c r="AI12" i="11" s="1"/>
  <c r="AJ12" i="11" s="1"/>
  <c r="AL12" i="11" s="1"/>
  <c r="AJ14" i="11" s="1"/>
  <c r="AJ15" i="11" s="1"/>
  <c r="F67" i="8" s="1"/>
  <c r="K46" i="8" l="1"/>
  <c r="D46" i="8" s="1"/>
</calcChain>
</file>

<file path=xl/comments1.xml><?xml version="1.0" encoding="utf-8"?>
<comments xmlns="http://schemas.openxmlformats.org/spreadsheetml/2006/main">
  <authors>
    <author>Jolivalt</author>
  </authors>
  <commentList>
    <comment ref="E19" authorId="0" shapeId="0">
      <text>
        <r>
          <rPr>
            <sz val="8"/>
            <color indexed="81"/>
            <rFont val="Tahoma"/>
            <family val="2"/>
          </rPr>
          <t>Precise here the phase concerning by this assessment.</t>
        </r>
      </text>
    </comment>
  </commentList>
</comments>
</file>

<file path=xl/comments2.xml><?xml version="1.0" encoding="utf-8"?>
<comments xmlns="http://schemas.openxmlformats.org/spreadsheetml/2006/main">
  <authors>
    <author>clebegue</author>
  </authors>
  <commentList>
    <comment ref="T4" authorId="0" shapeId="0">
      <text>
        <r>
          <rPr>
            <b/>
            <sz val="8"/>
            <color indexed="81"/>
            <rFont val="Tahoma"/>
            <family val="2"/>
          </rPr>
          <t>Dépend du choix défini dans overview et du type de la question (BPM ou PMM) &gt; si ces deux conditions sont remplies alors le maximum est calculé</t>
        </r>
      </text>
    </comment>
  </commentList>
</comments>
</file>

<file path=xl/sharedStrings.xml><?xml version="1.0" encoding="utf-8"?>
<sst xmlns="http://schemas.openxmlformats.org/spreadsheetml/2006/main" count="745" uniqueCount="241">
  <si>
    <t>Description</t>
  </si>
  <si>
    <t>Moderate</t>
  </si>
  <si>
    <t>High</t>
  </si>
  <si>
    <t>a.</t>
  </si>
  <si>
    <t>b.</t>
  </si>
  <si>
    <t>c.</t>
  </si>
  <si>
    <t>d.</t>
  </si>
  <si>
    <t>Medium</t>
  </si>
  <si>
    <t>One</t>
  </si>
  <si>
    <t>No</t>
  </si>
  <si>
    <t>Yes</t>
  </si>
  <si>
    <t>Adequate</t>
  </si>
  <si>
    <t>Limited</t>
  </si>
  <si>
    <t>No experience</t>
  </si>
  <si>
    <t>Excellent</t>
  </si>
  <si>
    <t>Good</t>
  </si>
  <si>
    <t>Fair</t>
  </si>
  <si>
    <t>Poor</t>
  </si>
  <si>
    <t>To a large degree</t>
  </si>
  <si>
    <t>To a moderate degree</t>
  </si>
  <si>
    <t>Minimal dependence</t>
  </si>
  <si>
    <t>Moderate dependence</t>
  </si>
  <si>
    <t>High dependence</t>
  </si>
  <si>
    <t>To a minimal degree (or not at all)</t>
  </si>
  <si>
    <t>Limited importance</t>
  </si>
  <si>
    <t>Moderate importance</t>
  </si>
  <si>
    <t>Extreme importance</t>
  </si>
  <si>
    <t>Very experienced</t>
  </si>
  <si>
    <t>Moderately experienced</t>
  </si>
  <si>
    <t>Slightly or not experienced</t>
  </si>
  <si>
    <t>Not applicable</t>
  </si>
  <si>
    <t>No data conversion effort</t>
  </si>
  <si>
    <t>Straightforward</t>
  </si>
  <si>
    <t>Average</t>
  </si>
  <si>
    <t>Complex</t>
  </si>
  <si>
    <t>Reasonable expectations</t>
  </si>
  <si>
    <t>Stringent requirements</t>
  </si>
  <si>
    <t>How important are the security/privacy considerations to the new system?</t>
  </si>
  <si>
    <t>None</t>
  </si>
  <si>
    <t>1 to 3</t>
  </si>
  <si>
    <t>Option Tables</t>
  </si>
  <si>
    <t>A</t>
  </si>
  <si>
    <t>B</t>
  </si>
  <si>
    <t>C</t>
  </si>
  <si>
    <t>D</t>
  </si>
  <si>
    <t>E</t>
  </si>
  <si>
    <t>Size</t>
  </si>
  <si>
    <t>Structure</t>
  </si>
  <si>
    <t>Technology</t>
  </si>
  <si>
    <t>Total</t>
  </si>
  <si>
    <t>Administration and Control</t>
  </si>
  <si>
    <t>Parameters</t>
  </si>
  <si>
    <t>Group</t>
  </si>
  <si>
    <t>Weight</t>
  </si>
  <si>
    <t>Subgroup</t>
  </si>
  <si>
    <t>Group and subgroups weightening</t>
  </si>
  <si>
    <t>1.A.1</t>
  </si>
  <si>
    <t>1.A.2</t>
  </si>
  <si>
    <t>1.A</t>
  </si>
  <si>
    <t>1.C</t>
  </si>
  <si>
    <t>1.C.1</t>
  </si>
  <si>
    <t>1.C.2</t>
  </si>
  <si>
    <t>Answer</t>
  </si>
  <si>
    <t>Factor</t>
  </si>
  <si>
    <t>Max</t>
  </si>
  <si>
    <t>2.A</t>
  </si>
  <si>
    <t>2.B</t>
  </si>
  <si>
    <t>2.C</t>
  </si>
  <si>
    <t>3.A</t>
  </si>
  <si>
    <t>3.B</t>
  </si>
  <si>
    <t>Group weightening</t>
  </si>
  <si>
    <t>Q #</t>
  </si>
  <si>
    <t>Result</t>
  </si>
  <si>
    <t>2.A.1</t>
  </si>
  <si>
    <t>2.A.2</t>
  </si>
  <si>
    <t>2.B.1</t>
  </si>
  <si>
    <t>2.B.3</t>
  </si>
  <si>
    <t>2.B.4</t>
  </si>
  <si>
    <t>2.C.1</t>
  </si>
  <si>
    <t>Technical Requirements</t>
  </si>
  <si>
    <t xml:space="preserve">a. </t>
  </si>
  <si>
    <t>EP Staff</t>
  </si>
  <si>
    <t>Citizen</t>
  </si>
  <si>
    <t>Between 1 and 3</t>
  </si>
  <si>
    <t>More than 3</t>
  </si>
  <si>
    <t>Internal</t>
  </si>
  <si>
    <t>Secure external (VPN)</t>
  </si>
  <si>
    <t>What is the estimated total budget for the project?</t>
  </si>
  <si>
    <t>Moderate level of availability</t>
  </si>
  <si>
    <t>Low level of availability</t>
  </si>
  <si>
    <t>Adequate level of availability</t>
  </si>
  <si>
    <t>Demonstrated performance within the EP with similar projects</t>
  </si>
  <si>
    <t>Prior experience on similar projects but no experience at the EP</t>
  </si>
  <si>
    <t>Well known and defined</t>
  </si>
  <si>
    <t>General understanding</t>
  </si>
  <si>
    <t>Not well known/defined</t>
  </si>
  <si>
    <t xml:space="preserve">Low </t>
  </si>
  <si>
    <t>Security</t>
  </si>
  <si>
    <t>What is the level of sensitivity of the data?</t>
  </si>
  <si>
    <t>Not sensitive</t>
  </si>
  <si>
    <t>External (DMZ)</t>
  </si>
  <si>
    <t>More than 500 000€</t>
  </si>
  <si>
    <t>Less than 50 000€</t>
  </si>
  <si>
    <t>50 000€ to 100 000€</t>
  </si>
  <si>
    <t>100 000€ to 500 000€</t>
  </si>
  <si>
    <t>Code</t>
  </si>
  <si>
    <t>Name</t>
  </si>
  <si>
    <t>Option Values</t>
  </si>
  <si>
    <t>Demonstrated performance within the EP on different projects</t>
  </si>
  <si>
    <t>What is the MOE Project team’s functional knowledge of the client's business?</t>
  </si>
  <si>
    <t>100 m-d to 200 m-d</t>
  </si>
  <si>
    <t>200 m-d to 1 000 m-d</t>
  </si>
  <si>
    <t>More than 1 000 m-d</t>
  </si>
  <si>
    <t>Less than 100 man-day (m-d)</t>
  </si>
  <si>
    <t>Project Initial Risks Assessment</t>
  </si>
  <si>
    <t>Project IRA level:</t>
  </si>
  <si>
    <t>Last modifications:</t>
  </si>
  <si>
    <t>Comments</t>
  </si>
  <si>
    <t>Current phase</t>
  </si>
  <si>
    <t>Phase</t>
  </si>
  <si>
    <t>Pre-Project</t>
  </si>
  <si>
    <t>Definition</t>
  </si>
  <si>
    <t>Realisation</t>
  </si>
  <si>
    <t>Closure</t>
  </si>
  <si>
    <t>1. Size</t>
  </si>
  <si>
    <t>2. Structure</t>
  </si>
  <si>
    <t>3. Technology</t>
  </si>
  <si>
    <t>Has a project management method been established for the project?</t>
  </si>
  <si>
    <t>PMM4EP</t>
  </si>
  <si>
    <t>PMM4EP, first time used by the project team</t>
  </si>
  <si>
    <t>The Network Access is:</t>
  </si>
  <si>
    <t>Project type</t>
  </si>
  <si>
    <t>PMM</t>
  </si>
  <si>
    <t>BPM</t>
  </si>
  <si>
    <t>x</t>
  </si>
  <si>
    <t>How well known/defined are the needs of the project?</t>
  </si>
  <si>
    <t>WeightPMM</t>
  </si>
  <si>
    <t>MAX</t>
  </si>
  <si>
    <t>Cycle</t>
  </si>
  <si>
    <t>BPM Project</t>
  </si>
  <si>
    <t>PMM Project</t>
  </si>
  <si>
    <t>Very deep</t>
  </si>
  <si>
    <t>EP Members (MEP)</t>
  </si>
  <si>
    <t>Other development method in addition to PMM4EP, to be justified in the 'Project Management Plan'</t>
  </si>
  <si>
    <t>First time</t>
  </si>
  <si>
    <t>Is a project Sponsor identified?</t>
  </si>
  <si>
    <t>What is the required level for the performance of the system (e.g., response time, availability, capacity)?</t>
  </si>
  <si>
    <t>How many different systems must be interfaced?</t>
  </si>
  <si>
    <t>Not Applicable</t>
  </si>
  <si>
    <t>How experienced is the MOE Project Team with the technology being used?</t>
  </si>
  <si>
    <t>2.C.3</t>
  </si>
  <si>
    <t>2.C.2</t>
  </si>
  <si>
    <t>To what degree will the client depend on an external staff to manage the project (requirements, documents, etc.)?</t>
  </si>
  <si>
    <t>To what degree will the result of the project impact normal operations and organization (change management)?</t>
  </si>
  <si>
    <t>3.A.1</t>
  </si>
  <si>
    <t>3.B.1</t>
  </si>
  <si>
    <t>Low Risks lifecycle</t>
  </si>
  <si>
    <t>Medium Risks lifecycle</t>
  </si>
  <si>
    <t>High Risks lifecycle</t>
  </si>
  <si>
    <t>1.C.3</t>
  </si>
  <si>
    <t>How many DGs or Institutions are involved?</t>
  </si>
  <si>
    <t>What is the percentage of modified or added functions by the new application?</t>
  </si>
  <si>
    <t>&lt; 25%</t>
  </si>
  <si>
    <t>26-50%</t>
  </si>
  <si>
    <t>&gt; 51</t>
  </si>
  <si>
    <t>Less than 25%</t>
  </si>
  <si>
    <t>Business Requirements</t>
  </si>
  <si>
    <t>What is the anticipated complexity of the conversion/migration effort?</t>
  </si>
  <si>
    <t>e.</t>
  </si>
  <si>
    <t>The type of your project is:</t>
  </si>
  <si>
    <t>An IT development or an enhancement</t>
  </si>
  <si>
    <t>Other</t>
  </si>
  <si>
    <t>A project of infrastructure</t>
  </si>
  <si>
    <t>A project of migration</t>
  </si>
  <si>
    <t>25% to 65%</t>
  </si>
  <si>
    <t>More than 65%</t>
  </si>
  <si>
    <t>Risks level by subgroup</t>
  </si>
  <si>
    <t>What is the estimated total workload for the project?</t>
  </si>
  <si>
    <t>Who are the end users (target) of the project?</t>
  </si>
  <si>
    <t>Project Team</t>
  </si>
  <si>
    <t>What is the Project team experience (type of project / business / technical skills, etc.)?</t>
  </si>
  <si>
    <t>What is the level of availability of the Project Team?</t>
  </si>
  <si>
    <t>Is there a Business Analyst in the Steering Committee?</t>
  </si>
  <si>
    <t>A business analysis has previously been conducted and still relevant (Business Case and Business requirements collection delivered)?</t>
  </si>
  <si>
    <t>Are some IT activities delegated to a third party (externalised, extra-muros)?</t>
  </si>
  <si>
    <t>What is the experience of the EP Project Manager (MOE) with projects of a similar type/size?</t>
  </si>
  <si>
    <t>What is the probability of change in the project (scope, time and cost)?</t>
  </si>
  <si>
    <t>Project Estimation</t>
  </si>
  <si>
    <t>Project Type</t>
  </si>
  <si>
    <t>1.C.4</t>
  </si>
  <si>
    <t>1.B.1</t>
  </si>
  <si>
    <t>1.B</t>
  </si>
  <si>
    <t>2.B.2</t>
  </si>
  <si>
    <t>2.B.5</t>
  </si>
  <si>
    <t>2.B.6</t>
  </si>
  <si>
    <t>3.A.2</t>
  </si>
  <si>
    <t>3.A.3</t>
  </si>
  <si>
    <t>3.A.4</t>
  </si>
  <si>
    <t>3.A.5</t>
  </si>
  <si>
    <t>3.B.2</t>
  </si>
  <si>
    <t>2.C.4</t>
  </si>
  <si>
    <t>All cells completed</t>
  </si>
  <si>
    <t>4. Scrum - Pre-requisites</t>
  </si>
  <si>
    <t>Scrum page</t>
  </si>
  <si>
    <t>Scrum citeria</t>
  </si>
  <si>
    <t>IRA level</t>
  </si>
  <si>
    <t>Criteria not validated</t>
  </si>
  <si>
    <t>SCRUM lifecycle is possible</t>
  </si>
  <si>
    <t>YesNo</t>
  </si>
  <si>
    <t>4.A</t>
  </si>
  <si>
    <t>4.A.1</t>
  </si>
  <si>
    <t>4.A.2</t>
  </si>
  <si>
    <t>4.A.3</t>
  </si>
  <si>
    <t>4.A.4</t>
  </si>
  <si>
    <t>4.A.5</t>
  </si>
  <si>
    <t>4.A.6</t>
  </si>
  <si>
    <t>4.A.7</t>
  </si>
  <si>
    <t>4.A.8</t>
  </si>
  <si>
    <t>4.A.9</t>
  </si>
  <si>
    <t>4.A.10</t>
  </si>
  <si>
    <t>Pre-requisites</t>
  </si>
  <si>
    <t>Not blank</t>
  </si>
  <si>
    <t>Criteria validated</t>
  </si>
  <si>
    <t>Criteria validated and not blank</t>
  </si>
  <si>
    <t xml:space="preserve">Scrum lifecycle </t>
  </si>
  <si>
    <r>
      <t xml:space="preserve">To check if you could apply the Scrum lifecycle, please:
1/- Check all the IRA criteria
2/- Click on the "Scrum pre-requisites" button </t>
    </r>
    <r>
      <rPr>
        <sz val="9"/>
        <rFont val="Arial"/>
        <family val="2"/>
      </rPr>
      <t>(on left)
3/- If IRA criteria are OK, the 'Scrum tab' will be open
4/- Check the Scrum criteria
5/- Check if all the IRA and Scrum criteria are OK to apply the Scrum lifecycle</t>
    </r>
  </si>
  <si>
    <r>
      <t xml:space="preserve">Business Requirements are </t>
    </r>
    <r>
      <rPr>
        <b/>
        <sz val="10"/>
        <rFont val="Arial"/>
        <family val="2"/>
      </rPr>
      <t>validated</t>
    </r>
    <r>
      <rPr>
        <sz val="10"/>
        <rFont val="Arial"/>
        <family val="2"/>
      </rPr>
      <t xml:space="preserve"> by the official </t>
    </r>
    <r>
      <rPr>
        <b/>
        <sz val="10"/>
        <rFont val="Arial"/>
        <family val="2"/>
      </rPr>
      <t>Business representative</t>
    </r>
    <r>
      <rPr>
        <sz val="10"/>
        <rFont val="Arial"/>
        <family val="2"/>
      </rPr>
      <t xml:space="preserve"> (MOA Project Owner)</t>
    </r>
  </si>
  <si>
    <r>
      <t xml:space="preserve">The </t>
    </r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must be developed in compliance with the </t>
    </r>
    <r>
      <rPr>
        <b/>
        <sz val="10"/>
        <rFont val="Arial"/>
        <family val="2"/>
      </rPr>
      <t>EP IT environment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EP constraints</t>
    </r>
  </si>
  <si>
    <r>
      <t xml:space="preserve">The </t>
    </r>
    <r>
      <rPr>
        <b/>
        <sz val="10"/>
        <rFont val="Arial"/>
        <family val="2"/>
      </rPr>
      <t>Product Owner</t>
    </r>
    <r>
      <rPr>
        <sz val="10"/>
        <rFont val="Arial"/>
        <family val="2"/>
      </rPr>
      <t xml:space="preserve"> (Business representative) must be appointed at the </t>
    </r>
    <r>
      <rPr>
        <b/>
        <sz val="10"/>
        <rFont val="Arial"/>
        <family val="2"/>
      </rPr>
      <t>inception</t>
    </r>
    <r>
      <rPr>
        <sz val="10"/>
        <rFont val="Arial"/>
        <family val="2"/>
      </rPr>
      <t xml:space="preserve"> of the project</t>
    </r>
  </si>
  <si>
    <r>
      <t xml:space="preserve">The </t>
    </r>
    <r>
      <rPr>
        <b/>
        <sz val="10"/>
        <rFont val="Arial"/>
        <family val="2"/>
      </rPr>
      <t>Product Owner</t>
    </r>
    <r>
      <rPr>
        <sz val="10"/>
        <rFont val="Arial"/>
        <family val="2"/>
      </rPr>
      <t xml:space="preserve"> must be available with the decision power regarding the Business side of the project</t>
    </r>
  </si>
  <si>
    <r>
      <t xml:space="preserve">The </t>
    </r>
    <r>
      <rPr>
        <b/>
        <sz val="10"/>
        <rFont val="Arial"/>
        <family val="2"/>
      </rPr>
      <t>whole Team</t>
    </r>
    <r>
      <rPr>
        <sz val="10"/>
        <rFont val="Arial"/>
        <family val="2"/>
      </rPr>
      <t xml:space="preserve"> (MOA and MOE) must be completely dedicated to the project with a real involvement and with a strong collaboration</t>
    </r>
  </si>
  <si>
    <r>
      <rPr>
        <b/>
        <sz val="10"/>
        <rFont val="Arial"/>
        <family val="2"/>
      </rPr>
      <t>Testing policy</t>
    </r>
    <r>
      <rPr>
        <sz val="10"/>
        <rFont val="Arial"/>
        <family val="2"/>
      </rPr>
      <t xml:space="preserve"> (similar to PMM4EP Master Test Plan) must be described in the</t>
    </r>
    <r>
      <rPr>
        <b/>
        <sz val="10"/>
        <rFont val="Arial"/>
        <family val="2"/>
      </rPr>
      <t xml:space="preserve"> Scrum dashboard</t>
    </r>
  </si>
  <si>
    <r>
      <t xml:space="preserve">Some </t>
    </r>
    <r>
      <rPr>
        <b/>
        <sz val="10"/>
        <rFont val="Arial"/>
        <family val="2"/>
      </rPr>
      <t>PMM4EP templates</t>
    </r>
    <r>
      <rPr>
        <sz val="10"/>
        <rFont val="Arial"/>
        <family val="2"/>
      </rPr>
      <t xml:space="preserve"> are used as </t>
    </r>
    <r>
      <rPr>
        <b/>
        <sz val="10"/>
        <rFont val="Arial"/>
        <family val="2"/>
      </rPr>
      <t>Agile deliverables</t>
    </r>
    <r>
      <rPr>
        <sz val="10"/>
        <rFont val="Arial"/>
        <family val="2"/>
      </rPr>
      <t xml:space="preserve"> ('Initial Risks Assessment", "Charter Scope &amp; Management Plan", "Technical Architecture Document", "Change requests", "Acceptance Report", "Project review")</t>
    </r>
  </si>
  <si>
    <r>
      <t xml:space="preserve">The </t>
    </r>
    <r>
      <rPr>
        <b/>
        <sz val="10"/>
        <rFont val="Arial"/>
        <family val="2"/>
      </rPr>
      <t>Product</t>
    </r>
    <r>
      <rPr>
        <sz val="10"/>
        <rFont val="Arial"/>
        <family val="2"/>
      </rPr>
      <t xml:space="preserve"> must be delivered by an </t>
    </r>
    <r>
      <rPr>
        <b/>
        <sz val="10"/>
        <rFont val="Arial"/>
        <family val="2"/>
      </rPr>
      <t>iterative and incremental</t>
    </r>
    <r>
      <rPr>
        <sz val="10"/>
        <rFont val="Arial"/>
        <family val="2"/>
      </rPr>
      <t xml:space="preserve"> process</t>
    </r>
  </si>
  <si>
    <r>
      <rPr>
        <b/>
        <sz val="10"/>
        <rFont val="Arial"/>
        <family val="2"/>
      </rPr>
      <t>Tools and automation</t>
    </r>
    <r>
      <rPr>
        <sz val="10"/>
        <rFont val="Arial"/>
        <family val="2"/>
      </rPr>
      <t xml:space="preserve">: the </t>
    </r>
    <r>
      <rPr>
        <b/>
        <sz val="10"/>
        <rFont val="Arial"/>
        <family val="2"/>
      </rPr>
      <t>Scrum process</t>
    </r>
    <r>
      <rPr>
        <sz val="10"/>
        <rFont val="Arial"/>
        <family val="2"/>
      </rPr>
      <t xml:space="preserve"> has to be supported according to the </t>
    </r>
    <r>
      <rPr>
        <b/>
        <sz val="10"/>
        <rFont val="Arial"/>
        <family val="2"/>
      </rPr>
      <t>EP Foundry tools</t>
    </r>
    <r>
      <rPr>
        <sz val="10"/>
        <rFont val="Arial"/>
        <family val="2"/>
      </rPr>
      <t xml:space="preserve"> (see STANDARDS Unit website)
Tools and Automation are available and operational</t>
    </r>
  </si>
  <si>
    <t>Version 50 of 28/06/2013</t>
  </si>
  <si>
    <r>
      <rPr>
        <b/>
        <sz val="10"/>
        <rFont val="Arial"/>
        <family val="2"/>
      </rPr>
      <t>People in the project</t>
    </r>
    <r>
      <rPr>
        <sz val="10"/>
        <rFont val="Arial"/>
        <family val="2"/>
      </rPr>
      <t xml:space="preserve"> must have a  good knowledge of </t>
    </r>
    <r>
      <rPr>
        <b/>
        <sz val="10"/>
        <rFont val="Arial"/>
        <family val="2"/>
      </rPr>
      <t>Agile values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practices</t>
    </r>
  </si>
  <si>
    <t>TRILOEDIT</t>
  </si>
  <si>
    <t xml:space="preserve">A structured editor to manage the information and content negotiated between the Parliament and Council during Trilogue meetings
</t>
  </si>
  <si>
    <t>EP and Council</t>
  </si>
  <si>
    <t>EP: DG PRES, DG IPOL, DG ITEC
Council: DQL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</si>
</sst>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0.0%"/>
  </numFmts>
  <fonts count="56">
    <font>
      <sz val="8"/>
      <name val="Arial"/>
      <family val="2"/>
    </font>
    <font>
      <sz val="8"/>
      <name val="Geneva"/>
    </font>
    <font>
      <sz val="8"/>
      <name val="Arial"/>
      <family val="2"/>
    </font>
    <font>
      <i/>
      <sz val="8"/>
      <name val="Geneva"/>
    </font>
    <font>
      <b/>
      <sz val="9"/>
      <color indexed="9"/>
      <name val="Geneva"/>
    </font>
    <font>
      <b/>
      <sz val="12"/>
      <color indexed="9"/>
      <name val="Verdana"/>
      <family val="2"/>
    </font>
    <font>
      <i/>
      <sz val="8"/>
      <color indexed="62"/>
      <name val="Geneva"/>
    </font>
    <font>
      <b/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color indexed="19"/>
      <name val="Arial"/>
      <family val="2"/>
    </font>
    <font>
      <b/>
      <sz val="8"/>
      <color indexed="19"/>
      <name val="Arial"/>
      <family val="2"/>
    </font>
    <font>
      <sz val="8"/>
      <name val="Verdana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sz val="8"/>
      <name val="Arial"/>
      <family val="2"/>
    </font>
    <font>
      <i/>
      <sz val="10"/>
      <name val="Arial"/>
      <family val="2"/>
    </font>
    <font>
      <b/>
      <sz val="10"/>
      <color indexed="44"/>
      <name val="Arial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12"/>
      <color indexed="22"/>
      <name val="Arial"/>
      <family val="2"/>
    </font>
    <font>
      <sz val="8"/>
      <color indexed="9"/>
      <name val="Arial"/>
      <family val="2"/>
    </font>
    <font>
      <sz val="10"/>
      <color indexed="22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Geneva"/>
    </font>
    <font>
      <sz val="10"/>
      <color indexed="11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i/>
      <sz val="10"/>
      <color indexed="2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u/>
      <sz val="12"/>
      <color indexed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8"/>
      <color indexed="22"/>
      <name val="Arial"/>
      <family val="2"/>
    </font>
    <font>
      <sz val="8"/>
      <color indexed="9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2" borderId="0" applyNumberFormat="0" applyBorder="0" applyAlignment="0"/>
    <xf numFmtId="0" fontId="1" fillId="0" borderId="1" applyNumberFormat="0">
      <alignment vertical="center"/>
    </xf>
    <xf numFmtId="0" fontId="11" fillId="3" borderId="0" applyNumberFormat="0">
      <alignment horizontal="center" vertical="center"/>
    </xf>
    <xf numFmtId="0" fontId="12" fillId="3" borderId="2" applyNumberFormat="0" applyBorder="0" applyAlignment="0">
      <alignment horizontal="left" vertical="center"/>
    </xf>
    <xf numFmtId="0" fontId="9" fillId="0" borderId="0" applyNumberFormat="0" applyFill="0" applyBorder="0" applyAlignment="0" applyProtection="0">
      <alignment vertical="top"/>
      <protection locked="0"/>
    </xf>
    <xf numFmtId="164" fontId="2" fillId="4" borderId="1" applyNumberFormat="0" applyBorder="0" applyAlignment="0">
      <alignment vertical="top"/>
      <protection locked="0"/>
    </xf>
    <xf numFmtId="0" fontId="13" fillId="4" borderId="0" applyNumberFormat="0" applyBorder="0" applyAlignment="0">
      <protection locked="0"/>
    </xf>
    <xf numFmtId="164" fontId="3" fillId="2" borderId="0" applyNumberFormat="0">
      <alignment horizontal="right" vertical="center"/>
    </xf>
    <xf numFmtId="0" fontId="10" fillId="0" borderId="0"/>
    <xf numFmtId="9" fontId="10" fillId="0" borderId="0" applyFont="0" applyFill="0" applyBorder="0" applyAlignment="0" applyProtection="0"/>
    <xf numFmtId="0" fontId="6" fillId="2" borderId="3" applyNumberFormat="0">
      <alignment horizontal="left" vertical="center"/>
    </xf>
    <xf numFmtId="0" fontId="4" fillId="5" borderId="0" applyNumberFormat="0">
      <alignment vertical="center"/>
    </xf>
    <xf numFmtId="0" fontId="5" fillId="5" borderId="0" applyNumberFormat="0">
      <alignment horizontal="left" vertical="center"/>
    </xf>
  </cellStyleXfs>
  <cellXfs count="441">
    <xf numFmtId="0" fontId="0" fillId="2" borderId="0" xfId="0"/>
    <xf numFmtId="0" fontId="19" fillId="2" borderId="0" xfId="8" applyFont="1" applyFill="1" applyProtection="1"/>
    <xf numFmtId="0" fontId="19" fillId="2" borderId="0" xfId="8" applyFont="1" applyFill="1" applyAlignment="1" applyProtection="1">
      <alignment horizontal="left"/>
    </xf>
    <xf numFmtId="0" fontId="20" fillId="6" borderId="4" xfId="8" applyFont="1" applyFill="1" applyBorder="1" applyAlignment="1" applyProtection="1">
      <alignment vertical="center"/>
    </xf>
    <xf numFmtId="0" fontId="20" fillId="6" borderId="4" xfId="8" applyFont="1" applyFill="1" applyBorder="1" applyAlignment="1" applyProtection="1">
      <alignment horizontal="left" vertical="center"/>
    </xf>
    <xf numFmtId="0" fontId="7" fillId="2" borderId="5" xfId="8" applyFont="1" applyFill="1" applyBorder="1" applyAlignment="1" applyProtection="1">
      <alignment vertical="top" wrapText="1"/>
    </xf>
    <xf numFmtId="0" fontId="19" fillId="7" borderId="6" xfId="8" applyFont="1" applyFill="1" applyBorder="1" applyAlignment="1" applyProtection="1">
      <alignment vertical="top" wrapText="1"/>
    </xf>
    <xf numFmtId="0" fontId="19" fillId="7" borderId="7" xfId="8" applyFont="1" applyFill="1" applyBorder="1" applyAlignment="1" applyProtection="1">
      <alignment vertical="top" wrapText="1"/>
    </xf>
    <xf numFmtId="0" fontId="7" fillId="2" borderId="8" xfId="8" applyFont="1" applyFill="1" applyBorder="1" applyAlignment="1" applyProtection="1">
      <alignment vertical="top" wrapText="1"/>
    </xf>
    <xf numFmtId="0" fontId="19" fillId="7" borderId="0" xfId="8" applyFont="1" applyFill="1" applyBorder="1" applyAlignment="1" applyProtection="1">
      <alignment vertical="top" wrapText="1"/>
    </xf>
    <xf numFmtId="0" fontId="19" fillId="7" borderId="9" xfId="8" applyFont="1" applyFill="1" applyBorder="1" applyAlignment="1" applyProtection="1">
      <alignment vertical="top" wrapText="1"/>
    </xf>
    <xf numFmtId="0" fontId="7" fillId="2" borderId="10" xfId="8" applyFont="1" applyFill="1" applyBorder="1" applyAlignment="1" applyProtection="1">
      <alignment vertical="top" wrapText="1"/>
    </xf>
    <xf numFmtId="0" fontId="19" fillId="7" borderId="2" xfId="8" applyFont="1" applyFill="1" applyBorder="1" applyAlignment="1" applyProtection="1">
      <alignment vertical="top" wrapText="1"/>
    </xf>
    <xf numFmtId="0" fontId="19" fillId="7" borderId="11" xfId="8" applyFont="1" applyFill="1" applyBorder="1" applyAlignment="1" applyProtection="1">
      <alignment vertical="top" wrapText="1"/>
    </xf>
    <xf numFmtId="0" fontId="19" fillId="7" borderId="10" xfId="8" applyFont="1" applyFill="1" applyBorder="1" applyAlignment="1" applyProtection="1">
      <alignment vertical="top" wrapText="1"/>
    </xf>
    <xf numFmtId="0" fontId="19" fillId="7" borderId="5" xfId="8" applyFont="1" applyFill="1" applyBorder="1" applyAlignment="1" applyProtection="1">
      <alignment vertical="top" wrapText="1"/>
    </xf>
    <xf numFmtId="0" fontId="19" fillId="7" borderId="8" xfId="8" applyFont="1" applyFill="1" applyBorder="1" applyAlignment="1" applyProtection="1">
      <alignment vertical="top" wrapText="1"/>
    </xf>
    <xf numFmtId="0" fontId="7" fillId="2" borderId="12" xfId="8" applyFont="1" applyFill="1" applyBorder="1" applyAlignment="1" applyProtection="1">
      <alignment vertical="center"/>
    </xf>
    <xf numFmtId="0" fontId="19" fillId="7" borderId="7" xfId="8" applyFont="1" applyFill="1" applyBorder="1" applyAlignment="1" applyProtection="1">
      <alignment vertical="center" wrapText="1"/>
    </xf>
    <xf numFmtId="0" fontId="19" fillId="2" borderId="0" xfId="8" applyFont="1" applyFill="1" applyAlignment="1" applyProtection="1">
      <alignment vertical="center"/>
    </xf>
    <xf numFmtId="0" fontId="7" fillId="2" borderId="13" xfId="8" applyFont="1" applyFill="1" applyBorder="1" applyAlignment="1" applyProtection="1">
      <alignment vertical="center"/>
    </xf>
    <xf numFmtId="0" fontId="19" fillId="7" borderId="9" xfId="8" applyFont="1" applyFill="1" applyBorder="1" applyAlignment="1" applyProtection="1">
      <alignment vertical="center" wrapText="1"/>
    </xf>
    <xf numFmtId="0" fontId="17" fillId="5" borderId="0" xfId="8" applyFont="1" applyFill="1" applyAlignment="1" applyProtection="1">
      <alignment vertical="top"/>
    </xf>
    <xf numFmtId="0" fontId="7" fillId="2" borderId="12" xfId="8" applyFont="1" applyFill="1" applyBorder="1" applyAlignment="1" applyProtection="1">
      <alignment horizontal="left" vertical="top" wrapText="1"/>
    </xf>
    <xf numFmtId="0" fontId="7" fillId="2" borderId="13" xfId="8" applyFont="1" applyFill="1" applyBorder="1" applyAlignment="1" applyProtection="1">
      <alignment horizontal="left" vertical="top" wrapText="1"/>
    </xf>
    <xf numFmtId="0" fontId="19" fillId="7" borderId="12" xfId="8" applyFont="1" applyFill="1" applyBorder="1" applyAlignment="1" applyProtection="1">
      <alignment vertical="top" wrapText="1"/>
    </xf>
    <xf numFmtId="0" fontId="19" fillId="7" borderId="13" xfId="8" applyFont="1" applyFill="1" applyBorder="1" applyAlignment="1" applyProtection="1">
      <alignment vertical="top" wrapText="1"/>
    </xf>
    <xf numFmtId="0" fontId="19" fillId="2" borderId="0" xfId="8" applyFont="1" applyFill="1" applyAlignment="1" applyProtection="1">
      <alignment horizontal="left" vertical="top"/>
    </xf>
    <xf numFmtId="0" fontId="19" fillId="2" borderId="0" xfId="8" applyFont="1" applyFill="1" applyAlignment="1" applyProtection="1">
      <alignment vertical="top"/>
    </xf>
    <xf numFmtId="0" fontId="18" fillId="5" borderId="0" xfId="8" applyFont="1" applyFill="1" applyAlignment="1" applyProtection="1">
      <alignment vertical="center"/>
    </xf>
    <xf numFmtId="0" fontId="15" fillId="5" borderId="0" xfId="8" applyFont="1" applyFill="1" applyAlignment="1" applyProtection="1">
      <alignment vertical="center"/>
    </xf>
    <xf numFmtId="0" fontId="2" fillId="5" borderId="0" xfId="8" applyFont="1" applyFill="1" applyAlignment="1" applyProtection="1">
      <alignment vertical="center"/>
    </xf>
    <xf numFmtId="0" fontId="7" fillId="5" borderId="0" xfId="8" applyFont="1" applyFill="1" applyAlignment="1" applyProtection="1">
      <alignment vertical="center"/>
    </xf>
    <xf numFmtId="0" fontId="15" fillId="2" borderId="0" xfId="8" applyFont="1" applyFill="1" applyAlignment="1" applyProtection="1">
      <alignment vertical="center"/>
    </xf>
    <xf numFmtId="0" fontId="2" fillId="2" borderId="0" xfId="8" applyFont="1" applyFill="1" applyAlignment="1" applyProtection="1">
      <alignment vertical="center"/>
    </xf>
    <xf numFmtId="0" fontId="7" fillId="6" borderId="14" xfId="8" applyFont="1" applyFill="1" applyBorder="1" applyAlignment="1" applyProtection="1">
      <alignment vertical="center"/>
    </xf>
    <xf numFmtId="0" fontId="7" fillId="6" borderId="15" xfId="8" applyFont="1" applyFill="1" applyBorder="1" applyAlignment="1" applyProtection="1">
      <alignment vertical="center"/>
    </xf>
    <xf numFmtId="0" fontId="7" fillId="6" borderId="16" xfId="8" applyFont="1" applyFill="1" applyBorder="1" applyAlignment="1" applyProtection="1">
      <alignment vertical="center"/>
    </xf>
    <xf numFmtId="0" fontId="15" fillId="2" borderId="14" xfId="8" applyFont="1" applyFill="1" applyBorder="1" applyAlignment="1" applyProtection="1">
      <alignment vertical="center"/>
    </xf>
    <xf numFmtId="0" fontId="15" fillId="2" borderId="17" xfId="8" applyFont="1" applyFill="1" applyBorder="1" applyAlignment="1" applyProtection="1">
      <alignment vertical="center"/>
    </xf>
    <xf numFmtId="0" fontId="2" fillId="2" borderId="17" xfId="8" applyFont="1" applyFill="1" applyBorder="1" applyAlignment="1" applyProtection="1">
      <alignment vertical="center"/>
    </xf>
    <xf numFmtId="0" fontId="7" fillId="2" borderId="17" xfId="8" applyFont="1" applyFill="1" applyBorder="1" applyAlignment="1" applyProtection="1">
      <alignment vertical="center"/>
    </xf>
    <xf numFmtId="0" fontId="24" fillId="2" borderId="14" xfId="8" applyFont="1" applyFill="1" applyBorder="1" applyAlignment="1" applyProtection="1">
      <alignment horizontal="center" vertical="center"/>
    </xf>
    <xf numFmtId="0" fontId="24" fillId="2" borderId="17" xfId="8" applyFont="1" applyFill="1" applyBorder="1" applyAlignment="1" applyProtection="1">
      <alignment horizontal="center" vertical="center"/>
    </xf>
    <xf numFmtId="0" fontId="24" fillId="2" borderId="18" xfId="8" applyFont="1" applyFill="1" applyBorder="1" applyAlignment="1" applyProtection="1">
      <alignment horizontal="center" vertical="center"/>
    </xf>
    <xf numFmtId="0" fontId="15" fillId="2" borderId="19" xfId="8" applyFont="1" applyFill="1" applyBorder="1" applyAlignment="1" applyProtection="1">
      <alignment vertical="center"/>
    </xf>
    <xf numFmtId="9" fontId="2" fillId="2" borderId="20" xfId="5" applyNumberFormat="1" applyFill="1" applyBorder="1" applyAlignment="1" applyProtection="1">
      <alignment vertical="center"/>
    </xf>
    <xf numFmtId="0" fontId="15" fillId="2" borderId="1" xfId="8" applyFont="1" applyFill="1" applyBorder="1" applyAlignment="1" applyProtection="1">
      <alignment vertical="center"/>
    </xf>
    <xf numFmtId="0" fontId="2" fillId="2" borderId="1" xfId="8" applyFont="1" applyFill="1" applyBorder="1" applyAlignment="1" applyProtection="1">
      <alignment vertical="center"/>
    </xf>
    <xf numFmtId="0" fontId="7" fillId="2" borderId="1" xfId="8" applyFont="1" applyFill="1" applyBorder="1" applyAlignment="1" applyProtection="1">
      <alignment vertical="center"/>
    </xf>
    <xf numFmtId="0" fontId="15" fillId="2" borderId="20" xfId="8" applyFont="1" applyFill="1" applyBorder="1" applyAlignment="1" applyProtection="1">
      <alignment horizontal="center" vertical="center"/>
    </xf>
    <xf numFmtId="0" fontId="15" fillId="2" borderId="19" xfId="8" applyFont="1" applyFill="1" applyBorder="1" applyAlignment="1" applyProtection="1">
      <alignment horizontal="center" vertical="center"/>
    </xf>
    <xf numFmtId="0" fontId="15" fillId="2" borderId="1" xfId="8" applyFont="1" applyFill="1" applyBorder="1" applyAlignment="1" applyProtection="1">
      <alignment horizontal="center" vertical="center"/>
    </xf>
    <xf numFmtId="0" fontId="8" fillId="2" borderId="21" xfId="8" applyFont="1" applyFill="1" applyBorder="1" applyAlignment="1" applyProtection="1">
      <alignment vertical="center"/>
    </xf>
    <xf numFmtId="9" fontId="8" fillId="2" borderId="22" xfId="9" applyFont="1" applyFill="1" applyBorder="1" applyAlignment="1" applyProtection="1">
      <alignment vertical="center"/>
    </xf>
    <xf numFmtId="0" fontId="15" fillId="2" borderId="21" xfId="8" applyFont="1" applyFill="1" applyBorder="1" applyAlignment="1" applyProtection="1">
      <alignment vertical="center"/>
    </xf>
    <xf numFmtId="0" fontId="15" fillId="2" borderId="23" xfId="8" applyFont="1" applyFill="1" applyBorder="1" applyAlignment="1" applyProtection="1">
      <alignment vertical="center"/>
    </xf>
    <xf numFmtId="0" fontId="2" fillId="2" borderId="23" xfId="8" applyFont="1" applyFill="1" applyBorder="1" applyAlignment="1" applyProtection="1">
      <alignment vertical="center"/>
    </xf>
    <xf numFmtId="0" fontId="7" fillId="2" borderId="23" xfId="8" applyFont="1" applyFill="1" applyBorder="1" applyAlignment="1" applyProtection="1">
      <alignment vertical="center"/>
    </xf>
    <xf numFmtId="0" fontId="15" fillId="2" borderId="22" xfId="8" applyFont="1" applyFill="1" applyBorder="1" applyAlignment="1" applyProtection="1">
      <alignment horizontal="center" vertical="center"/>
    </xf>
    <xf numFmtId="0" fontId="15" fillId="2" borderId="21" xfId="8" applyFont="1" applyFill="1" applyBorder="1" applyAlignment="1" applyProtection="1">
      <alignment horizontal="center" vertical="center"/>
    </xf>
    <xf numFmtId="0" fontId="24" fillId="2" borderId="23" xfId="8" applyFont="1" applyFill="1" applyBorder="1" applyAlignment="1" applyProtection="1">
      <alignment horizontal="center" vertical="center"/>
    </xf>
    <xf numFmtId="0" fontId="15" fillId="2" borderId="23" xfId="8" applyFont="1" applyFill="1" applyBorder="1" applyAlignment="1" applyProtection="1">
      <alignment horizontal="center" vertical="center"/>
    </xf>
    <xf numFmtId="0" fontId="15" fillId="2" borderId="0" xfId="8" applyFont="1" applyFill="1" applyBorder="1" applyAlignment="1" applyProtection="1">
      <alignment vertical="center"/>
    </xf>
    <xf numFmtId="0" fontId="15" fillId="2" borderId="24" xfId="8" applyFont="1" applyFill="1" applyBorder="1" applyAlignment="1" applyProtection="1">
      <alignment vertical="center"/>
    </xf>
    <xf numFmtId="0" fontId="15" fillId="2" borderId="5" xfId="8" applyFont="1" applyFill="1" applyBorder="1" applyAlignment="1" applyProtection="1">
      <alignment vertical="center"/>
    </xf>
    <xf numFmtId="0" fontId="2" fillId="2" borderId="5" xfId="8" applyFont="1" applyFill="1" applyBorder="1" applyAlignment="1" applyProtection="1">
      <alignment vertical="center"/>
    </xf>
    <xf numFmtId="0" fontId="7" fillId="2" borderId="5" xfId="8" applyFont="1" applyFill="1" applyBorder="1" applyAlignment="1" applyProtection="1">
      <alignment vertical="center"/>
    </xf>
    <xf numFmtId="0" fontId="7" fillId="2" borderId="10" xfId="8" applyFont="1" applyFill="1" applyBorder="1" applyAlignment="1" applyProtection="1">
      <alignment vertical="center"/>
    </xf>
    <xf numFmtId="0" fontId="24" fillId="2" borderId="1" xfId="8" applyFont="1" applyFill="1" applyBorder="1" applyAlignment="1" applyProtection="1">
      <alignment vertical="center"/>
    </xf>
    <xf numFmtId="0" fontId="24" fillId="2" borderId="17" xfId="8" applyFont="1" applyFill="1" applyBorder="1" applyAlignment="1" applyProtection="1">
      <alignment vertical="center"/>
    </xf>
    <xf numFmtId="0" fontId="7" fillId="2" borderId="0" xfId="8" applyFont="1" applyFill="1" applyAlignment="1" applyProtection="1">
      <alignment vertical="center"/>
    </xf>
    <xf numFmtId="0" fontId="16" fillId="5" borderId="0" xfId="8" applyFont="1" applyFill="1" applyAlignment="1" applyProtection="1">
      <alignment vertical="center"/>
    </xf>
    <xf numFmtId="0" fontId="10" fillId="2" borderId="0" xfId="8" applyFont="1" applyFill="1" applyAlignment="1" applyProtection="1">
      <alignment vertical="center"/>
    </xf>
    <xf numFmtId="0" fontId="0" fillId="2" borderId="0" xfId="0" applyProtection="1"/>
    <xf numFmtId="0" fontId="0" fillId="2" borderId="0" xfId="0" applyAlignment="1" applyProtection="1">
      <alignment horizontal="right"/>
    </xf>
    <xf numFmtId="0" fontId="25" fillId="2" borderId="0" xfId="7" applyNumberFormat="1" applyFont="1" applyAlignment="1" applyProtection="1">
      <alignment horizontal="left" vertical="center"/>
    </xf>
    <xf numFmtId="0" fontId="10" fillId="2" borderId="0" xfId="8" applyFont="1" applyFill="1" applyAlignment="1" applyProtection="1">
      <alignment horizontal="center" vertical="center"/>
    </xf>
    <xf numFmtId="0" fontId="10" fillId="2" borderId="0" xfId="8" applyFont="1" applyFill="1" applyBorder="1" applyAlignment="1" applyProtection="1">
      <alignment vertical="center"/>
    </xf>
    <xf numFmtId="0" fontId="27" fillId="2" borderId="0" xfId="8" applyFont="1" applyFill="1" applyAlignment="1" applyProtection="1">
      <alignment vertical="center"/>
    </xf>
    <xf numFmtId="0" fontId="10" fillId="5" borderId="0" xfId="8" applyFont="1" applyFill="1" applyAlignment="1" applyProtection="1">
      <alignment vertical="center"/>
    </xf>
    <xf numFmtId="0" fontId="27" fillId="5" borderId="0" xfId="8" applyFont="1" applyFill="1" applyBorder="1" applyAlignment="1" applyProtection="1">
      <alignment horizontal="center" vertical="center"/>
    </xf>
    <xf numFmtId="0" fontId="27" fillId="2" borderId="0" xfId="8" applyFont="1" applyFill="1" applyBorder="1" applyAlignment="1" applyProtection="1">
      <alignment horizontal="center" vertical="center"/>
    </xf>
    <xf numFmtId="0" fontId="30" fillId="2" borderId="0" xfId="8" applyFont="1" applyFill="1" applyAlignment="1" applyProtection="1">
      <alignment vertical="center"/>
    </xf>
    <xf numFmtId="0" fontId="16" fillId="2" borderId="0" xfId="8" applyFont="1" applyFill="1" applyAlignment="1" applyProtection="1">
      <alignment vertical="center"/>
    </xf>
    <xf numFmtId="0" fontId="31" fillId="5" borderId="0" xfId="8" applyFont="1" applyFill="1" applyAlignment="1" applyProtection="1">
      <alignment horizontal="right" vertical="center"/>
    </xf>
    <xf numFmtId="0" fontId="10" fillId="2" borderId="0" xfId="8" applyFont="1" applyFill="1" applyBorder="1" applyAlignment="1" applyProtection="1">
      <alignment horizontal="center" vertical="center"/>
    </xf>
    <xf numFmtId="0" fontId="32" fillId="2" borderId="0" xfId="8" applyFont="1" applyFill="1" applyAlignment="1" applyProtection="1">
      <alignment vertical="center"/>
    </xf>
    <xf numFmtId="0" fontId="10" fillId="2" borderId="0" xfId="8" applyFont="1" applyFill="1" applyBorder="1" applyAlignment="1" applyProtection="1">
      <alignment vertical="top" wrapText="1"/>
    </xf>
    <xf numFmtId="0" fontId="2" fillId="2" borderId="0" xfId="5" applyNumberFormat="1" applyFont="1" applyFill="1" applyBorder="1" applyAlignment="1" applyProtection="1">
      <alignment horizontal="left" vertical="top"/>
    </xf>
    <xf numFmtId="166" fontId="2" fillId="2" borderId="0" xfId="5" applyNumberFormat="1" applyFont="1" applyFill="1" applyBorder="1" applyAlignment="1" applyProtection="1">
      <alignment horizontal="left" vertical="top"/>
    </xf>
    <xf numFmtId="165" fontId="2" fillId="2" borderId="0" xfId="5" applyNumberFormat="1" applyFont="1" applyFill="1" applyBorder="1" applyAlignment="1" applyProtection="1">
      <alignment horizontal="left" vertical="top"/>
    </xf>
    <xf numFmtId="0" fontId="20" fillId="2" borderId="0" xfId="5" applyNumberFormat="1" applyFont="1" applyFill="1" applyBorder="1" applyAlignment="1" applyProtection="1">
      <alignment horizontal="right" vertical="top"/>
    </xf>
    <xf numFmtId="166" fontId="20" fillId="2" borderId="0" xfId="5" applyNumberFormat="1" applyFont="1" applyFill="1" applyBorder="1" applyAlignment="1" applyProtection="1">
      <alignment horizontal="center" vertical="top"/>
    </xf>
    <xf numFmtId="0" fontId="10" fillId="7" borderId="0" xfId="8" applyFont="1" applyFill="1" applyBorder="1" applyAlignment="1" applyProtection="1">
      <alignment vertical="center"/>
    </xf>
    <xf numFmtId="0" fontId="22" fillId="2" borderId="0" xfId="8" applyFont="1" applyFill="1" applyBorder="1" applyAlignment="1" applyProtection="1">
      <alignment horizontal="center" vertical="center" wrapText="1"/>
    </xf>
    <xf numFmtId="0" fontId="10" fillId="7" borderId="19" xfId="8" applyFont="1" applyFill="1" applyBorder="1" applyAlignment="1" applyProtection="1">
      <alignment vertical="center"/>
    </xf>
    <xf numFmtId="0" fontId="10" fillId="2" borderId="0" xfId="8" applyFont="1" applyFill="1" applyBorder="1" applyAlignment="1" applyProtection="1">
      <alignment horizontal="left" vertical="center"/>
    </xf>
    <xf numFmtId="166" fontId="23" fillId="2" borderId="0" xfId="9" applyNumberFormat="1" applyFont="1" applyFill="1" applyBorder="1" applyAlignment="1" applyProtection="1">
      <alignment horizontal="center" vertical="center"/>
    </xf>
    <xf numFmtId="0" fontId="10" fillId="7" borderId="21" xfId="8" applyFont="1" applyFill="1" applyBorder="1" applyAlignment="1" applyProtection="1">
      <alignment vertical="center"/>
    </xf>
    <xf numFmtId="0" fontId="32" fillId="2" borderId="0" xfId="8" applyFont="1" applyFill="1" applyBorder="1" applyAlignment="1" applyProtection="1">
      <alignment vertical="center"/>
    </xf>
    <xf numFmtId="166" fontId="30" fillId="2" borderId="0" xfId="8" applyNumberFormat="1" applyFont="1" applyFill="1" applyBorder="1" applyAlignment="1" applyProtection="1">
      <alignment horizontal="center" vertical="center"/>
    </xf>
    <xf numFmtId="0" fontId="10" fillId="2" borderId="0" xfId="8" applyFont="1" applyFill="1" applyBorder="1" applyAlignment="1" applyProtection="1">
      <alignment horizontal="center" vertical="center"/>
      <protection hidden="1"/>
    </xf>
    <xf numFmtId="0" fontId="14" fillId="2" borderId="0" xfId="8" applyFont="1" applyFill="1" applyAlignment="1" applyProtection="1">
      <alignment vertical="center"/>
    </xf>
    <xf numFmtId="0" fontId="20" fillId="2" borderId="2" xfId="8" applyFont="1" applyFill="1" applyBorder="1" applyAlignment="1" applyProtection="1">
      <alignment horizontal="center" vertical="center"/>
    </xf>
    <xf numFmtId="0" fontId="19" fillId="7" borderId="25" xfId="8" applyFont="1" applyFill="1" applyBorder="1" applyAlignment="1" applyProtection="1">
      <alignment vertical="top" wrapText="1"/>
    </xf>
    <xf numFmtId="0" fontId="19" fillId="0" borderId="13" xfId="8" applyFont="1" applyFill="1" applyBorder="1" applyAlignment="1" applyProtection="1">
      <alignment vertical="top" wrapText="1"/>
    </xf>
    <xf numFmtId="0" fontId="19" fillId="0" borderId="25" xfId="8" applyFont="1" applyFill="1" applyBorder="1" applyAlignment="1" applyProtection="1">
      <alignment vertical="top" wrapText="1"/>
    </xf>
    <xf numFmtId="0" fontId="19" fillId="0" borderId="12" xfId="8" applyFont="1" applyFill="1" applyBorder="1" applyAlignment="1" applyProtection="1">
      <alignment vertical="top" wrapText="1"/>
    </xf>
    <xf numFmtId="0" fontId="19" fillId="7" borderId="0" xfId="8" applyFont="1" applyFill="1" applyBorder="1" applyAlignment="1" applyProtection="1">
      <alignment vertical="center" wrapText="1"/>
    </xf>
    <xf numFmtId="0" fontId="7" fillId="2" borderId="5" xfId="8" applyFont="1" applyFill="1" applyBorder="1" applyAlignment="1" applyProtection="1">
      <alignment vertical="center" wrapText="1"/>
    </xf>
    <xf numFmtId="0" fontId="19" fillId="7" borderId="6" xfId="8" applyFont="1" applyFill="1" applyBorder="1" applyAlignment="1" applyProtection="1">
      <alignment vertical="center" wrapText="1"/>
    </xf>
    <xf numFmtId="0" fontId="7" fillId="2" borderId="8" xfId="8" applyFont="1" applyFill="1" applyBorder="1" applyAlignment="1" applyProtection="1">
      <alignment vertical="center" wrapText="1"/>
    </xf>
    <xf numFmtId="0" fontId="7" fillId="2" borderId="10" xfId="8" applyFont="1" applyFill="1" applyBorder="1" applyAlignment="1" applyProtection="1">
      <alignment vertical="center" wrapText="1"/>
    </xf>
    <xf numFmtId="0" fontId="19" fillId="7" borderId="2" xfId="8" applyFont="1" applyFill="1" applyBorder="1" applyAlignment="1" applyProtection="1">
      <alignment vertical="center" wrapText="1"/>
    </xf>
    <xf numFmtId="0" fontId="7" fillId="2" borderId="8" xfId="8" applyFont="1" applyFill="1" applyBorder="1" applyAlignment="1" applyProtection="1">
      <alignment vertical="center"/>
    </xf>
    <xf numFmtId="0" fontId="7" fillId="2" borderId="25" xfId="8" applyFont="1" applyFill="1" applyBorder="1" applyAlignment="1" applyProtection="1">
      <alignment vertical="center"/>
    </xf>
    <xf numFmtId="0" fontId="19" fillId="2" borderId="0" xfId="8" applyFont="1" applyFill="1" applyAlignment="1" applyProtection="1">
      <alignment horizontal="center" vertical="center"/>
    </xf>
    <xf numFmtId="0" fontId="10" fillId="7" borderId="24" xfId="8" applyFont="1" applyFill="1" applyBorder="1" applyAlignment="1" applyProtection="1">
      <alignment vertical="center"/>
    </xf>
    <xf numFmtId="0" fontId="25" fillId="2" borderId="0" xfId="8" applyFont="1" applyFill="1" applyAlignment="1" applyProtection="1">
      <alignment horizontal="right" vertical="center"/>
    </xf>
    <xf numFmtId="0" fontId="25" fillId="2" borderId="0" xfId="8" applyFont="1" applyFill="1" applyBorder="1" applyAlignment="1" applyProtection="1">
      <alignment vertical="center"/>
    </xf>
    <xf numFmtId="0" fontId="10" fillId="2" borderId="0" xfId="8" applyFont="1" applyFill="1" applyBorder="1" applyAlignment="1" applyProtection="1">
      <alignment horizontal="left" vertical="top" wrapText="1"/>
    </xf>
    <xf numFmtId="166" fontId="26" fillId="6" borderId="4" xfId="9" applyNumberFormat="1" applyFont="1" applyFill="1" applyBorder="1" applyAlignment="1" applyProtection="1">
      <alignment horizontal="left" vertical="center"/>
    </xf>
    <xf numFmtId="0" fontId="19" fillId="6" borderId="4" xfId="8" applyFont="1" applyFill="1" applyBorder="1" applyAlignment="1" applyProtection="1">
      <alignment vertical="center" wrapText="1"/>
    </xf>
    <xf numFmtId="0" fontId="19" fillId="0" borderId="7" xfId="8" applyFont="1" applyFill="1" applyBorder="1" applyAlignment="1" applyProtection="1">
      <alignment vertical="top" wrapText="1"/>
    </xf>
    <xf numFmtId="0" fontId="19" fillId="0" borderId="9" xfId="8" applyFont="1" applyFill="1" applyBorder="1" applyAlignment="1" applyProtection="1">
      <alignment vertical="top" wrapText="1"/>
    </xf>
    <xf numFmtId="0" fontId="19" fillId="0" borderId="11" xfId="8" applyFont="1" applyFill="1" applyBorder="1" applyAlignment="1" applyProtection="1">
      <alignment vertical="top" wrapText="1"/>
    </xf>
    <xf numFmtId="0" fontId="33" fillId="2" borderId="0" xfId="4" applyFont="1" applyFill="1" applyBorder="1" applyAlignment="1" applyProtection="1">
      <alignment vertical="center"/>
    </xf>
    <xf numFmtId="166" fontId="23" fillId="2" borderId="1" xfId="9" applyNumberFormat="1" applyFont="1" applyFill="1" applyBorder="1" applyAlignment="1" applyProtection="1">
      <alignment horizontal="center" vertical="center"/>
      <protection hidden="1"/>
    </xf>
    <xf numFmtId="166" fontId="10" fillId="2" borderId="1" xfId="8" applyNumberFormat="1" applyFont="1" applyFill="1" applyBorder="1" applyAlignment="1" applyProtection="1">
      <alignment horizontal="center" vertical="center"/>
    </xf>
    <xf numFmtId="0" fontId="10" fillId="2" borderId="1" xfId="8" applyFont="1" applyFill="1" applyBorder="1" applyAlignment="1" applyProtection="1">
      <alignment horizontal="center" vertical="center"/>
    </xf>
    <xf numFmtId="0" fontId="21" fillId="2" borderId="0" xfId="4" applyFont="1" applyFill="1" applyBorder="1" applyAlignment="1" applyProtection="1">
      <alignment horizontal="center" vertical="center"/>
    </xf>
    <xf numFmtId="166" fontId="23" fillId="2" borderId="10" xfId="9" applyNumberFormat="1" applyFont="1" applyFill="1" applyBorder="1" applyAlignment="1" applyProtection="1">
      <alignment horizontal="center" vertical="center"/>
      <protection hidden="1"/>
    </xf>
    <xf numFmtId="0" fontId="14" fillId="2" borderId="0" xfId="8" applyFont="1" applyFill="1" applyBorder="1" applyAlignment="1" applyProtection="1">
      <alignment vertical="center"/>
    </xf>
    <xf numFmtId="0" fontId="19" fillId="2" borderId="0" xfId="8" applyFont="1" applyFill="1" applyBorder="1" applyAlignment="1" applyProtection="1">
      <alignment vertical="center"/>
    </xf>
    <xf numFmtId="0" fontId="20" fillId="2" borderId="26" xfId="8" applyFont="1" applyFill="1" applyBorder="1" applyAlignment="1" applyProtection="1">
      <alignment horizontal="center" vertical="center"/>
    </xf>
    <xf numFmtId="0" fontId="19" fillId="7" borderId="11" xfId="8" applyFont="1" applyFill="1" applyBorder="1" applyAlignment="1" applyProtection="1">
      <alignment vertical="center" wrapText="1"/>
    </xf>
    <xf numFmtId="0" fontId="20" fillId="2" borderId="16" xfId="8" applyFont="1" applyFill="1" applyBorder="1" applyAlignment="1" applyProtection="1">
      <alignment horizontal="center" vertical="center"/>
    </xf>
    <xf numFmtId="9" fontId="8" fillId="8" borderId="19" xfId="9" applyFont="1" applyFill="1" applyBorder="1" applyAlignment="1" applyProtection="1">
      <alignment horizontal="left" vertical="center"/>
    </xf>
    <xf numFmtId="0" fontId="7" fillId="6" borderId="27" xfId="8" applyFont="1" applyFill="1" applyBorder="1" applyAlignment="1" applyProtection="1">
      <alignment vertical="center"/>
    </xf>
    <xf numFmtId="0" fontId="7" fillId="6" borderId="28" xfId="8" applyFont="1" applyFill="1" applyBorder="1" applyAlignment="1" applyProtection="1">
      <alignment vertical="center"/>
    </xf>
    <xf numFmtId="0" fontId="19" fillId="2" borderId="0" xfId="8" applyFont="1" applyFill="1" applyBorder="1" applyAlignment="1" applyProtection="1">
      <alignment horizontal="center" vertical="top"/>
    </xf>
    <xf numFmtId="0" fontId="20" fillId="2" borderId="7" xfId="8" applyFont="1" applyFill="1" applyBorder="1" applyAlignment="1" applyProtection="1">
      <alignment horizontal="right" vertical="top" wrapText="1"/>
      <protection locked="0"/>
    </xf>
    <xf numFmtId="0" fontId="19" fillId="2" borderId="9" xfId="8" applyFont="1" applyFill="1" applyBorder="1" applyAlignment="1" applyProtection="1">
      <alignment horizontal="right" vertical="top" wrapText="1"/>
      <protection locked="0"/>
    </xf>
    <xf numFmtId="0" fontId="19" fillId="2" borderId="11" xfId="8" applyFont="1" applyFill="1" applyBorder="1" applyAlignment="1" applyProtection="1">
      <alignment horizontal="right" vertical="top" wrapText="1"/>
      <protection locked="0"/>
    </xf>
    <xf numFmtId="0" fontId="20" fillId="2" borderId="0" xfId="8" applyFont="1" applyFill="1" applyAlignment="1" applyProtection="1">
      <alignment horizontal="right" vertical="center"/>
    </xf>
    <xf numFmtId="0" fontId="19" fillId="4" borderId="9" xfId="8" applyFont="1" applyFill="1" applyBorder="1" applyAlignment="1" applyProtection="1">
      <alignment horizontal="right" vertical="top" wrapText="1"/>
      <protection locked="0"/>
    </xf>
    <xf numFmtId="0" fontId="19" fillId="4" borderId="11" xfId="8" applyFont="1" applyFill="1" applyBorder="1" applyAlignment="1" applyProtection="1">
      <alignment horizontal="right" vertical="top" wrapText="1"/>
      <protection locked="0"/>
    </xf>
    <xf numFmtId="0" fontId="19" fillId="2" borderId="0" xfId="8" applyFont="1" applyFill="1" applyAlignment="1" applyProtection="1">
      <alignment horizontal="right" vertical="top"/>
    </xf>
    <xf numFmtId="0" fontId="19" fillId="2" borderId="0" xfId="8" applyFont="1" applyFill="1" applyAlignment="1" applyProtection="1">
      <alignment horizontal="right"/>
    </xf>
    <xf numFmtId="0" fontId="20" fillId="2" borderId="0" xfId="8" applyFont="1" applyFill="1" applyBorder="1" applyAlignment="1" applyProtection="1">
      <alignment horizontal="center" vertical="center"/>
    </xf>
    <xf numFmtId="0" fontId="7" fillId="6" borderId="29" xfId="8" applyFont="1" applyFill="1" applyBorder="1" applyAlignment="1" applyProtection="1">
      <alignment vertical="center"/>
    </xf>
    <xf numFmtId="0" fontId="2" fillId="2" borderId="30" xfId="8" applyFont="1" applyFill="1" applyBorder="1" applyAlignment="1" applyProtection="1">
      <alignment vertical="center"/>
    </xf>
    <xf numFmtId="0" fontId="2" fillId="2" borderId="31" xfId="8" applyFont="1" applyFill="1" applyBorder="1" applyAlignment="1" applyProtection="1">
      <alignment vertical="center"/>
    </xf>
    <xf numFmtId="0" fontId="20" fillId="2" borderId="32" xfId="8" applyFont="1" applyFill="1" applyBorder="1" applyAlignment="1" applyProtection="1">
      <alignment horizontal="center" vertical="center"/>
    </xf>
    <xf numFmtId="0" fontId="20" fillId="6" borderId="2" xfId="8" applyFont="1" applyFill="1" applyBorder="1" applyAlignment="1" applyProtection="1">
      <alignment horizontal="left" vertical="center"/>
    </xf>
    <xf numFmtId="0" fontId="7" fillId="6" borderId="16" xfId="8" applyFont="1" applyFill="1" applyBorder="1" applyAlignment="1" applyProtection="1">
      <alignment horizontal="center" vertical="center"/>
    </xf>
    <xf numFmtId="0" fontId="2" fillId="6" borderId="33" xfId="8" applyFont="1" applyFill="1" applyBorder="1" applyAlignment="1" applyProtection="1">
      <alignment vertical="center"/>
    </xf>
    <xf numFmtId="0" fontId="19" fillId="2" borderId="5" xfId="8" applyFont="1" applyFill="1" applyBorder="1" applyAlignment="1" applyProtection="1">
      <alignment horizontal="center" vertical="center"/>
    </xf>
    <xf numFmtId="0" fontId="19" fillId="2" borderId="10" xfId="8" applyFont="1" applyFill="1" applyBorder="1" applyAlignment="1" applyProtection="1">
      <alignment horizontal="center" vertical="center"/>
    </xf>
    <xf numFmtId="166" fontId="23" fillId="2" borderId="5" xfId="9" applyNumberFormat="1" applyFont="1" applyFill="1" applyBorder="1" applyAlignment="1" applyProtection="1">
      <alignment horizontal="center" vertical="center"/>
      <protection hidden="1"/>
    </xf>
    <xf numFmtId="166" fontId="23" fillId="2" borderId="8" xfId="9" applyNumberFormat="1" applyFont="1" applyFill="1" applyBorder="1" applyAlignment="1" applyProtection="1">
      <alignment horizontal="center" vertical="center"/>
      <protection hidden="1"/>
    </xf>
    <xf numFmtId="0" fontId="14" fillId="2" borderId="0" xfId="8" applyFont="1" applyFill="1" applyAlignment="1" applyProtection="1">
      <alignment horizontal="center" vertical="center"/>
    </xf>
    <xf numFmtId="0" fontId="20" fillId="2" borderId="5" xfId="8" applyFont="1" applyFill="1" applyBorder="1" applyAlignment="1" applyProtection="1">
      <alignment horizontal="right" vertical="top" wrapText="1"/>
      <protection locked="0"/>
    </xf>
    <xf numFmtId="0" fontId="19" fillId="2" borderId="0" xfId="8" applyFont="1" applyFill="1" applyBorder="1" applyAlignment="1" applyProtection="1">
      <alignment vertical="top"/>
    </xf>
    <xf numFmtId="0" fontId="2" fillId="2" borderId="29" xfId="8" applyFont="1" applyFill="1" applyBorder="1" applyAlignment="1" applyProtection="1">
      <alignment vertical="center"/>
    </xf>
    <xf numFmtId="166" fontId="19" fillId="2" borderId="5" xfId="9" applyNumberFormat="1" applyFont="1" applyFill="1" applyBorder="1" applyAlignment="1" applyProtection="1">
      <alignment horizontal="center" vertical="center"/>
      <protection hidden="1"/>
    </xf>
    <xf numFmtId="166" fontId="19" fillId="2" borderId="8" xfId="9" applyNumberFormat="1" applyFont="1" applyFill="1" applyBorder="1" applyAlignment="1" applyProtection="1">
      <alignment horizontal="center" vertical="center"/>
      <protection hidden="1"/>
    </xf>
    <xf numFmtId="166" fontId="19" fillId="2" borderId="10" xfId="9" applyNumberFormat="1" applyFont="1" applyFill="1" applyBorder="1" applyAlignment="1" applyProtection="1">
      <alignment horizontal="center" vertical="center"/>
      <protection hidden="1"/>
    </xf>
    <xf numFmtId="0" fontId="38" fillId="6" borderId="4" xfId="8" applyFont="1" applyFill="1" applyBorder="1" applyAlignment="1" applyProtection="1">
      <alignment horizontal="left" vertical="center"/>
    </xf>
    <xf numFmtId="0" fontId="19" fillId="2" borderId="8" xfId="8" applyFont="1" applyFill="1" applyBorder="1" applyAlignment="1" applyProtection="1">
      <alignment horizontal="center" vertical="center"/>
    </xf>
    <xf numFmtId="166" fontId="23" fillId="2" borderId="12" xfId="9" applyNumberFormat="1" applyFont="1" applyFill="1" applyBorder="1" applyAlignment="1" applyProtection="1">
      <alignment horizontal="center" vertical="center"/>
      <protection hidden="1"/>
    </xf>
    <xf numFmtId="166" fontId="23" fillId="2" borderId="13" xfId="9" applyNumberFormat="1" applyFont="1" applyFill="1" applyBorder="1" applyAlignment="1" applyProtection="1">
      <alignment horizontal="center" vertical="center"/>
      <protection hidden="1"/>
    </xf>
    <xf numFmtId="0" fontId="15" fillId="9" borderId="23" xfId="8" applyFont="1" applyFill="1" applyBorder="1" applyAlignment="1" applyProtection="1">
      <alignment vertical="center"/>
    </xf>
    <xf numFmtId="0" fontId="2" fillId="9" borderId="23" xfId="8" applyFont="1" applyFill="1" applyBorder="1" applyAlignment="1" applyProtection="1">
      <alignment vertical="center"/>
    </xf>
    <xf numFmtId="0" fontId="7" fillId="9" borderId="23" xfId="8" applyFont="1" applyFill="1" applyBorder="1" applyAlignment="1" applyProtection="1">
      <alignment vertical="center"/>
    </xf>
    <xf numFmtId="0" fontId="19" fillId="4" borderId="8" xfId="8" applyFont="1" applyFill="1" applyBorder="1" applyAlignment="1" applyProtection="1">
      <alignment horizontal="right" vertical="top" wrapText="1"/>
      <protection locked="0"/>
    </xf>
    <xf numFmtId="0" fontId="28" fillId="5" borderId="0" xfId="8" applyFont="1" applyFill="1" applyBorder="1" applyAlignment="1" applyProtection="1">
      <alignment horizontal="center" vertical="top" wrapText="1"/>
    </xf>
    <xf numFmtId="166" fontId="19" fillId="6" borderId="10" xfId="8" applyNumberFormat="1" applyFont="1" applyFill="1" applyBorder="1" applyAlignment="1" applyProtection="1">
      <alignment horizontal="center" vertical="center"/>
    </xf>
    <xf numFmtId="0" fontId="19" fillId="6" borderId="10" xfId="8" applyFont="1" applyFill="1" applyBorder="1" applyAlignment="1" applyProtection="1">
      <alignment horizontal="center" vertical="center"/>
    </xf>
    <xf numFmtId="166" fontId="19" fillId="6" borderId="1" xfId="9" applyNumberFormat="1" applyFont="1" applyFill="1" applyBorder="1" applyAlignment="1" applyProtection="1">
      <alignment horizontal="center" vertical="center"/>
      <protection hidden="1"/>
    </xf>
    <xf numFmtId="166" fontId="23" fillId="6" borderId="10" xfId="9" applyNumberFormat="1" applyFont="1" applyFill="1" applyBorder="1" applyAlignment="1" applyProtection="1">
      <alignment horizontal="center" vertical="center"/>
      <protection hidden="1"/>
    </xf>
    <xf numFmtId="166" fontId="23" fillId="6" borderId="1" xfId="9" applyNumberFormat="1" applyFont="1" applyFill="1" applyBorder="1" applyAlignment="1" applyProtection="1">
      <alignment horizontal="center" vertical="center"/>
      <protection hidden="1"/>
    </xf>
    <xf numFmtId="0" fontId="20" fillId="6" borderId="4" xfId="8" applyFont="1" applyFill="1" applyBorder="1" applyAlignment="1" applyProtection="1">
      <alignment horizontal="right" vertical="center" wrapText="1"/>
    </xf>
    <xf numFmtId="0" fontId="10" fillId="7" borderId="34" xfId="8" applyFont="1" applyFill="1" applyBorder="1" applyAlignment="1" applyProtection="1">
      <alignment vertical="center"/>
    </xf>
    <xf numFmtId="166" fontId="40" fillId="10" borderId="35" xfId="8" applyNumberFormat="1" applyFont="1" applyFill="1" applyBorder="1" applyAlignment="1" applyProtection="1">
      <alignment horizontal="center" vertical="center" wrapText="1"/>
    </xf>
    <xf numFmtId="166" fontId="10" fillId="2" borderId="0" xfId="8" applyNumberFormat="1" applyFont="1" applyFill="1" applyAlignment="1" applyProtection="1">
      <alignment vertical="center"/>
    </xf>
    <xf numFmtId="166" fontId="41" fillId="2" borderId="0" xfId="8" applyNumberFormat="1" applyFont="1" applyFill="1" applyAlignment="1" applyProtection="1">
      <alignment horizontal="center" vertical="center"/>
    </xf>
    <xf numFmtId="0" fontId="43" fillId="11" borderId="0" xfId="8" applyFont="1" applyFill="1" applyBorder="1" applyAlignment="1" applyProtection="1">
      <alignment vertical="center"/>
    </xf>
    <xf numFmtId="0" fontId="44" fillId="9" borderId="0" xfId="8" applyFont="1" applyFill="1" applyBorder="1" applyAlignment="1" applyProtection="1">
      <alignment vertical="center"/>
    </xf>
    <xf numFmtId="0" fontId="42" fillId="12" borderId="0" xfId="8" applyFont="1" applyFill="1" applyBorder="1" applyAlignment="1" applyProtection="1">
      <alignment vertical="center"/>
    </xf>
    <xf numFmtId="0" fontId="39" fillId="2" borderId="0" xfId="5" applyNumberFormat="1" applyFont="1" applyFill="1" applyBorder="1" applyAlignment="1" applyProtection="1">
      <alignment horizontal="left" vertical="top"/>
    </xf>
    <xf numFmtId="0" fontId="44" fillId="2" borderId="0" xfId="8" quotePrefix="1" applyFont="1" applyFill="1" applyAlignment="1" applyProtection="1">
      <alignment vertical="center"/>
    </xf>
    <xf numFmtId="166" fontId="23" fillId="0" borderId="30" xfId="9" applyNumberFormat="1" applyFont="1" applyBorder="1" applyAlignment="1" applyProtection="1">
      <alignment horizontal="center" vertical="center"/>
    </xf>
    <xf numFmtId="1" fontId="15" fillId="5" borderId="0" xfId="8" applyNumberFormat="1" applyFont="1" applyFill="1" applyAlignment="1" applyProtection="1">
      <alignment vertical="center"/>
    </xf>
    <xf numFmtId="1" fontId="15" fillId="2" borderId="0" xfId="8" applyNumberFormat="1" applyFont="1" applyFill="1" applyAlignment="1" applyProtection="1">
      <alignment vertical="center"/>
    </xf>
    <xf numFmtId="1" fontId="15" fillId="2" borderId="0" xfId="8" applyNumberFormat="1" applyFont="1" applyFill="1" applyBorder="1" applyAlignment="1" applyProtection="1">
      <alignment vertical="center"/>
    </xf>
    <xf numFmtId="0" fontId="10" fillId="7" borderId="14" xfId="8" applyFont="1" applyFill="1" applyBorder="1" applyAlignment="1" applyProtection="1">
      <alignment vertical="center"/>
    </xf>
    <xf numFmtId="166" fontId="26" fillId="6" borderId="4" xfId="9" applyNumberFormat="1" applyFont="1" applyFill="1" applyBorder="1" applyAlignment="1" applyProtection="1">
      <alignment horizontal="right" vertical="center"/>
    </xf>
    <xf numFmtId="14" fontId="31" fillId="5" borderId="0" xfId="8" applyNumberFormat="1" applyFont="1" applyFill="1" applyAlignment="1" applyProtection="1">
      <alignment horizontal="left" vertical="center"/>
      <protection locked="0"/>
    </xf>
    <xf numFmtId="0" fontId="2" fillId="2" borderId="36" xfId="8" applyFont="1" applyFill="1" applyBorder="1" applyAlignment="1" applyProtection="1">
      <alignment vertical="center"/>
    </xf>
    <xf numFmtId="0" fontId="42" fillId="11" borderId="0" xfId="8" applyFont="1" applyFill="1" applyBorder="1" applyAlignment="1" applyProtection="1">
      <alignment vertical="center"/>
    </xf>
    <xf numFmtId="0" fontId="43" fillId="9" borderId="0" xfId="8" applyFont="1" applyFill="1" applyBorder="1" applyAlignment="1" applyProtection="1">
      <alignment vertical="center"/>
    </xf>
    <xf numFmtId="0" fontId="17" fillId="5" borderId="0" xfId="8" applyFont="1" applyFill="1" applyAlignment="1" applyProtection="1">
      <alignment horizontal="left" vertical="top"/>
    </xf>
    <xf numFmtId="0" fontId="19" fillId="2" borderId="0" xfId="8" applyFont="1" applyFill="1" applyAlignment="1" applyProtection="1">
      <alignment horizontal="left" vertical="center"/>
    </xf>
    <xf numFmtId="0" fontId="15" fillId="2" borderId="10" xfId="8" applyFont="1" applyFill="1" applyBorder="1" applyAlignment="1" applyProtection="1">
      <alignment vertical="center"/>
    </xf>
    <xf numFmtId="0" fontId="2" fillId="2" borderId="10" xfId="8" applyFont="1" applyFill="1" applyBorder="1" applyAlignment="1" applyProtection="1">
      <alignment vertical="center"/>
    </xf>
    <xf numFmtId="0" fontId="20" fillId="6" borderId="6" xfId="8" applyFont="1" applyFill="1" applyBorder="1" applyAlignment="1" applyProtection="1">
      <alignment vertical="center"/>
    </xf>
    <xf numFmtId="0" fontId="20" fillId="6" borderId="2" xfId="8" applyFont="1" applyFill="1" applyBorder="1" applyAlignment="1" applyProtection="1">
      <alignment vertical="center"/>
    </xf>
    <xf numFmtId="0" fontId="20" fillId="6" borderId="6" xfId="8" applyFont="1" applyFill="1" applyBorder="1" applyAlignment="1" applyProtection="1">
      <alignment horizontal="left" vertical="center"/>
    </xf>
    <xf numFmtId="0" fontId="38" fillId="6" borderId="6" xfId="8" applyFont="1" applyFill="1" applyBorder="1" applyAlignment="1" applyProtection="1">
      <alignment horizontal="left" vertical="center"/>
    </xf>
    <xf numFmtId="0" fontId="20" fillId="6" borderId="6" xfId="8" applyFont="1" applyFill="1" applyBorder="1" applyAlignment="1" applyProtection="1">
      <alignment horizontal="right" vertical="center" wrapText="1"/>
    </xf>
    <xf numFmtId="0" fontId="19" fillId="2" borderId="10" xfId="8" applyFont="1" applyFill="1" applyBorder="1" applyAlignment="1" applyProtection="1">
      <alignment horizontal="left"/>
    </xf>
    <xf numFmtId="166" fontId="19" fillId="2" borderId="7" xfId="9" applyNumberFormat="1" applyFont="1" applyFill="1" applyBorder="1" applyAlignment="1" applyProtection="1">
      <alignment horizontal="center" vertical="center"/>
      <protection hidden="1"/>
    </xf>
    <xf numFmtId="166" fontId="19" fillId="2" borderId="9" xfId="9" applyNumberFormat="1" applyFont="1" applyFill="1" applyBorder="1" applyAlignment="1" applyProtection="1">
      <alignment horizontal="center" vertical="center"/>
      <protection hidden="1"/>
    </xf>
    <xf numFmtId="166" fontId="19" fillId="2" borderId="11" xfId="9" applyNumberFormat="1" applyFont="1" applyFill="1" applyBorder="1" applyAlignment="1" applyProtection="1">
      <alignment horizontal="center" vertical="center"/>
      <protection hidden="1"/>
    </xf>
    <xf numFmtId="166" fontId="19" fillId="2" borderId="12" xfId="9" applyNumberFormat="1" applyFont="1" applyFill="1" applyBorder="1" applyAlignment="1" applyProtection="1">
      <alignment horizontal="center" vertical="center"/>
      <protection hidden="1"/>
    </xf>
    <xf numFmtId="166" fontId="19" fillId="2" borderId="13" xfId="9" applyNumberFormat="1" applyFont="1" applyFill="1" applyBorder="1" applyAlignment="1" applyProtection="1">
      <alignment horizontal="center" vertical="center"/>
      <protection hidden="1"/>
    </xf>
    <xf numFmtId="166" fontId="19" fillId="2" borderId="25" xfId="9" applyNumberFormat="1" applyFont="1" applyFill="1" applyBorder="1" applyAlignment="1" applyProtection="1">
      <alignment horizontal="center" vertical="center"/>
      <protection hidden="1"/>
    </xf>
    <xf numFmtId="0" fontId="19" fillId="2" borderId="10" xfId="8" applyFont="1" applyFill="1" applyBorder="1" applyProtection="1"/>
    <xf numFmtId="0" fontId="19" fillId="4" borderId="0" xfId="8" applyFont="1" applyFill="1" applyBorder="1" applyAlignment="1" applyProtection="1">
      <alignment horizontal="right" vertical="top" wrapText="1"/>
      <protection locked="0"/>
    </xf>
    <xf numFmtId="0" fontId="19" fillId="4" borderId="2" xfId="8" applyFont="1" applyFill="1" applyBorder="1" applyAlignment="1" applyProtection="1">
      <alignment horizontal="right" vertical="top" wrapText="1"/>
      <protection locked="0"/>
    </xf>
    <xf numFmtId="0" fontId="37" fillId="4" borderId="13" xfId="0" applyFont="1" applyFill="1" applyBorder="1" applyAlignment="1" applyProtection="1">
      <alignment horizontal="right" vertical="top"/>
      <protection locked="0"/>
    </xf>
    <xf numFmtId="0" fontId="37" fillId="4" borderId="25" xfId="0" applyFont="1" applyFill="1" applyBorder="1" applyAlignment="1" applyProtection="1">
      <alignment horizontal="right" vertical="top"/>
      <protection locked="0"/>
    </xf>
    <xf numFmtId="0" fontId="20" fillId="2" borderId="13" xfId="8" applyFont="1" applyFill="1" applyBorder="1" applyAlignment="1" applyProtection="1">
      <alignment horizontal="right" vertical="top" wrapText="1"/>
      <protection locked="0"/>
    </xf>
    <xf numFmtId="0" fontId="20" fillId="2" borderId="25" xfId="8" applyFont="1" applyFill="1" applyBorder="1" applyAlignment="1" applyProtection="1">
      <alignment horizontal="right" vertical="top" wrapText="1"/>
      <protection locked="0"/>
    </xf>
    <xf numFmtId="166" fontId="20" fillId="6" borderId="1" xfId="9" applyNumberFormat="1" applyFont="1" applyFill="1" applyBorder="1" applyAlignment="1" applyProtection="1">
      <alignment horizontal="left" vertical="center"/>
    </xf>
    <xf numFmtId="0" fontId="45" fillId="2" borderId="0" xfId="8" applyFont="1" applyFill="1" applyAlignment="1" applyProtection="1">
      <alignment horizontal="center" vertical="center"/>
    </xf>
    <xf numFmtId="0" fontId="45" fillId="2" borderId="0" xfId="8" applyFont="1" applyFill="1" applyAlignment="1" applyProtection="1">
      <alignment vertical="center"/>
    </xf>
    <xf numFmtId="0" fontId="45" fillId="2" borderId="0" xfId="8" applyFont="1" applyFill="1" applyBorder="1" applyAlignment="1" applyProtection="1">
      <alignment horizontal="left" vertical="top" wrapText="1"/>
    </xf>
    <xf numFmtId="0" fontId="45" fillId="2" borderId="0" xfId="8" applyFont="1" applyFill="1" applyBorder="1" applyAlignment="1" applyProtection="1">
      <alignment horizontal="center" vertical="center"/>
    </xf>
    <xf numFmtId="0" fontId="45" fillId="2" borderId="0" xfId="8" applyFont="1" applyFill="1" applyBorder="1" applyAlignment="1" applyProtection="1">
      <alignment vertical="top" wrapText="1"/>
    </xf>
    <xf numFmtId="0" fontId="45" fillId="2" borderId="0" xfId="8" applyFont="1" applyFill="1" applyBorder="1" applyAlignment="1" applyProtection="1">
      <alignment vertical="center"/>
    </xf>
    <xf numFmtId="0" fontId="18" fillId="10" borderId="29" xfId="8" applyFont="1" applyFill="1" applyBorder="1" applyAlignment="1" applyProtection="1">
      <alignment horizontal="center" vertical="center" wrapText="1"/>
    </xf>
    <xf numFmtId="0" fontId="10" fillId="7" borderId="7" xfId="8" applyFont="1" applyFill="1" applyBorder="1" applyAlignment="1" applyProtection="1">
      <alignment vertical="top" wrapText="1"/>
    </xf>
    <xf numFmtId="166" fontId="10" fillId="6" borderId="10" xfId="9" applyNumberFormat="1" applyFont="1" applyFill="1" applyBorder="1" applyAlignment="1" applyProtection="1">
      <alignment horizontal="center" vertical="center"/>
      <protection hidden="1"/>
    </xf>
    <xf numFmtId="166" fontId="10" fillId="2" borderId="5" xfId="9" applyNumberFormat="1" applyFont="1" applyFill="1" applyBorder="1" applyAlignment="1" applyProtection="1">
      <alignment horizontal="center" vertical="center"/>
      <protection hidden="1"/>
    </xf>
    <xf numFmtId="166" fontId="10" fillId="2" borderId="8" xfId="9" applyNumberFormat="1" applyFont="1" applyFill="1" applyBorder="1" applyAlignment="1" applyProtection="1">
      <alignment horizontal="center" vertical="center"/>
      <protection hidden="1"/>
    </xf>
    <xf numFmtId="166" fontId="10" fillId="2" borderId="10" xfId="9" applyNumberFormat="1" applyFont="1" applyFill="1" applyBorder="1" applyAlignment="1" applyProtection="1">
      <alignment horizontal="center" vertical="center"/>
      <protection hidden="1"/>
    </xf>
    <xf numFmtId="0" fontId="10" fillId="2" borderId="5" xfId="8" applyFont="1" applyFill="1" applyBorder="1" applyAlignment="1" applyProtection="1">
      <alignment horizontal="center" vertical="center"/>
    </xf>
    <xf numFmtId="0" fontId="10" fillId="2" borderId="8" xfId="8" applyFont="1" applyFill="1" applyBorder="1" applyAlignment="1" applyProtection="1">
      <alignment horizontal="center" vertical="center"/>
    </xf>
    <xf numFmtId="0" fontId="10" fillId="2" borderId="0" xfId="8" applyFont="1" applyFill="1" applyProtection="1"/>
    <xf numFmtId="0" fontId="10" fillId="2" borderId="32" xfId="8" applyFont="1" applyFill="1" applyBorder="1" applyAlignment="1" applyProtection="1">
      <alignment horizontal="center" vertical="center"/>
    </xf>
    <xf numFmtId="0" fontId="10" fillId="2" borderId="26" xfId="8" applyFont="1" applyFill="1" applyBorder="1" applyAlignment="1" applyProtection="1">
      <alignment horizontal="center" vertical="center"/>
    </xf>
    <xf numFmtId="0" fontId="19" fillId="2" borderId="0" xfId="8" applyFont="1" applyFill="1" applyAlignment="1" applyProtection="1"/>
    <xf numFmtId="0" fontId="19" fillId="2" borderId="10" xfId="8" applyFont="1" applyFill="1" applyBorder="1" applyAlignment="1" applyProtection="1">
      <alignment horizontal="right"/>
    </xf>
    <xf numFmtId="166" fontId="10" fillId="6" borderId="1" xfId="9" applyNumberFormat="1" applyFont="1" applyFill="1" applyBorder="1" applyAlignment="1" applyProtection="1">
      <alignment horizontal="center" vertical="center"/>
      <protection hidden="1"/>
    </xf>
    <xf numFmtId="0" fontId="10" fillId="6" borderId="1" xfId="8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/>
    </xf>
    <xf numFmtId="0" fontId="10" fillId="2" borderId="8" xfId="0" applyFont="1" applyBorder="1" applyAlignment="1" applyProtection="1">
      <alignment horizontal="center"/>
    </xf>
    <xf numFmtId="0" fontId="10" fillId="2" borderId="10" xfId="0" applyFont="1" applyBorder="1" applyAlignment="1" applyProtection="1">
      <alignment horizontal="center"/>
    </xf>
    <xf numFmtId="0" fontId="0" fillId="2" borderId="14" xfId="8" applyFont="1" applyFill="1" applyBorder="1" applyAlignment="1" applyProtection="1">
      <alignment vertical="center"/>
    </xf>
    <xf numFmtId="0" fontId="0" fillId="2" borderId="19" xfId="8" applyFont="1" applyFill="1" applyBorder="1" applyAlignment="1" applyProtection="1">
      <alignment vertical="center"/>
    </xf>
    <xf numFmtId="0" fontId="0" fillId="2" borderId="17" xfId="8" applyFont="1" applyFill="1" applyBorder="1" applyAlignment="1" applyProtection="1">
      <alignment vertical="center"/>
    </xf>
    <xf numFmtId="0" fontId="0" fillId="2" borderId="1" xfId="8" applyFont="1" applyFill="1" applyBorder="1" applyAlignment="1" applyProtection="1">
      <alignment vertical="center"/>
    </xf>
    <xf numFmtId="0" fontId="2" fillId="2" borderId="14" xfId="8" applyFont="1" applyFill="1" applyBorder="1" applyAlignment="1" applyProtection="1">
      <alignment vertical="center"/>
    </xf>
    <xf numFmtId="0" fontId="2" fillId="2" borderId="19" xfId="8" applyFont="1" applyFill="1" applyBorder="1" applyAlignment="1" applyProtection="1">
      <alignment vertical="center"/>
    </xf>
    <xf numFmtId="0" fontId="2" fillId="2" borderId="21" xfId="8" applyFont="1" applyFill="1" applyBorder="1" applyAlignment="1" applyProtection="1">
      <alignment vertical="center"/>
    </xf>
    <xf numFmtId="0" fontId="15" fillId="2" borderId="37" xfId="8" applyFont="1" applyFill="1" applyBorder="1" applyAlignment="1" applyProtection="1">
      <alignment vertical="center"/>
    </xf>
    <xf numFmtId="0" fontId="15" fillId="2" borderId="38" xfId="8" applyFont="1" applyFill="1" applyBorder="1" applyAlignment="1" applyProtection="1">
      <alignment vertical="center"/>
    </xf>
    <xf numFmtId="0" fontId="24" fillId="2" borderId="23" xfId="8" applyFont="1" applyFill="1" applyBorder="1" applyAlignment="1" applyProtection="1">
      <alignment vertical="center"/>
    </xf>
    <xf numFmtId="0" fontId="15" fillId="2" borderId="34" xfId="8" applyFont="1" applyFill="1" applyBorder="1" applyAlignment="1" applyProtection="1">
      <alignment vertical="center"/>
    </xf>
    <xf numFmtId="0" fontId="24" fillId="2" borderId="10" xfId="8" applyFont="1" applyFill="1" applyBorder="1" applyAlignment="1" applyProtection="1">
      <alignment vertical="center"/>
    </xf>
    <xf numFmtId="0" fontId="24" fillId="2" borderId="5" xfId="8" applyFont="1" applyFill="1" applyBorder="1" applyAlignment="1" applyProtection="1">
      <alignment vertical="center"/>
    </xf>
    <xf numFmtId="0" fontId="0" fillId="2" borderId="34" xfId="8" applyFont="1" applyFill="1" applyBorder="1" applyAlignment="1" applyProtection="1">
      <alignment vertical="center"/>
    </xf>
    <xf numFmtId="0" fontId="0" fillId="2" borderId="10" xfId="8" applyFont="1" applyFill="1" applyBorder="1" applyAlignment="1" applyProtection="1">
      <alignment vertical="center"/>
    </xf>
    <xf numFmtId="0" fontId="0" fillId="2" borderId="0" xfId="8" applyFont="1" applyFill="1" applyAlignment="1" applyProtection="1">
      <alignment vertical="center"/>
    </xf>
    <xf numFmtId="9" fontId="8" fillId="8" borderId="21" xfId="9" applyFont="1" applyFill="1" applyBorder="1" applyAlignment="1" applyProtection="1">
      <alignment horizontal="left" vertical="center"/>
    </xf>
    <xf numFmtId="0" fontId="15" fillId="9" borderId="39" xfId="8" applyFont="1" applyFill="1" applyBorder="1" applyAlignment="1" applyProtection="1">
      <alignment vertical="center"/>
    </xf>
    <xf numFmtId="0" fontId="2" fillId="9" borderId="39" xfId="8" applyFont="1" applyFill="1" applyBorder="1" applyAlignment="1" applyProtection="1">
      <alignment vertical="center"/>
    </xf>
    <xf numFmtId="0" fontId="24" fillId="9" borderId="39" xfId="8" applyFont="1" applyFill="1" applyBorder="1" applyAlignment="1" applyProtection="1">
      <alignment vertical="center"/>
    </xf>
    <xf numFmtId="0" fontId="24" fillId="2" borderId="16" xfId="8" applyFont="1" applyFill="1" applyBorder="1" applyAlignment="1" applyProtection="1">
      <alignment vertical="center"/>
    </xf>
    <xf numFmtId="0" fontId="7" fillId="6" borderId="40" xfId="8" applyFont="1" applyFill="1" applyBorder="1" applyAlignment="1" applyProtection="1">
      <alignment vertical="center"/>
    </xf>
    <xf numFmtId="0" fontId="15" fillId="2" borderId="40" xfId="8" applyFont="1" applyFill="1" applyBorder="1" applyAlignment="1" applyProtection="1">
      <alignment vertical="center"/>
    </xf>
    <xf numFmtId="0" fontId="10" fillId="7" borderId="9" xfId="8" applyFont="1" applyFill="1" applyBorder="1" applyAlignment="1" applyProtection="1">
      <alignment vertical="top" wrapText="1"/>
    </xf>
    <xf numFmtId="0" fontId="7" fillId="8" borderId="18" xfId="8" applyFont="1" applyFill="1" applyBorder="1" applyAlignment="1" applyProtection="1">
      <alignment vertical="center"/>
    </xf>
    <xf numFmtId="10" fontId="23" fillId="2" borderId="0" xfId="9" applyNumberFormat="1" applyFont="1" applyFill="1" applyBorder="1" applyAlignment="1" applyProtection="1">
      <alignment horizontal="center" vertical="center"/>
    </xf>
    <xf numFmtId="0" fontId="20" fillId="2" borderId="0" xfId="4" applyFont="1" applyFill="1" applyBorder="1" applyAlignment="1" applyProtection="1">
      <alignment horizontal="center" vertical="center"/>
    </xf>
    <xf numFmtId="0" fontId="47" fillId="2" borderId="0" xfId="4" applyFont="1" applyFill="1" applyBorder="1" applyAlignment="1" applyProtection="1">
      <alignment vertical="center"/>
    </xf>
    <xf numFmtId="166" fontId="23" fillId="0" borderId="31" xfId="9" applyNumberFormat="1" applyFont="1" applyBorder="1" applyAlignment="1" applyProtection="1">
      <alignment horizontal="center" vertical="center"/>
    </xf>
    <xf numFmtId="166" fontId="23" fillId="0" borderId="41" xfId="9" applyNumberFormat="1" applyFont="1" applyBorder="1" applyAlignment="1" applyProtection="1">
      <alignment horizontal="center" vertical="center"/>
    </xf>
    <xf numFmtId="0" fontId="10" fillId="7" borderId="11" xfId="8" applyFont="1" applyFill="1" applyBorder="1" applyAlignment="1" applyProtection="1">
      <alignment vertical="top" wrapText="1"/>
    </xf>
    <xf numFmtId="9" fontId="15" fillId="2" borderId="17" xfId="9" applyFont="1" applyFill="1" applyBorder="1" applyAlignment="1" applyProtection="1">
      <alignment vertical="center"/>
    </xf>
    <xf numFmtId="9" fontId="15" fillId="2" borderId="1" xfId="9" applyFont="1" applyFill="1" applyBorder="1" applyAlignment="1" applyProtection="1">
      <alignment vertical="center"/>
    </xf>
    <xf numFmtId="9" fontId="15" fillId="2" borderId="23" xfId="9" applyFont="1" applyFill="1" applyBorder="1" applyAlignment="1" applyProtection="1">
      <alignment vertical="center"/>
    </xf>
    <xf numFmtId="1" fontId="15" fillId="2" borderId="18" xfId="8" applyNumberFormat="1" applyFont="1" applyFill="1" applyBorder="1" applyAlignment="1" applyProtection="1">
      <alignment vertical="center"/>
    </xf>
    <xf numFmtId="1" fontId="15" fillId="2" borderId="20" xfId="8" applyNumberFormat="1" applyFont="1" applyFill="1" applyBorder="1" applyAlignment="1" applyProtection="1">
      <alignment vertical="center"/>
    </xf>
    <xf numFmtId="1" fontId="15" fillId="2" borderId="22" xfId="8" applyNumberFormat="1" applyFont="1" applyFill="1" applyBorder="1" applyAlignment="1" applyProtection="1">
      <alignment vertical="center"/>
    </xf>
    <xf numFmtId="0" fontId="48" fillId="2" borderId="0" xfId="8" applyFont="1" applyFill="1" applyBorder="1" applyAlignment="1" applyProtection="1">
      <alignment horizontal="left" vertical="center"/>
    </xf>
    <xf numFmtId="10" fontId="10" fillId="2" borderId="0" xfId="8" applyNumberFormat="1" applyFont="1" applyFill="1" applyBorder="1" applyAlignment="1" applyProtection="1">
      <alignment horizontal="center" vertical="center"/>
      <protection hidden="1"/>
    </xf>
    <xf numFmtId="10" fontId="20" fillId="2" borderId="0" xfId="8" applyNumberFormat="1" applyFont="1" applyFill="1" applyBorder="1" applyAlignment="1" applyProtection="1">
      <alignment horizontal="center" vertical="center"/>
      <protection hidden="1"/>
    </xf>
    <xf numFmtId="0" fontId="15" fillId="2" borderId="18" xfId="8" applyFont="1" applyFill="1" applyBorder="1" applyAlignment="1" applyProtection="1">
      <alignment vertical="center"/>
    </xf>
    <xf numFmtId="0" fontId="15" fillId="2" borderId="20" xfId="8" applyFont="1" applyFill="1" applyBorder="1" applyAlignment="1" applyProtection="1">
      <alignment vertical="center"/>
    </xf>
    <xf numFmtId="0" fontId="15" fillId="2" borderId="42" xfId="8" applyFont="1" applyFill="1" applyBorder="1" applyAlignment="1" applyProtection="1">
      <alignment vertical="center"/>
    </xf>
    <xf numFmtId="0" fontId="15" fillId="2" borderId="22" xfId="8" applyFont="1" applyFill="1" applyBorder="1" applyAlignment="1" applyProtection="1">
      <alignment vertical="center"/>
    </xf>
    <xf numFmtId="166" fontId="20" fillId="6" borderId="4" xfId="9" applyNumberFormat="1" applyFont="1" applyFill="1" applyBorder="1" applyAlignment="1" applyProtection="1">
      <alignment horizontal="left" vertical="center"/>
    </xf>
    <xf numFmtId="0" fontId="10" fillId="7" borderId="13" xfId="8" applyFont="1" applyFill="1" applyBorder="1" applyAlignment="1" applyProtection="1">
      <alignment vertical="top" wrapText="1"/>
    </xf>
    <xf numFmtId="0" fontId="44" fillId="2" borderId="0" xfId="8" applyFont="1" applyFill="1" applyBorder="1" applyAlignment="1" applyProtection="1">
      <alignment vertical="center"/>
    </xf>
    <xf numFmtId="0" fontId="44" fillId="2" borderId="0" xfId="8" applyFont="1" applyFill="1" applyAlignment="1" applyProtection="1">
      <alignment vertical="center"/>
    </xf>
    <xf numFmtId="0" fontId="44" fillId="2" borderId="0" xfId="8" applyFont="1" applyFill="1" applyBorder="1" applyAlignment="1" applyProtection="1">
      <alignment horizontal="left" vertical="center"/>
    </xf>
    <xf numFmtId="0" fontId="15" fillId="2" borderId="0" xfId="8" applyFont="1" applyFill="1" applyAlignment="1" applyProtection="1">
      <alignment horizontal="center" vertical="center"/>
    </xf>
    <xf numFmtId="0" fontId="0" fillId="2" borderId="0" xfId="0" applyAlignment="1">
      <alignment wrapText="1"/>
    </xf>
    <xf numFmtId="0" fontId="0" fillId="2" borderId="32" xfId="8" applyFont="1" applyFill="1" applyBorder="1" applyAlignment="1" applyProtection="1">
      <alignment vertical="center"/>
    </xf>
    <xf numFmtId="0" fontId="15" fillId="2" borderId="43" xfId="8" applyFont="1" applyFill="1" applyBorder="1" applyAlignment="1" applyProtection="1">
      <alignment vertical="center"/>
    </xf>
    <xf numFmtId="0" fontId="0" fillId="2" borderId="43" xfId="8" applyFont="1" applyFill="1" applyBorder="1" applyAlignment="1" applyProtection="1">
      <alignment vertical="center"/>
    </xf>
    <xf numFmtId="0" fontId="2" fillId="2" borderId="43" xfId="8" applyFont="1" applyFill="1" applyBorder="1" applyAlignment="1" applyProtection="1">
      <alignment vertical="center"/>
    </xf>
    <xf numFmtId="0" fontId="0" fillId="2" borderId="0" xfId="8" applyFont="1" applyFill="1" applyAlignment="1" applyProtection="1">
      <alignment horizontal="right" vertical="center"/>
    </xf>
    <xf numFmtId="0" fontId="15" fillId="2" borderId="32" xfId="8" applyFont="1" applyFill="1" applyBorder="1" applyAlignment="1" applyProtection="1">
      <alignment vertical="center"/>
    </xf>
    <xf numFmtId="0" fontId="2" fillId="2" borderId="32" xfId="8" applyFont="1" applyFill="1" applyBorder="1" applyAlignment="1" applyProtection="1">
      <alignment vertical="center"/>
    </xf>
    <xf numFmtId="0" fontId="7" fillId="2" borderId="18" xfId="8" applyFont="1" applyFill="1" applyBorder="1" applyAlignment="1" applyProtection="1">
      <alignment horizontal="center" vertical="center"/>
    </xf>
    <xf numFmtId="0" fontId="7" fillId="2" borderId="22" xfId="8" applyFont="1" applyFill="1" applyBorder="1" applyAlignment="1" applyProtection="1">
      <alignment horizontal="center" vertical="center"/>
    </xf>
    <xf numFmtId="0" fontId="7" fillId="2" borderId="26" xfId="8" applyFont="1" applyFill="1" applyBorder="1" applyAlignment="1" applyProtection="1">
      <alignment horizontal="center" vertical="center"/>
    </xf>
    <xf numFmtId="0" fontId="24" fillId="2" borderId="26" xfId="8" applyFont="1" applyFill="1" applyBorder="1" applyAlignment="1" applyProtection="1">
      <alignment horizontal="center" vertical="center"/>
    </xf>
    <xf numFmtId="0" fontId="15" fillId="2" borderId="36" xfId="8" applyFont="1" applyFill="1" applyBorder="1" applyAlignment="1" applyProtection="1">
      <alignment horizontal="center" vertical="center"/>
    </xf>
    <xf numFmtId="10" fontId="15" fillId="2" borderId="0" xfId="8" applyNumberFormat="1" applyFont="1" applyFill="1" applyAlignment="1" applyProtection="1">
      <alignment horizontal="center" vertical="center"/>
    </xf>
    <xf numFmtId="0" fontId="7" fillId="6" borderId="32" xfId="8" applyFont="1" applyFill="1" applyBorder="1" applyAlignment="1" applyProtection="1">
      <alignment vertical="center"/>
    </xf>
    <xf numFmtId="0" fontId="7" fillId="6" borderId="43" xfId="8" applyFont="1" applyFill="1" applyBorder="1" applyAlignment="1" applyProtection="1">
      <alignment vertical="center"/>
    </xf>
    <xf numFmtId="0" fontId="7" fillId="6" borderId="26" xfId="8" applyFont="1" applyFill="1" applyBorder="1" applyAlignment="1" applyProtection="1">
      <alignment vertical="center"/>
    </xf>
    <xf numFmtId="0" fontId="7" fillId="6" borderId="29" xfId="8" applyFont="1" applyFill="1" applyBorder="1" applyAlignment="1" applyProtection="1">
      <alignment horizontal="center" vertical="center"/>
    </xf>
    <xf numFmtId="0" fontId="0" fillId="2" borderId="30" xfId="8" applyFont="1" applyFill="1" applyBorder="1" applyAlignment="1" applyProtection="1">
      <alignment horizontal="center" vertical="center"/>
    </xf>
    <xf numFmtId="0" fontId="0" fillId="2" borderId="31" xfId="8" applyFont="1" applyFill="1" applyBorder="1" applyAlignment="1" applyProtection="1">
      <alignment horizontal="center" vertical="center"/>
    </xf>
    <xf numFmtId="0" fontId="34" fillId="2" borderId="2" xfId="8" applyFont="1" applyFill="1" applyBorder="1" applyAlignment="1" applyProtection="1">
      <alignment vertical="top"/>
    </xf>
    <xf numFmtId="0" fontId="7" fillId="2" borderId="1" xfId="8" applyFont="1" applyFill="1" applyBorder="1" applyAlignment="1" applyProtection="1">
      <alignment vertical="top" wrapText="1"/>
    </xf>
    <xf numFmtId="0" fontId="10" fillId="7" borderId="1" xfId="0" applyFont="1" applyFill="1" applyBorder="1" applyAlignment="1">
      <alignment horizontal="left" vertical="top" wrapText="1"/>
    </xf>
    <xf numFmtId="0" fontId="0" fillId="2" borderId="0" xfId="0" applyFill="1" applyBorder="1"/>
    <xf numFmtId="0" fontId="52" fillId="2" borderId="0" xfId="0" applyFont="1" applyAlignment="1">
      <alignment horizontal="center" vertical="center" wrapText="1"/>
    </xf>
    <xf numFmtId="0" fontId="7" fillId="6" borderId="36" xfId="8" applyFont="1" applyFill="1" applyBorder="1" applyAlignment="1" applyProtection="1">
      <alignment horizontal="center" vertical="center"/>
    </xf>
    <xf numFmtId="0" fontId="15" fillId="2" borderId="44" xfId="8" applyFont="1" applyFill="1" applyBorder="1" applyAlignment="1" applyProtection="1">
      <alignment horizontal="center" vertical="center"/>
    </xf>
    <xf numFmtId="0" fontId="49" fillId="2" borderId="0" xfId="4" applyFont="1" applyFill="1" applyBorder="1" applyAlignment="1" applyProtection="1">
      <alignment horizontal="center" vertical="center" wrapText="1"/>
    </xf>
    <xf numFmtId="0" fontId="53" fillId="2" borderId="0" xfId="0" applyFont="1" applyAlignment="1">
      <alignment horizontal="center" vertical="center"/>
    </xf>
    <xf numFmtId="0" fontId="50" fillId="2" borderId="0" xfId="8" applyFont="1" applyFill="1" applyAlignment="1" applyProtection="1">
      <alignment vertical="center"/>
    </xf>
    <xf numFmtId="0" fontId="54" fillId="5" borderId="0" xfId="8" applyFont="1" applyFill="1" applyAlignment="1" applyProtection="1">
      <alignment vertical="center"/>
    </xf>
    <xf numFmtId="0" fontId="10" fillId="4" borderId="1" xfId="8" applyFont="1" applyFill="1" applyBorder="1" applyAlignment="1" applyProtection="1">
      <alignment horizontal="center" vertical="top" wrapText="1"/>
      <protection locked="0"/>
    </xf>
    <xf numFmtId="0" fontId="10" fillId="4" borderId="1" xfId="8" applyFont="1" applyFill="1" applyBorder="1" applyAlignment="1" applyProtection="1">
      <alignment vertical="top" wrapText="1"/>
      <protection locked="0"/>
    </xf>
    <xf numFmtId="0" fontId="14" fillId="2" borderId="0" xfId="0" applyFont="1" applyAlignment="1">
      <alignment horizontal="center" vertical="center" wrapText="1"/>
    </xf>
    <xf numFmtId="0" fontId="0" fillId="2" borderId="0" xfId="0" applyFont="1"/>
    <xf numFmtId="0" fontId="0" fillId="2" borderId="21" xfId="8" applyFont="1" applyFill="1" applyBorder="1" applyAlignment="1" applyProtection="1">
      <alignment vertical="center"/>
    </xf>
    <xf numFmtId="0" fontId="10" fillId="2" borderId="0" xfId="8" applyFont="1" applyFill="1" applyAlignment="1" applyProtection="1">
      <alignment horizontal="left" vertical="top" wrapText="1"/>
    </xf>
    <xf numFmtId="0" fontId="10" fillId="7" borderId="17" xfId="8" applyFont="1" applyFill="1" applyBorder="1" applyAlignment="1" applyProtection="1">
      <alignment horizontal="left" vertical="center"/>
    </xf>
    <xf numFmtId="0" fontId="10" fillId="7" borderId="45" xfId="8" applyFont="1" applyFill="1" applyBorder="1" applyAlignment="1" applyProtection="1">
      <alignment horizontal="left" vertical="center"/>
    </xf>
    <xf numFmtId="0" fontId="10" fillId="7" borderId="1" xfId="8" applyFont="1" applyFill="1" applyBorder="1" applyAlignment="1" applyProtection="1">
      <alignment horizontal="left" vertical="center"/>
    </xf>
    <xf numFmtId="0" fontId="10" fillId="7" borderId="46" xfId="8" applyFont="1" applyFill="1" applyBorder="1" applyAlignment="1" applyProtection="1">
      <alignment horizontal="left" vertical="center"/>
    </xf>
    <xf numFmtId="0" fontId="22" fillId="10" borderId="44" xfId="8" applyFont="1" applyFill="1" applyBorder="1" applyAlignment="1" applyProtection="1">
      <alignment horizontal="left" vertical="center" wrapText="1"/>
    </xf>
    <xf numFmtId="0" fontId="22" fillId="10" borderId="47" xfId="8" applyFont="1" applyFill="1" applyBorder="1" applyAlignment="1" applyProtection="1">
      <alignment horizontal="left" vertical="center" wrapText="1"/>
    </xf>
    <xf numFmtId="0" fontId="10" fillId="7" borderId="10" xfId="8" applyFont="1" applyFill="1" applyBorder="1" applyAlignment="1" applyProtection="1">
      <alignment horizontal="left" vertical="center"/>
    </xf>
    <xf numFmtId="0" fontId="10" fillId="7" borderId="25" xfId="8" applyFont="1" applyFill="1" applyBorder="1" applyAlignment="1" applyProtection="1">
      <alignment horizontal="left" vertical="center"/>
    </xf>
    <xf numFmtId="0" fontId="10" fillId="7" borderId="5" xfId="8" applyFont="1" applyFill="1" applyBorder="1" applyAlignment="1" applyProtection="1">
      <alignment horizontal="left" vertical="center"/>
    </xf>
    <xf numFmtId="0" fontId="10" fillId="7" borderId="12" xfId="8" applyFont="1" applyFill="1" applyBorder="1" applyAlignment="1" applyProtection="1">
      <alignment horizontal="left" vertical="center"/>
    </xf>
    <xf numFmtId="0" fontId="10" fillId="2" borderId="0" xfId="8" applyFont="1" applyFill="1" applyAlignment="1" applyProtection="1">
      <alignment horizontal="left" vertical="center" wrapText="1"/>
    </xf>
    <xf numFmtId="0" fontId="25" fillId="2" borderId="0" xfId="8" applyFont="1" applyFill="1" applyAlignment="1" applyProtection="1">
      <alignment horizontal="right" vertical="center"/>
    </xf>
    <xf numFmtId="0" fontId="10" fillId="4" borderId="46" xfId="8" applyFont="1" applyFill="1" applyBorder="1" applyAlignment="1" applyProtection="1">
      <alignment horizontal="left" vertical="center"/>
      <protection locked="0"/>
    </xf>
    <xf numFmtId="0" fontId="10" fillId="4" borderId="48" xfId="8" applyFont="1" applyFill="1" applyBorder="1" applyAlignment="1" applyProtection="1">
      <alignment horizontal="left" vertical="center"/>
      <protection locked="0"/>
    </xf>
    <xf numFmtId="0" fontId="25" fillId="2" borderId="0" xfId="7" applyNumberFormat="1" applyFont="1" applyAlignment="1" applyProtection="1">
      <alignment horizontal="right" vertical="center"/>
    </xf>
    <xf numFmtId="0" fontId="10" fillId="4" borderId="4" xfId="8" applyFont="1" applyFill="1" applyBorder="1" applyAlignment="1" applyProtection="1">
      <alignment horizontal="left" vertical="center"/>
      <protection locked="0"/>
    </xf>
    <xf numFmtId="0" fontId="15" fillId="2" borderId="0" xfId="8" applyFont="1" applyFill="1" applyBorder="1" applyAlignment="1" applyProtection="1">
      <alignment horizontal="center" vertical="center"/>
    </xf>
    <xf numFmtId="0" fontId="10" fillId="7" borderId="23" xfId="8" applyFont="1" applyFill="1" applyBorder="1" applyAlignment="1" applyProtection="1">
      <alignment horizontal="left" vertical="center"/>
    </xf>
    <xf numFmtId="0" fontId="10" fillId="7" borderId="49" xfId="8" applyFont="1" applyFill="1" applyBorder="1" applyAlignment="1" applyProtection="1">
      <alignment horizontal="left" vertical="center"/>
    </xf>
    <xf numFmtId="0" fontId="20" fillId="7" borderId="0" xfId="5" applyNumberFormat="1" applyFont="1" applyFill="1" applyBorder="1" applyAlignment="1" applyProtection="1">
      <alignment horizontal="right" vertical="center"/>
    </xf>
    <xf numFmtId="0" fontId="0" fillId="7" borderId="0" xfId="0" applyFill="1" applyBorder="1" applyAlignment="1" applyProtection="1">
      <alignment vertical="center"/>
    </xf>
    <xf numFmtId="0" fontId="10" fillId="4" borderId="12" xfId="8" applyFont="1" applyFill="1" applyBorder="1" applyAlignment="1" applyProtection="1">
      <alignment horizontal="left" vertical="top" wrapText="1"/>
      <protection locked="0"/>
    </xf>
    <xf numFmtId="0" fontId="10" fillId="4" borderId="6" xfId="8" applyFont="1" applyFill="1" applyBorder="1" applyAlignment="1" applyProtection="1">
      <alignment horizontal="left" vertical="top" wrapText="1"/>
      <protection locked="0"/>
    </xf>
    <xf numFmtId="0" fontId="10" fillId="4" borderId="7" xfId="8" applyFont="1" applyFill="1" applyBorder="1" applyAlignment="1" applyProtection="1">
      <alignment horizontal="left" vertical="top" wrapText="1"/>
      <protection locked="0"/>
    </xf>
    <xf numFmtId="0" fontId="10" fillId="4" borderId="13" xfId="8" applyFont="1" applyFill="1" applyBorder="1" applyAlignment="1" applyProtection="1">
      <alignment horizontal="left" vertical="top" wrapText="1"/>
      <protection locked="0"/>
    </xf>
    <xf numFmtId="0" fontId="10" fillId="4" borderId="0" xfId="8" applyFont="1" applyFill="1" applyBorder="1" applyAlignment="1" applyProtection="1">
      <alignment horizontal="left" vertical="top" wrapText="1"/>
      <protection locked="0"/>
    </xf>
    <xf numFmtId="0" fontId="10" fillId="4" borderId="9" xfId="8" applyFont="1" applyFill="1" applyBorder="1" applyAlignment="1" applyProtection="1">
      <alignment horizontal="left" vertical="top" wrapText="1"/>
      <protection locked="0"/>
    </xf>
    <xf numFmtId="0" fontId="10" fillId="4" borderId="25" xfId="8" applyFont="1" applyFill="1" applyBorder="1" applyAlignment="1" applyProtection="1">
      <alignment horizontal="left" vertical="top" wrapText="1"/>
      <protection locked="0"/>
    </xf>
    <xf numFmtId="0" fontId="10" fillId="4" borderId="2" xfId="8" applyFont="1" applyFill="1" applyBorder="1" applyAlignment="1" applyProtection="1">
      <alignment horizontal="left" vertical="top" wrapText="1"/>
      <protection locked="0"/>
    </xf>
    <xf numFmtId="0" fontId="10" fillId="4" borderId="11" xfId="8" applyFont="1" applyFill="1" applyBorder="1" applyAlignment="1" applyProtection="1">
      <alignment horizontal="left" vertical="top" wrapText="1"/>
      <protection locked="0"/>
    </xf>
    <xf numFmtId="0" fontId="20" fillId="2" borderId="0" xfId="8" applyFont="1" applyFill="1" applyAlignment="1" applyProtection="1">
      <alignment horizontal="left" vertical="center" wrapText="1"/>
    </xf>
    <xf numFmtId="0" fontId="20" fillId="7" borderId="0" xfId="8" applyFont="1" applyFill="1" applyAlignment="1" applyProtection="1">
      <alignment horizontal="center" vertical="center"/>
    </xf>
    <xf numFmtId="0" fontId="46" fillId="2" borderId="0" xfId="8" applyFont="1" applyFill="1" applyAlignment="1" applyProtection="1">
      <alignment horizontal="right" vertical="center"/>
    </xf>
    <xf numFmtId="0" fontId="46" fillId="2" borderId="0" xfId="8" applyFont="1" applyFill="1" applyBorder="1" applyAlignment="1" applyProtection="1">
      <alignment horizontal="right" vertical="center"/>
    </xf>
    <xf numFmtId="0" fontId="10" fillId="7" borderId="0" xfId="8" applyFont="1" applyFill="1" applyAlignment="1" applyProtection="1">
      <alignment horizontal="center" vertical="center"/>
    </xf>
    <xf numFmtId="0" fontId="19" fillId="4" borderId="5" xfId="8" applyFont="1" applyFill="1" applyBorder="1" applyAlignment="1" applyProtection="1">
      <alignment horizontal="left" vertical="top" wrapText="1"/>
      <protection locked="0"/>
    </xf>
    <xf numFmtId="0" fontId="19" fillId="4" borderId="8" xfId="8" applyFont="1" applyFill="1" applyBorder="1" applyAlignment="1" applyProtection="1">
      <alignment horizontal="left" vertical="top" wrapText="1"/>
      <protection locked="0"/>
    </xf>
    <xf numFmtId="0" fontId="19" fillId="4" borderId="10" xfId="8" applyFont="1" applyFill="1" applyBorder="1" applyAlignment="1" applyProtection="1">
      <alignment horizontal="left" vertical="top" wrapText="1"/>
      <protection locked="0"/>
    </xf>
    <xf numFmtId="0" fontId="10" fillId="4" borderId="5" xfId="8" applyFont="1" applyFill="1" applyBorder="1" applyAlignment="1" applyProtection="1">
      <alignment horizontal="left" vertical="top" wrapText="1"/>
      <protection locked="0"/>
    </xf>
    <xf numFmtId="0" fontId="19" fillId="0" borderId="5" xfId="8" applyFont="1" applyFill="1" applyBorder="1" applyAlignment="1" applyProtection="1">
      <alignment horizontal="left" vertical="top" wrapText="1"/>
    </xf>
    <xf numFmtId="0" fontId="19" fillId="0" borderId="8" xfId="8" applyFont="1" applyFill="1" applyBorder="1" applyAlignment="1" applyProtection="1">
      <alignment horizontal="left" vertical="top" wrapText="1"/>
    </xf>
    <xf numFmtId="0" fontId="19" fillId="0" borderId="10" xfId="8" applyFont="1" applyFill="1" applyBorder="1" applyAlignment="1" applyProtection="1">
      <alignment horizontal="left" vertical="top" wrapText="1"/>
    </xf>
    <xf numFmtId="0" fontId="19" fillId="7" borderId="5" xfId="8" applyFont="1" applyFill="1" applyBorder="1" applyAlignment="1" applyProtection="1">
      <alignment vertical="top" wrapText="1"/>
    </xf>
    <xf numFmtId="0" fontId="19" fillId="7" borderId="10" xfId="8" applyFont="1" applyFill="1" applyBorder="1" applyAlignment="1" applyProtection="1">
      <alignment vertical="top" wrapText="1"/>
    </xf>
    <xf numFmtId="0" fontId="10" fillId="4" borderId="5" xfId="8" applyFont="1" applyFill="1" applyBorder="1" applyAlignment="1" applyProtection="1">
      <alignment horizontal="center" vertical="top" wrapText="1"/>
      <protection locked="0"/>
    </xf>
    <xf numFmtId="0" fontId="19" fillId="4" borderId="10" xfId="8" applyFont="1" applyFill="1" applyBorder="1" applyAlignment="1" applyProtection="1">
      <alignment horizontal="center" vertical="top" wrapText="1"/>
      <protection locked="0"/>
    </xf>
    <xf numFmtId="0" fontId="10" fillId="4" borderId="7" xfId="8" applyFont="1" applyFill="1" applyBorder="1" applyAlignment="1" applyProtection="1">
      <alignment horizontal="center" vertical="top" wrapText="1"/>
      <protection locked="0"/>
    </xf>
    <xf numFmtId="0" fontId="19" fillId="4" borderId="9" xfId="8" applyFont="1" applyFill="1" applyBorder="1" applyAlignment="1" applyProtection="1">
      <alignment horizontal="center" vertical="top" wrapText="1"/>
      <protection locked="0"/>
    </xf>
    <xf numFmtId="0" fontId="19" fillId="4" borderId="11" xfId="8" applyFont="1" applyFill="1" applyBorder="1" applyAlignment="1" applyProtection="1">
      <alignment horizontal="center" vertical="top" wrapText="1"/>
      <protection locked="0"/>
    </xf>
    <xf numFmtId="0" fontId="10" fillId="4" borderId="1" xfId="8" applyFont="1" applyFill="1" applyBorder="1" applyAlignment="1" applyProtection="1">
      <alignment horizontal="left" vertical="top" wrapText="1"/>
      <protection locked="0"/>
    </xf>
    <xf numFmtId="0" fontId="19" fillId="4" borderId="1" xfId="8" applyFont="1" applyFill="1" applyBorder="1" applyAlignment="1" applyProtection="1">
      <alignment horizontal="left" vertical="top" wrapText="1"/>
      <protection locked="0"/>
    </xf>
    <xf numFmtId="0" fontId="10" fillId="4" borderId="1" xfId="8" applyFont="1" applyFill="1" applyBorder="1" applyAlignment="1" applyProtection="1">
      <alignment horizontal="center" vertical="top" wrapText="1"/>
      <protection locked="0"/>
    </xf>
    <xf numFmtId="0" fontId="19" fillId="4" borderId="1" xfId="8" applyFont="1" applyFill="1" applyBorder="1" applyAlignment="1" applyProtection="1">
      <alignment horizontal="center" vertical="top" wrapText="1"/>
      <protection locked="0"/>
    </xf>
    <xf numFmtId="0" fontId="7" fillId="2" borderId="5" xfId="8" applyFont="1" applyFill="1" applyBorder="1" applyAlignment="1" applyProtection="1">
      <alignment horizontal="left" vertical="top" wrapText="1"/>
    </xf>
    <xf numFmtId="0" fontId="7" fillId="2" borderId="8" xfId="8" applyFont="1" applyFill="1" applyBorder="1" applyAlignment="1" applyProtection="1">
      <alignment horizontal="left" vertical="top" wrapText="1"/>
    </xf>
    <xf numFmtId="0" fontId="7" fillId="2" borderId="10" xfId="8" applyFont="1" applyFill="1" applyBorder="1" applyAlignment="1" applyProtection="1">
      <alignment horizontal="left" vertical="top" wrapText="1"/>
    </xf>
    <xf numFmtId="0" fontId="19" fillId="7" borderId="8" xfId="8" applyFont="1" applyFill="1" applyBorder="1" applyAlignment="1" applyProtection="1">
      <alignment vertical="top" wrapText="1"/>
    </xf>
    <xf numFmtId="0" fontId="28" fillId="5" borderId="0" xfId="8" applyFont="1" applyFill="1" applyAlignment="1" applyProtection="1">
      <alignment horizontal="right" vertical="center"/>
    </xf>
    <xf numFmtId="0" fontId="19" fillId="7" borderId="5" xfId="8" applyFont="1" applyFill="1" applyBorder="1" applyAlignment="1" applyProtection="1">
      <alignment horizontal="left" vertical="top" wrapText="1"/>
    </xf>
    <xf numFmtId="0" fontId="19" fillId="7" borderId="8" xfId="8" applyFont="1" applyFill="1" applyBorder="1" applyAlignment="1" applyProtection="1">
      <alignment horizontal="left" vertical="top" wrapText="1"/>
    </xf>
    <xf numFmtId="0" fontId="19" fillId="7" borderId="10" xfId="8" applyFont="1" applyFill="1" applyBorder="1" applyAlignment="1" applyProtection="1">
      <alignment horizontal="left" vertical="top" wrapText="1"/>
    </xf>
    <xf numFmtId="0" fontId="16" fillId="5" borderId="0" xfId="8" applyFont="1" applyFill="1" applyAlignment="1" applyProtection="1">
      <alignment horizontal="left" vertical="center"/>
    </xf>
    <xf numFmtId="0" fontId="34" fillId="2" borderId="2" xfId="8" applyFont="1" applyFill="1" applyBorder="1" applyAlignment="1" applyProtection="1">
      <alignment horizontal="center" vertical="top"/>
    </xf>
    <xf numFmtId="0" fontId="19" fillId="4" borderId="8" xfId="8" applyFont="1" applyFill="1" applyBorder="1" applyAlignment="1" applyProtection="1">
      <alignment horizontal="center" vertical="top" wrapText="1"/>
      <protection locked="0"/>
    </xf>
    <xf numFmtId="0" fontId="10" fillId="4" borderId="8" xfId="8" applyFont="1" applyFill="1" applyBorder="1" applyAlignment="1" applyProtection="1">
      <alignment horizontal="center" vertical="top" wrapText="1"/>
      <protection locked="0"/>
    </xf>
    <xf numFmtId="0" fontId="10" fillId="4" borderId="10" xfId="8" applyFont="1" applyFill="1" applyBorder="1" applyAlignment="1" applyProtection="1">
      <alignment horizontal="center" vertical="top" wrapText="1"/>
      <protection locked="0"/>
    </xf>
    <xf numFmtId="0" fontId="16" fillId="5" borderId="0" xfId="8" applyFont="1" applyFill="1" applyAlignment="1" applyProtection="1">
      <alignment horizontal="left" vertical="top"/>
    </xf>
    <xf numFmtId="0" fontId="19" fillId="7" borderId="1" xfId="8" applyFont="1" applyFill="1" applyBorder="1" applyAlignment="1" applyProtection="1">
      <alignment vertical="top" wrapText="1"/>
    </xf>
    <xf numFmtId="0" fontId="29" fillId="5" borderId="0" xfId="8" applyFont="1" applyFill="1" applyAlignment="1" applyProtection="1">
      <alignment vertical="center"/>
    </xf>
    <xf numFmtId="0" fontId="19" fillId="7" borderId="12" xfId="8" applyFont="1" applyFill="1" applyBorder="1" applyAlignment="1" applyProtection="1">
      <alignment horizontal="left" vertical="top" wrapText="1"/>
    </xf>
    <xf numFmtId="0" fontId="19" fillId="7" borderId="13" xfId="8" applyFont="1" applyFill="1" applyBorder="1" applyAlignment="1" applyProtection="1">
      <alignment horizontal="left" vertical="top" wrapText="1"/>
    </xf>
    <xf numFmtId="0" fontId="19" fillId="7" borderId="25" xfId="8" applyFont="1" applyFill="1" applyBorder="1" applyAlignment="1" applyProtection="1">
      <alignment horizontal="left" vertical="top" wrapText="1"/>
    </xf>
    <xf numFmtId="0" fontId="19" fillId="4" borderId="48" xfId="8" applyFont="1" applyFill="1" applyBorder="1" applyAlignment="1" applyProtection="1">
      <alignment horizontal="left" vertical="top" wrapText="1"/>
      <protection locked="0"/>
    </xf>
    <xf numFmtId="0" fontId="7" fillId="6" borderId="27" xfId="8" applyFont="1" applyFill="1" applyBorder="1" applyAlignment="1" applyProtection="1">
      <alignment horizontal="left" vertical="center"/>
    </xf>
    <xf numFmtId="0" fontId="7" fillId="6" borderId="50" xfId="8" applyFont="1" applyFill="1" applyBorder="1" applyAlignment="1" applyProtection="1">
      <alignment horizontal="left" vertical="center"/>
    </xf>
    <xf numFmtId="0" fontId="7" fillId="6" borderId="28" xfId="8" applyFont="1" applyFill="1" applyBorder="1" applyAlignment="1" applyProtection="1">
      <alignment horizontal="left" vertical="center"/>
    </xf>
    <xf numFmtId="0" fontId="7" fillId="6" borderId="27" xfId="8" applyFont="1" applyFill="1" applyBorder="1" applyAlignment="1" applyProtection="1">
      <alignment horizontal="center" vertical="center"/>
    </xf>
    <xf numFmtId="0" fontId="7" fillId="6" borderId="50" xfId="8" applyFont="1" applyFill="1" applyBorder="1" applyAlignment="1" applyProtection="1">
      <alignment horizontal="center" vertical="center"/>
    </xf>
    <xf numFmtId="0" fontId="7" fillId="6" borderId="28" xfId="8" applyFont="1" applyFill="1" applyBorder="1" applyAlignment="1" applyProtection="1">
      <alignment horizontal="center" vertical="center"/>
    </xf>
    <xf numFmtId="0" fontId="15" fillId="2" borderId="0" xfId="8" applyFont="1" applyFill="1" applyAlignment="1" applyProtection="1">
      <alignment horizontal="center" vertical="center"/>
    </xf>
    <xf numFmtId="0" fontId="15" fillId="2" borderId="17" xfId="8" applyFont="1" applyFill="1" applyBorder="1" applyAlignment="1" applyProtection="1">
      <alignment horizontal="left" vertical="center"/>
    </xf>
    <xf numFmtId="0" fontId="15" fillId="2" borderId="18" xfId="8" applyFont="1" applyFill="1" applyBorder="1" applyAlignment="1" applyProtection="1">
      <alignment horizontal="left" vertical="center"/>
    </xf>
    <xf numFmtId="0" fontId="15" fillId="2" borderId="1" xfId="8" applyFont="1" applyFill="1" applyBorder="1" applyAlignment="1" applyProtection="1">
      <alignment horizontal="left" vertical="center"/>
    </xf>
    <xf numFmtId="0" fontId="15" fillId="2" borderId="20" xfId="8" applyFont="1" applyFill="1" applyBorder="1" applyAlignment="1" applyProtection="1">
      <alignment horizontal="left" vertical="center"/>
    </xf>
    <xf numFmtId="0" fontId="7" fillId="6" borderId="44" xfId="8" applyFont="1" applyFill="1" applyBorder="1" applyAlignment="1" applyProtection="1">
      <alignment horizontal="center" vertical="center"/>
    </xf>
    <xf numFmtId="0" fontId="7" fillId="6" borderId="47" xfId="8" applyFont="1" applyFill="1" applyBorder="1" applyAlignment="1" applyProtection="1">
      <alignment horizontal="center" vertical="center"/>
    </xf>
    <xf numFmtId="0" fontId="7" fillId="6" borderId="35" xfId="8" applyFont="1" applyFill="1" applyBorder="1" applyAlignment="1" applyProtection="1">
      <alignment horizontal="center" vertical="center"/>
    </xf>
    <xf numFmtId="0" fontId="15" fillId="2" borderId="18" xfId="8" applyFont="1" applyFill="1" applyBorder="1" applyAlignment="1" applyProtection="1">
      <alignment vertical="center"/>
    </xf>
    <xf numFmtId="0" fontId="15" fillId="2" borderId="20" xfId="8" applyFont="1" applyFill="1" applyBorder="1" applyAlignment="1" applyProtection="1">
      <alignment vertical="center"/>
    </xf>
    <xf numFmtId="0" fontId="15" fillId="2" borderId="51" xfId="8" applyFont="1" applyFill="1" applyBorder="1" applyAlignment="1" applyProtection="1">
      <alignment vertical="center"/>
    </xf>
    <xf numFmtId="0" fontId="15" fillId="2" borderId="42" xfId="8" applyFont="1" applyFill="1" applyBorder="1" applyAlignment="1" applyProtection="1">
      <alignment vertical="center"/>
    </xf>
    <xf numFmtId="0" fontId="15" fillId="2" borderId="22" xfId="8" applyFont="1" applyFill="1" applyBorder="1" applyAlignment="1" applyProtection="1">
      <alignment vertical="center"/>
    </xf>
    <xf numFmtId="0" fontId="15" fillId="2" borderId="40" xfId="8" applyFont="1" applyFill="1" applyBorder="1" applyAlignment="1" applyProtection="1">
      <alignment vertical="center"/>
    </xf>
    <xf numFmtId="0" fontId="15" fillId="2" borderId="37" xfId="8" applyFont="1" applyFill="1" applyBorder="1" applyAlignment="1" applyProtection="1">
      <alignment vertical="center"/>
    </xf>
    <xf numFmtId="0" fontId="15" fillId="2" borderId="38" xfId="8" applyFont="1" applyFill="1" applyBorder="1" applyAlignment="1" applyProtection="1">
      <alignment vertical="center"/>
    </xf>
    <xf numFmtId="0" fontId="15" fillId="2" borderId="30" xfId="8" applyFont="1" applyFill="1" applyBorder="1" applyAlignment="1" applyProtection="1">
      <alignment horizontal="center" vertical="center"/>
    </xf>
    <xf numFmtId="0" fontId="15" fillId="2" borderId="31" xfId="8" applyFont="1" applyFill="1" applyBorder="1" applyAlignment="1" applyProtection="1">
      <alignment horizontal="center" vertical="center"/>
    </xf>
    <xf numFmtId="0" fontId="15" fillId="2" borderId="29" xfId="8" applyFont="1" applyFill="1" applyBorder="1" applyAlignment="1" applyProtection="1">
      <alignment horizontal="center" vertical="center"/>
    </xf>
    <xf numFmtId="0" fontId="15" fillId="2" borderId="52" xfId="8" applyFont="1" applyFill="1" applyBorder="1" applyAlignment="1" applyProtection="1">
      <alignment horizontal="center" vertical="center"/>
    </xf>
    <xf numFmtId="0" fontId="15" fillId="2" borderId="23" xfId="8" applyFont="1" applyFill="1" applyBorder="1" applyAlignment="1" applyProtection="1">
      <alignment horizontal="left" vertical="center"/>
    </xf>
    <xf numFmtId="0" fontId="15" fillId="2" borderId="22" xfId="8" applyFont="1" applyFill="1" applyBorder="1" applyAlignment="1" applyProtection="1">
      <alignment horizontal="left" vertical="center"/>
    </xf>
    <xf numFmtId="0" fontId="0" fillId="2" borderId="27" xfId="8" applyFont="1" applyFill="1" applyBorder="1" applyAlignment="1" applyProtection="1">
      <alignment horizontal="center" vertical="center"/>
    </xf>
    <xf numFmtId="0" fontId="0" fillId="2" borderId="53" xfId="8" applyFont="1" applyFill="1" applyBorder="1" applyAlignment="1" applyProtection="1">
      <alignment horizontal="center" vertical="center"/>
    </xf>
  </cellXfs>
  <cellStyles count="13">
    <cellStyle name="Calculated" xfId="1"/>
    <cellStyle name="Heading1" xfId="2"/>
    <cellStyle name="Heading2" xfId="3"/>
    <cellStyle name="Hyperlink" xfId="4" builtinId="8"/>
    <cellStyle name="Input" xfId="5" builtinId="20" customBuiltin="1"/>
    <cellStyle name="Input2" xfId="6"/>
    <cellStyle name="Label" xfId="7"/>
    <cellStyle name="Normal" xfId="0" builtinId="0"/>
    <cellStyle name="Normal_Software_risk_template" xfId="8"/>
    <cellStyle name="Percent" xfId="9" builtinId="5"/>
    <cellStyle name="SectionHeader" xfId="10"/>
    <cellStyle name="SubTitle" xfId="11"/>
    <cellStyle name="Title" xfId="12" builtinId="15" customBuiltin="1"/>
  </cellStyles>
  <dxfs count="68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C0C0C0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99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463936986470313E-2"/>
          <c:y val="1.5243925132081764E-2"/>
          <c:w val="0.97422803014762971"/>
          <c:h val="0.9725624234268165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Overview!$F$48</c:f>
              <c:numCache>
                <c:formatCode>0.0%</c:formatCode>
                <c:ptCount val="1"/>
                <c:pt idx="0">
                  <c:v>0.61121933621933622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26808"/>
        <c:axId val="367527200"/>
      </c:lineChart>
      <c:catAx>
        <c:axId val="367526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367527200"/>
        <c:crosses val="autoZero"/>
        <c:auto val="1"/>
        <c:lblAlgn val="ctr"/>
        <c:lblOffset val="100"/>
        <c:tickMarkSkip val="1"/>
        <c:noMultiLvlLbl val="0"/>
      </c:catAx>
      <c:valAx>
        <c:axId val="367527200"/>
        <c:scaling>
          <c:orientation val="minMax"/>
          <c:max val="1"/>
          <c:min val="0"/>
        </c:scaling>
        <c:delete val="0"/>
        <c:axPos val="l"/>
        <c:numFmt formatCode="0.0%" sourceLinked="1"/>
        <c:majorTickMark val="cross"/>
        <c:minorTickMark val="cross"/>
        <c:tickLblPos val="none"/>
        <c:spPr>
          <a:ln w="9525">
            <a:noFill/>
          </a:ln>
        </c:spPr>
        <c:crossAx val="367526808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22</xdr:row>
      <xdr:rowOff>104775</xdr:rowOff>
    </xdr:from>
    <xdr:to>
      <xdr:col>7</xdr:col>
      <xdr:colOff>171450</xdr:colOff>
      <xdr:row>43</xdr:row>
      <xdr:rowOff>28575</xdr:rowOff>
    </xdr:to>
    <xdr:graphicFrame macro="">
      <xdr:nvGraphicFramePr>
        <xdr:cNvPr id="28587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</xdr:row>
      <xdr:rowOff>76200</xdr:rowOff>
    </xdr:from>
    <xdr:to>
      <xdr:col>9</xdr:col>
      <xdr:colOff>19050</xdr:colOff>
      <xdr:row>19</xdr:row>
      <xdr:rowOff>95250</xdr:rowOff>
    </xdr:to>
    <xdr:sp macro="" textlink="">
      <xdr:nvSpPr>
        <xdr:cNvPr id="28588" name="Rectangle 1028"/>
        <xdr:cNvSpPr>
          <a:spLocks noChangeArrowheads="1"/>
        </xdr:cNvSpPr>
      </xdr:nvSpPr>
      <xdr:spPr bwMode="auto">
        <a:xfrm>
          <a:off x="295275" y="638175"/>
          <a:ext cx="5476875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238125</xdr:colOff>
      <xdr:row>2</xdr:row>
      <xdr:rowOff>123825</xdr:rowOff>
    </xdr:from>
    <xdr:to>
      <xdr:col>4</xdr:col>
      <xdr:colOff>304800</xdr:colOff>
      <xdr:row>4</xdr:row>
      <xdr:rowOff>9525</xdr:rowOff>
    </xdr:to>
    <xdr:sp macro="" textlink="">
      <xdr:nvSpPr>
        <xdr:cNvPr id="27653" name="AutoShape 1029"/>
        <xdr:cNvSpPr>
          <a:spLocks noChangeArrowheads="1"/>
        </xdr:cNvSpPr>
      </xdr:nvSpPr>
      <xdr:spPr bwMode="auto">
        <a:xfrm>
          <a:off x="600075" y="523875"/>
          <a:ext cx="962025" cy="209550"/>
        </a:xfrm>
        <a:prstGeom prst="flowChartAlternateProcess">
          <a:avLst/>
        </a:prstGeom>
        <a:solidFill>
          <a:srgbClr val="EAEAEA"/>
        </a:solidFill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Project</a:t>
          </a:r>
        </a:p>
      </xdr:txBody>
    </xdr:sp>
    <xdr:clientData/>
  </xdr:twoCellAnchor>
  <xdr:twoCellAnchor>
    <xdr:from>
      <xdr:col>1</xdr:col>
      <xdr:colOff>133350</xdr:colOff>
      <xdr:row>21</xdr:row>
      <xdr:rowOff>57150</xdr:rowOff>
    </xdr:from>
    <xdr:to>
      <xdr:col>9</xdr:col>
      <xdr:colOff>19050</xdr:colOff>
      <xdr:row>59</xdr:row>
      <xdr:rowOff>142875</xdr:rowOff>
    </xdr:to>
    <xdr:sp macro="" textlink="">
      <xdr:nvSpPr>
        <xdr:cNvPr id="28590" name="AutoShape 1091"/>
        <xdr:cNvSpPr>
          <a:spLocks noChangeArrowheads="1"/>
        </xdr:cNvSpPr>
      </xdr:nvSpPr>
      <xdr:spPr bwMode="auto">
        <a:xfrm>
          <a:off x="314325" y="3343275"/>
          <a:ext cx="5457825" cy="6562725"/>
        </a:xfrm>
        <a:prstGeom prst="flowChart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20</xdr:row>
      <xdr:rowOff>123825</xdr:rowOff>
    </xdr:from>
    <xdr:to>
      <xdr:col>5</xdr:col>
      <xdr:colOff>0</xdr:colOff>
      <xdr:row>22</xdr:row>
      <xdr:rowOff>28575</xdr:rowOff>
    </xdr:to>
    <xdr:sp macro="" textlink="">
      <xdr:nvSpPr>
        <xdr:cNvPr id="27651" name="AutoShape 1027"/>
        <xdr:cNvSpPr>
          <a:spLocks noChangeArrowheads="1"/>
        </xdr:cNvSpPr>
      </xdr:nvSpPr>
      <xdr:spPr bwMode="auto">
        <a:xfrm>
          <a:off x="590550" y="3543300"/>
          <a:ext cx="1800225" cy="209550"/>
        </a:xfrm>
        <a:prstGeom prst="flowChartAlternateProcess">
          <a:avLst/>
        </a:prstGeom>
        <a:solidFill>
          <a:srgbClr val="EAEAEA"/>
        </a:solidFill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Overall Risks view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65</xdr:row>
          <xdr:rowOff>152400</xdr:rowOff>
        </xdr:from>
        <xdr:to>
          <xdr:col>4</xdr:col>
          <xdr:colOff>981075</xdr:colOff>
          <xdr:row>68</xdr:row>
          <xdr:rowOff>19050</xdr:rowOff>
        </xdr:to>
        <xdr:sp macro="" textlink="">
          <xdr:nvSpPr>
            <xdr:cNvPr id="28225" name="Button 1601" hidden="1">
              <a:extLst>
                <a:ext uri="{63B3BB69-23CF-44E3-9099-C40C66FF867C}">
                  <a14:compatExt spid="_x0000_s28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Scrum pre-requisites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142875</xdr:colOff>
      <xdr:row>62</xdr:row>
      <xdr:rowOff>9525</xdr:rowOff>
    </xdr:from>
    <xdr:to>
      <xdr:col>9</xdr:col>
      <xdr:colOff>28575</xdr:colOff>
      <xdr:row>71</xdr:row>
      <xdr:rowOff>95250</xdr:rowOff>
    </xdr:to>
    <xdr:sp macro="" textlink="">
      <xdr:nvSpPr>
        <xdr:cNvPr id="28592" name="AutoShape 1091"/>
        <xdr:cNvSpPr>
          <a:spLocks noChangeArrowheads="1"/>
        </xdr:cNvSpPr>
      </xdr:nvSpPr>
      <xdr:spPr bwMode="auto">
        <a:xfrm>
          <a:off x="323850" y="10258425"/>
          <a:ext cx="5457825" cy="1571625"/>
        </a:xfrm>
        <a:prstGeom prst="flowChart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238125</xdr:colOff>
      <xdr:row>61</xdr:row>
      <xdr:rowOff>85725</xdr:rowOff>
    </xdr:from>
    <xdr:to>
      <xdr:col>5</xdr:col>
      <xdr:colOff>9525</xdr:colOff>
      <xdr:row>62</xdr:row>
      <xdr:rowOff>133350</xdr:rowOff>
    </xdr:to>
    <xdr:sp macro="" textlink="">
      <xdr:nvSpPr>
        <xdr:cNvPr id="9" name="AutoShape 1027"/>
        <xdr:cNvSpPr>
          <a:spLocks noChangeArrowheads="1"/>
        </xdr:cNvSpPr>
      </xdr:nvSpPr>
      <xdr:spPr bwMode="auto">
        <a:xfrm>
          <a:off x="600075" y="10172700"/>
          <a:ext cx="1800225" cy="209550"/>
        </a:xfrm>
        <a:prstGeom prst="flowChartAlternateProcess">
          <a:avLst/>
        </a:prstGeom>
        <a:solidFill>
          <a:srgbClr val="EAEAEA"/>
        </a:solidFill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Scrum</a:t>
          </a:r>
        </a:p>
      </xdr:txBody>
    </xdr:sp>
    <xdr:clientData/>
  </xdr:twoCellAnchor>
  <xdr:twoCellAnchor editAs="oneCell">
    <xdr:from>
      <xdr:col>13</xdr:col>
      <xdr:colOff>266700</xdr:colOff>
      <xdr:row>62</xdr:row>
      <xdr:rowOff>47625</xdr:rowOff>
    </xdr:from>
    <xdr:to>
      <xdr:col>13</xdr:col>
      <xdr:colOff>1057275</xdr:colOff>
      <xdr:row>66</xdr:row>
      <xdr:rowOff>152400</xdr:rowOff>
    </xdr:to>
    <xdr:pic>
      <xdr:nvPicPr>
        <xdr:cNvPr id="28594" name="Picture 11" descr="C:\Users\mgjolivalt\AppData\Local\Microsoft\Windows\Temporary Internet Files\Content.IE5\HB6MSJ1G\MC900442129[1]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0296525"/>
          <a:ext cx="7905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msnet.ep.parl.union.eu/ispnet/cms/Accueil/preconisations/P_Methodologie/scrum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S71"/>
  <sheetViews>
    <sheetView workbookViewId="0">
      <selection activeCell="N50" sqref="N50"/>
    </sheetView>
  </sheetViews>
  <sheetFormatPr defaultRowHeight="12.75"/>
  <cols>
    <col min="1" max="2" width="3.1640625" style="73" customWidth="1"/>
    <col min="3" max="3" width="5.83203125" style="73" customWidth="1"/>
    <col min="4" max="4" width="9.83203125" style="73" customWidth="1"/>
    <col min="5" max="5" width="19.83203125" style="73" customWidth="1"/>
    <col min="6" max="7" width="19.83203125" style="77" customWidth="1"/>
    <col min="8" max="8" width="16" style="73" customWidth="1"/>
    <col min="9" max="10" width="3.1640625" style="86" customWidth="1"/>
    <col min="11" max="11" width="19.83203125" style="86" hidden="1" customWidth="1"/>
    <col min="12" max="13" width="19.83203125" style="87" hidden="1" customWidth="1"/>
    <col min="14" max="16" width="19.83203125" style="73" customWidth="1"/>
    <col min="17" max="17" width="20.33203125" style="73" customWidth="1"/>
    <col min="18" max="18" width="19" style="73" hidden="1" customWidth="1"/>
    <col min="19" max="19" width="14.6640625" style="73" customWidth="1"/>
    <col min="20" max="20" width="21.33203125" style="73" customWidth="1"/>
    <col min="21" max="16384" width="9.33203125" style="73"/>
  </cols>
  <sheetData>
    <row r="1" spans="2:18" ht="15.75" customHeight="1">
      <c r="B1" s="80"/>
      <c r="C1" s="72" t="s">
        <v>114</v>
      </c>
      <c r="D1" s="72"/>
      <c r="E1" s="72"/>
      <c r="F1" s="72"/>
      <c r="G1" s="80"/>
      <c r="H1" s="80"/>
      <c r="I1" s="81"/>
      <c r="J1" s="72"/>
      <c r="K1" s="82"/>
      <c r="L1" s="83"/>
      <c r="M1" s="83"/>
      <c r="N1" s="84"/>
      <c r="O1" s="84"/>
      <c r="P1" s="84"/>
      <c r="R1" s="73" t="s">
        <v>119</v>
      </c>
    </row>
    <row r="2" spans="2:18" ht="15.75" customHeight="1">
      <c r="B2" s="80"/>
      <c r="C2" s="331" t="s">
        <v>235</v>
      </c>
      <c r="D2" s="72"/>
      <c r="E2" s="72"/>
      <c r="F2" s="72"/>
      <c r="G2" s="85" t="s">
        <v>116</v>
      </c>
      <c r="H2" s="199">
        <v>41627.464247685188</v>
      </c>
      <c r="I2" s="81"/>
      <c r="J2" s="72"/>
      <c r="K2" s="82"/>
      <c r="N2" s="87"/>
      <c r="O2" s="87"/>
      <c r="P2" s="84"/>
      <c r="R2" s="73" t="s">
        <v>120</v>
      </c>
    </row>
    <row r="3" spans="2:18">
      <c r="R3" s="73" t="s">
        <v>121</v>
      </c>
    </row>
    <row r="4" spans="2:18">
      <c r="R4" s="73" t="s">
        <v>122</v>
      </c>
    </row>
    <row r="5" spans="2:18">
      <c r="R5" s="73" t="s">
        <v>123</v>
      </c>
    </row>
    <row r="6" spans="2:18" ht="15" customHeight="1">
      <c r="C6" s="349" t="s">
        <v>105</v>
      </c>
      <c r="D6" s="349"/>
      <c r="E6" s="350"/>
      <c r="F6" s="351"/>
      <c r="G6" s="73"/>
      <c r="H6" s="74"/>
      <c r="L6" s="100"/>
      <c r="M6" s="100"/>
      <c r="N6" s="78"/>
      <c r="O6" s="78"/>
      <c r="P6" s="78"/>
      <c r="Q6" s="78"/>
    </row>
    <row r="7" spans="2:18" ht="9.75" customHeight="1">
      <c r="C7" s="75"/>
      <c r="D7" s="74"/>
      <c r="E7" s="74"/>
      <c r="F7" s="74"/>
      <c r="G7" s="74"/>
      <c r="H7" s="74"/>
      <c r="L7" s="100"/>
      <c r="M7" s="100"/>
      <c r="N7" s="78"/>
      <c r="O7" s="78"/>
      <c r="P7" s="78"/>
      <c r="Q7" s="78"/>
    </row>
    <row r="8" spans="2:18" ht="15" customHeight="1">
      <c r="C8" s="352" t="s">
        <v>106</v>
      </c>
      <c r="D8" s="352"/>
      <c r="E8" s="350" t="s">
        <v>237</v>
      </c>
      <c r="F8" s="353"/>
      <c r="G8" s="353"/>
      <c r="H8" s="351"/>
      <c r="L8" s="100"/>
      <c r="M8" s="100"/>
      <c r="N8" s="120"/>
      <c r="O8" s="78"/>
      <c r="P8" s="78"/>
      <c r="Q8" s="78"/>
    </row>
    <row r="9" spans="2:18" ht="9.75" customHeight="1">
      <c r="L9" s="100"/>
      <c r="M9" s="100"/>
      <c r="N9" s="119" t="s">
        <v>117</v>
      </c>
      <c r="O9" s="359"/>
      <c r="P9" s="360"/>
      <c r="Q9" s="361"/>
    </row>
    <row r="10" spans="2:18" ht="15" customHeight="1">
      <c r="C10" s="349" t="s">
        <v>0</v>
      </c>
      <c r="D10" s="349"/>
      <c r="E10" s="359" t="s">
        <v>238</v>
      </c>
      <c r="F10" s="360"/>
      <c r="G10" s="360"/>
      <c r="H10" s="361"/>
      <c r="N10" s="87"/>
      <c r="O10" s="362"/>
      <c r="P10" s="363"/>
      <c r="Q10" s="364"/>
    </row>
    <row r="11" spans="2:18" ht="15" customHeight="1">
      <c r="D11" s="88"/>
      <c r="E11" s="362"/>
      <c r="F11" s="363"/>
      <c r="G11" s="363"/>
      <c r="H11" s="364"/>
      <c r="N11" s="87"/>
      <c r="O11" s="362"/>
      <c r="P11" s="363"/>
      <c r="Q11" s="364"/>
    </row>
    <row r="12" spans="2:18" ht="15" customHeight="1">
      <c r="D12" s="88"/>
      <c r="E12" s="362"/>
      <c r="F12" s="363"/>
      <c r="G12" s="363"/>
      <c r="H12" s="364"/>
      <c r="N12" s="87"/>
      <c r="O12" s="362"/>
      <c r="P12" s="363"/>
      <c r="Q12" s="364"/>
    </row>
    <row r="13" spans="2:18" ht="15" customHeight="1">
      <c r="E13" s="362"/>
      <c r="F13" s="363"/>
      <c r="G13" s="363"/>
      <c r="H13" s="364"/>
      <c r="N13" s="87"/>
      <c r="O13" s="362"/>
      <c r="P13" s="363"/>
      <c r="Q13" s="364"/>
    </row>
    <row r="14" spans="2:18" ht="15" customHeight="1">
      <c r="E14" s="362"/>
      <c r="F14" s="363"/>
      <c r="G14" s="363"/>
      <c r="H14" s="364"/>
      <c r="N14" s="87"/>
      <c r="O14" s="365"/>
      <c r="P14" s="366"/>
      <c r="Q14" s="367"/>
    </row>
    <row r="15" spans="2:18" ht="15" customHeight="1">
      <c r="E15" s="365"/>
      <c r="F15" s="366"/>
      <c r="G15" s="366"/>
      <c r="H15" s="367"/>
      <c r="P15" s="88"/>
      <c r="Q15" s="78"/>
    </row>
    <row r="16" spans="2:18" ht="9.75" hidden="1" customHeight="1">
      <c r="E16" s="121"/>
      <c r="F16" s="121"/>
      <c r="G16" s="121"/>
      <c r="H16" s="121"/>
      <c r="L16" s="121"/>
      <c r="M16" s="121"/>
      <c r="N16" s="121"/>
      <c r="O16" s="121"/>
      <c r="P16" s="88"/>
      <c r="Q16" s="78"/>
    </row>
    <row r="17" spans="3:17" s="228" customFormat="1" ht="12.75" hidden="1" customHeight="1">
      <c r="C17" s="370" t="s">
        <v>131</v>
      </c>
      <c r="D17" s="371"/>
      <c r="E17" s="232" t="s">
        <v>140</v>
      </c>
      <c r="F17" s="227"/>
      <c r="H17" s="229"/>
      <c r="I17" s="230"/>
      <c r="J17" s="230"/>
      <c r="K17" s="86"/>
      <c r="L17" s="229"/>
      <c r="M17" s="229"/>
      <c r="N17" s="229"/>
      <c r="O17" s="229"/>
      <c r="P17" s="231"/>
      <c r="Q17" s="232"/>
    </row>
    <row r="18" spans="3:17" ht="9.75" customHeight="1">
      <c r="E18" s="121"/>
      <c r="F18" s="121"/>
      <c r="G18" s="121"/>
      <c r="H18" s="121"/>
      <c r="L18" s="121"/>
      <c r="M18" s="121"/>
      <c r="N18" s="121"/>
      <c r="O18" s="121"/>
      <c r="P18" s="88"/>
      <c r="Q18" s="78"/>
    </row>
    <row r="19" spans="3:17" ht="15" customHeight="1">
      <c r="C19" s="349" t="s">
        <v>118</v>
      </c>
      <c r="D19" s="349"/>
      <c r="E19" s="350" t="s">
        <v>121</v>
      </c>
      <c r="F19" s="351"/>
      <c r="G19" s="192" t="str">
        <f>IF(E19="","&lt;= Do not forget to complete this cell","")</f>
        <v/>
      </c>
      <c r="H19" s="121"/>
      <c r="L19" s="121"/>
      <c r="M19" s="121"/>
      <c r="N19" s="121"/>
      <c r="O19" s="121"/>
      <c r="P19" s="88"/>
      <c r="Q19" s="78"/>
    </row>
    <row r="20" spans="3:17">
      <c r="L20" s="100"/>
      <c r="M20" s="100"/>
      <c r="N20" s="78"/>
      <c r="O20" s="78"/>
      <c r="P20" s="78"/>
      <c r="Q20" s="78"/>
    </row>
    <row r="21" spans="3:17" ht="12" customHeight="1">
      <c r="C21" s="76"/>
      <c r="E21" s="89"/>
      <c r="F21" s="89"/>
      <c r="G21" s="89"/>
      <c r="H21" s="89"/>
      <c r="L21" s="100"/>
      <c r="M21" s="100"/>
      <c r="N21" s="78"/>
      <c r="O21" s="78"/>
      <c r="P21" s="78"/>
      <c r="Q21" s="78"/>
    </row>
    <row r="22" spans="3:17" ht="12" customHeight="1">
      <c r="C22" s="79"/>
      <c r="E22" s="89"/>
      <c r="F22" s="89"/>
      <c r="G22" s="89"/>
      <c r="H22" s="89"/>
      <c r="L22" s="83"/>
      <c r="M22" s="83"/>
    </row>
    <row r="23" spans="3:17" ht="12" customHeight="1">
      <c r="C23" s="76"/>
      <c r="E23" s="89"/>
      <c r="F23" s="89"/>
      <c r="G23" s="89"/>
      <c r="H23" s="89"/>
    </row>
    <row r="24" spans="3:17" ht="12" customHeight="1">
      <c r="C24" s="76"/>
      <c r="E24" s="354" t="s">
        <v>175</v>
      </c>
      <c r="F24" s="189"/>
      <c r="G24" s="354" t="s">
        <v>158</v>
      </c>
      <c r="H24" s="191"/>
    </row>
    <row r="25" spans="3:17" ht="12" customHeight="1">
      <c r="C25" s="76"/>
      <c r="E25" s="354"/>
      <c r="F25" s="189"/>
      <c r="G25" s="354"/>
      <c r="H25" s="89"/>
    </row>
    <row r="26" spans="3:17" ht="12" customHeight="1">
      <c r="C26" s="76"/>
      <c r="E26" s="354"/>
      <c r="F26" s="189"/>
      <c r="G26" s="354"/>
      <c r="H26" s="89"/>
    </row>
    <row r="27" spans="3:17" ht="12" customHeight="1">
      <c r="C27" s="76"/>
      <c r="E27" s="354"/>
      <c r="F27" s="189"/>
      <c r="G27" s="354"/>
      <c r="H27" s="89"/>
    </row>
    <row r="28" spans="3:17" ht="12" customHeight="1">
      <c r="C28" s="76"/>
      <c r="E28" s="354"/>
      <c r="F28" s="189"/>
      <c r="G28" s="354"/>
      <c r="H28" s="89"/>
    </row>
    <row r="29" spans="3:17" ht="12" customHeight="1">
      <c r="C29" s="76"/>
      <c r="E29" s="354"/>
      <c r="F29" s="189"/>
      <c r="G29" s="354"/>
      <c r="H29" s="89"/>
    </row>
    <row r="30" spans="3:17" ht="12" customHeight="1">
      <c r="C30" s="76"/>
      <c r="E30" s="354"/>
      <c r="F30" s="202"/>
      <c r="G30" s="354"/>
      <c r="H30" s="89"/>
    </row>
    <row r="31" spans="3:17" ht="12" customHeight="1">
      <c r="C31" s="76"/>
      <c r="E31" s="354" t="s">
        <v>174</v>
      </c>
      <c r="F31" s="188"/>
      <c r="G31" s="354" t="s">
        <v>157</v>
      </c>
      <c r="H31" s="89"/>
    </row>
    <row r="32" spans="3:17" ht="12" customHeight="1">
      <c r="C32" s="76"/>
      <c r="E32" s="354"/>
      <c r="F32" s="188"/>
      <c r="G32" s="354"/>
      <c r="H32" s="89"/>
    </row>
    <row r="33" spans="3:19" ht="12" customHeight="1">
      <c r="C33" s="76"/>
      <c r="E33" s="354"/>
      <c r="F33" s="188"/>
      <c r="G33" s="354"/>
      <c r="H33" s="89"/>
    </row>
    <row r="34" spans="3:19" ht="12" customHeight="1">
      <c r="C34" s="76"/>
      <c r="E34" s="354"/>
      <c r="F34" s="188"/>
      <c r="G34" s="354"/>
      <c r="H34" s="90"/>
    </row>
    <row r="35" spans="3:19" ht="12" customHeight="1">
      <c r="C35" s="76"/>
      <c r="E35" s="354"/>
      <c r="F35" s="188"/>
      <c r="G35" s="354"/>
      <c r="H35" s="89"/>
    </row>
    <row r="36" spans="3:19" ht="12" customHeight="1">
      <c r="C36" s="76"/>
      <c r="E36" s="354"/>
      <c r="F36" s="188"/>
      <c r="G36" s="354"/>
      <c r="H36" s="89"/>
    </row>
    <row r="37" spans="3:19" ht="12" customHeight="1">
      <c r="C37" s="76"/>
      <c r="E37" s="354"/>
      <c r="F37" s="201"/>
      <c r="G37" s="354"/>
      <c r="H37" s="89"/>
    </row>
    <row r="38" spans="3:19" ht="12" customHeight="1">
      <c r="C38" s="76"/>
      <c r="E38" s="354"/>
      <c r="F38" s="201"/>
      <c r="G38" s="354"/>
      <c r="H38" s="89"/>
    </row>
    <row r="39" spans="3:19" ht="12" customHeight="1">
      <c r="C39" s="76"/>
      <c r="E39" s="354" t="s">
        <v>165</v>
      </c>
      <c r="F39" s="190"/>
      <c r="G39" s="354" t="s">
        <v>156</v>
      </c>
      <c r="H39" s="89"/>
    </row>
    <row r="40" spans="3:19" ht="12" customHeight="1">
      <c r="C40" s="76"/>
      <c r="E40" s="354"/>
      <c r="F40" s="190"/>
      <c r="G40" s="354"/>
      <c r="H40" s="89"/>
    </row>
    <row r="41" spans="3:19" ht="12" customHeight="1">
      <c r="C41" s="76"/>
      <c r="E41" s="354"/>
      <c r="F41" s="190"/>
      <c r="G41" s="354"/>
      <c r="H41" s="89"/>
    </row>
    <row r="42" spans="3:19" ht="12" customHeight="1">
      <c r="C42" s="76"/>
      <c r="E42" s="354"/>
      <c r="F42" s="190"/>
      <c r="G42" s="354"/>
      <c r="H42" s="89"/>
    </row>
    <row r="43" spans="3:19" ht="12" customHeight="1">
      <c r="C43" s="76"/>
      <c r="E43" s="354"/>
      <c r="F43" s="190"/>
      <c r="G43" s="354"/>
      <c r="H43" s="91"/>
    </row>
    <row r="44" spans="3:19" ht="12" customHeight="1">
      <c r="C44" s="76"/>
      <c r="E44" s="89"/>
      <c r="F44" s="89"/>
      <c r="G44" s="89"/>
      <c r="H44" s="89"/>
    </row>
    <row r="45" spans="3:19" ht="12" customHeight="1">
      <c r="C45" s="76"/>
      <c r="E45" s="92"/>
      <c r="F45" s="93"/>
      <c r="G45" s="89"/>
      <c r="H45" s="89"/>
      <c r="L45" s="73"/>
      <c r="M45" s="73"/>
    </row>
    <row r="46" spans="3:19" ht="12" customHeight="1">
      <c r="C46" s="76"/>
      <c r="D46" s="369" t="str">
        <f>"The Project's lifecycle is: " &amp; K46</f>
        <v>The Project's lifecycle is: Medium Risks</v>
      </c>
      <c r="E46" s="369"/>
      <c r="F46" s="369"/>
      <c r="G46" s="369"/>
      <c r="H46" s="369"/>
      <c r="K46" s="86" t="str">
        <f>IF(OR(F48=0,F48=""),"Not yet defined",IF(F48&gt;0.65,"High Risks",IF(F48&gt;0.25,"Medium Risks","Low Risks")))</f>
        <v>Medium Risks</v>
      </c>
      <c r="L46" s="86"/>
      <c r="M46" s="73"/>
      <c r="N46" s="368" t="str">
        <f>IF(OR('1. Size'!J12='1. Size'!D14,'1. Size'!J12='1. Size'!D15),"&lt;= Your project is: " &amp;'1. Size'!J12 &amp;", feel free to use the lifecycle calculated by the IRA or the Low Risks lifecycle (if it is different)","")</f>
        <v/>
      </c>
      <c r="O46" s="368"/>
      <c r="P46" s="368"/>
      <c r="Q46" s="368"/>
    </row>
    <row r="47" spans="3:19" ht="12" customHeight="1" thickBot="1">
      <c r="C47" s="76"/>
      <c r="D47" s="372"/>
      <c r="E47" s="372"/>
      <c r="F47" s="372"/>
      <c r="G47" s="372"/>
      <c r="H47" s="372"/>
      <c r="L47" s="86"/>
      <c r="M47" s="73"/>
      <c r="N47" s="368"/>
      <c r="O47" s="368"/>
      <c r="P47" s="368"/>
      <c r="Q47" s="368"/>
    </row>
    <row r="48" spans="3:19" ht="33" customHeight="1" thickBot="1">
      <c r="D48" s="357" t="s">
        <v>115</v>
      </c>
      <c r="E48" s="358"/>
      <c r="F48" s="187">
        <f>K48</f>
        <v>0.61121933621933622</v>
      </c>
      <c r="G48" s="94"/>
      <c r="H48" s="233" t="s">
        <v>176</v>
      </c>
      <c r="K48" s="289">
        <f>AVERAGE(H49,H53,H57)</f>
        <v>0.61121933621933622</v>
      </c>
      <c r="L48" s="137" t="s">
        <v>132</v>
      </c>
      <c r="M48" s="137" t="s">
        <v>133</v>
      </c>
      <c r="N48" s="150"/>
      <c r="O48" s="186"/>
      <c r="P48" s="277"/>
      <c r="Q48" s="78"/>
      <c r="R48" s="78"/>
      <c r="S48" s="95"/>
    </row>
    <row r="49" spans="4:19" ht="15" customHeight="1" thickBot="1">
      <c r="D49" s="342" t="str">
        <f>'1. Size'!A1</f>
        <v>1. Size</v>
      </c>
      <c r="E49" s="343"/>
      <c r="F49" s="343"/>
      <c r="G49" s="343"/>
      <c r="H49" s="185">
        <f>IF(ISERROR(AVERAGE(K50:K52)),,AVERAGE(K50:K52))</f>
        <v>0.52380952380952384</v>
      </c>
      <c r="K49" s="290"/>
      <c r="L49" s="130" t="s">
        <v>134</v>
      </c>
      <c r="M49" s="130"/>
      <c r="P49" s="297"/>
      <c r="Q49" s="278"/>
      <c r="R49" s="127"/>
      <c r="S49" s="127"/>
    </row>
    <row r="50" spans="4:19" ht="15" customHeight="1">
      <c r="D50" s="184" t="str">
        <f>'1. Size'!A3</f>
        <v>1.A</v>
      </c>
      <c r="E50" s="344" t="str">
        <f>'1. Size'!B3</f>
        <v>Project Estimation</v>
      </c>
      <c r="F50" s="344"/>
      <c r="G50" s="345"/>
      <c r="H50" s="193"/>
      <c r="J50" s="97"/>
      <c r="K50" s="276">
        <f>IF(ISERROR('1. Size'!E3),,'1. Size'!E3)</f>
        <v>1</v>
      </c>
      <c r="L50" s="132" t="s">
        <v>134</v>
      </c>
      <c r="M50" s="132"/>
      <c r="N50" s="288" t="str">
        <f>IF(K50="","",IF(K50&gt;0.25,"=&gt;To be tracked in the 'Dashboard'",""))</f>
        <v>=&gt;To be tracked in the 'Dashboard'</v>
      </c>
      <c r="P50" s="298" t="str">
        <f>IF(DB!E24="No","All cells in the '1. size' tab are not completed","")</f>
        <v/>
      </c>
      <c r="Q50" s="78"/>
      <c r="R50" s="78"/>
      <c r="S50" s="98"/>
    </row>
    <row r="51" spans="4:19" ht="15" customHeight="1">
      <c r="D51" s="96" t="str">
        <f>'1. Size'!A12</f>
        <v>1.B</v>
      </c>
      <c r="E51" s="340" t="str">
        <f>'1. Size'!B12</f>
        <v>Project Type</v>
      </c>
      <c r="F51" s="340"/>
      <c r="G51" s="341"/>
      <c r="H51" s="280"/>
      <c r="K51" s="276">
        <f>IF(ISERROR('1. Size'!E12),,'1. Size'!E12)</f>
        <v>0</v>
      </c>
      <c r="L51" s="128" t="s">
        <v>134</v>
      </c>
      <c r="M51" s="128"/>
      <c r="N51" s="288" t="str">
        <f t="shared" ref="N51:N59" si="0">IF(K51="","",IF(K51&gt;0.25,"=&gt;To be tracked in the 'Dashboard'",""))</f>
        <v/>
      </c>
      <c r="P51" s="298" t="str">
        <f>IF(DB!E25="No","All cells in the '1. size' tab are not completed","")</f>
        <v/>
      </c>
      <c r="Q51" s="78"/>
      <c r="R51" s="78"/>
      <c r="S51" s="98"/>
    </row>
    <row r="52" spans="4:19" ht="15" customHeight="1" thickBot="1">
      <c r="D52" s="118" t="str">
        <f>'1. Size'!A17</f>
        <v>1.C</v>
      </c>
      <c r="E52" s="346" t="str">
        <f>'1. Size'!B17</f>
        <v>Project Team</v>
      </c>
      <c r="F52" s="346"/>
      <c r="G52" s="347"/>
      <c r="H52" s="279"/>
      <c r="K52" s="276">
        <f>IF(ISERROR('1. Size'!E17),,'1. Size'!E17)</f>
        <v>0.5714285714285714</v>
      </c>
      <c r="L52" s="128" t="s">
        <v>134</v>
      </c>
      <c r="M52" s="128"/>
      <c r="N52" s="288" t="str">
        <f t="shared" si="0"/>
        <v>=&gt;To be tracked in the 'Dashboard'</v>
      </c>
      <c r="P52" s="298" t="str">
        <f>IF(DB!E26="No","All cells in the '1. size' tab are not completed","")</f>
        <v/>
      </c>
      <c r="Q52" s="78"/>
      <c r="R52" s="78"/>
      <c r="S52" s="98"/>
    </row>
    <row r="53" spans="4:19" ht="15" customHeight="1" thickBot="1">
      <c r="D53" s="342" t="str">
        <f>'2. Structure'!A1</f>
        <v>2. Structure</v>
      </c>
      <c r="E53" s="343"/>
      <c r="F53" s="343"/>
      <c r="G53" s="343"/>
      <c r="H53" s="185">
        <f>IF(ISERROR(AVERAGE(K54:K56)),,AVERAGE(K54:K56))</f>
        <v>0.35984848484848486</v>
      </c>
      <c r="K53" s="276"/>
      <c r="L53" s="128" t="s">
        <v>134</v>
      </c>
      <c r="M53" s="128"/>
      <c r="P53" s="299"/>
      <c r="Q53" s="97"/>
      <c r="R53" s="97"/>
      <c r="S53" s="98"/>
    </row>
    <row r="54" spans="4:19" ht="15" customHeight="1">
      <c r="D54" s="184" t="str">
        <f>'2. Structure'!A3</f>
        <v>2.A</v>
      </c>
      <c r="E54" s="344" t="str">
        <f>'2. Structure'!B3</f>
        <v>Administration and Control</v>
      </c>
      <c r="F54" s="344"/>
      <c r="G54" s="345"/>
      <c r="H54" s="193"/>
      <c r="K54" s="276">
        <f>IF(ISERROR('2. Structure'!E3),,'2. Structure'!E3)</f>
        <v>0</v>
      </c>
      <c r="L54" s="128" t="s">
        <v>134</v>
      </c>
      <c r="M54" s="128"/>
      <c r="N54" s="288" t="str">
        <f>IF(K54="","",IF(K54&gt;0.25,"=&gt;To be tracked in the 'Dashboard'",""))</f>
        <v/>
      </c>
      <c r="P54" s="298" t="str">
        <f>IF(DB!E27="No","All cells in the '2. Structure' are not completed","")</f>
        <v/>
      </c>
      <c r="Q54" s="78"/>
      <c r="R54" s="78"/>
      <c r="S54" s="98"/>
    </row>
    <row r="55" spans="4:19" ht="15" customHeight="1">
      <c r="D55" s="96" t="str">
        <f>'2. Structure'!A10</f>
        <v>2.B</v>
      </c>
      <c r="E55" s="340" t="str">
        <f>'2. Structure'!B10</f>
        <v>Project Team</v>
      </c>
      <c r="F55" s="340"/>
      <c r="G55" s="341"/>
      <c r="H55" s="280"/>
      <c r="K55" s="276">
        <f>IF(ISERROR('2. Structure'!E10),,'2. Structure'!E10)</f>
        <v>0.45454545454545453</v>
      </c>
      <c r="L55" s="128" t="s">
        <v>134</v>
      </c>
      <c r="M55" s="128"/>
      <c r="N55" s="288" t="str">
        <f t="shared" si="0"/>
        <v>=&gt;To be tracked in the 'Dashboard'</v>
      </c>
      <c r="P55" s="298" t="str">
        <f>IF(DB!E28="No","All cells in the '2. Structure' are not completed","")</f>
        <v/>
      </c>
      <c r="Q55" s="78"/>
      <c r="R55" s="78"/>
      <c r="S55" s="98"/>
    </row>
    <row r="56" spans="4:19" ht="15" customHeight="1" thickBot="1">
      <c r="D56" s="96" t="str">
        <f>'2. Structure'!A28</f>
        <v>2.C</v>
      </c>
      <c r="E56" s="340" t="str">
        <f>'2. Structure'!B28</f>
        <v>Business Requirements</v>
      </c>
      <c r="F56" s="340"/>
      <c r="G56" s="341"/>
      <c r="H56" s="279"/>
      <c r="K56" s="276">
        <f>IF(ISERROR('2. Structure'!E28),,'2. Structure'!E28)</f>
        <v>0.625</v>
      </c>
      <c r="L56" s="130" t="s">
        <v>134</v>
      </c>
      <c r="M56" s="130"/>
      <c r="N56" s="288" t="str">
        <f t="shared" si="0"/>
        <v>=&gt;To be tracked in the 'Dashboard'</v>
      </c>
      <c r="P56" s="298" t="str">
        <f>IF(DB!E29="No","All cells in the '2. Structure' are not completed","")</f>
        <v/>
      </c>
      <c r="R56" s="77"/>
      <c r="S56" s="101"/>
    </row>
    <row r="57" spans="4:19" ht="15" customHeight="1" thickBot="1">
      <c r="D57" s="342" t="str">
        <f>'3. Technology'!A1</f>
        <v>3. Technology</v>
      </c>
      <c r="E57" s="343"/>
      <c r="F57" s="343"/>
      <c r="G57" s="343"/>
      <c r="H57" s="185">
        <f>IF(ISERROR(AVERAGE(K58:K59)),,AVERAGE(K58:K59))</f>
        <v>0.95</v>
      </c>
      <c r="K57" s="276"/>
      <c r="L57" s="129" t="s">
        <v>134</v>
      </c>
      <c r="M57" s="130"/>
      <c r="P57" s="297"/>
      <c r="R57" s="77"/>
      <c r="S57" s="101"/>
    </row>
    <row r="58" spans="4:19" ht="15" customHeight="1">
      <c r="D58" s="197" t="str">
        <f>'3. Technology'!A3</f>
        <v>3.A</v>
      </c>
      <c r="E58" s="338" t="str">
        <f>'3. Technology'!B3</f>
        <v>Technical Requirements</v>
      </c>
      <c r="F58" s="338"/>
      <c r="G58" s="339"/>
      <c r="H58" s="280"/>
      <c r="K58" s="276">
        <f>IF(ISERROR('3. Technology'!E3),,'3. Technology'!E3)</f>
        <v>0.9</v>
      </c>
      <c r="L58" s="130" t="s">
        <v>134</v>
      </c>
      <c r="M58" s="130"/>
      <c r="N58" s="288" t="str">
        <f t="shared" si="0"/>
        <v>=&gt;To be tracked in the 'Dashboard'</v>
      </c>
      <c r="P58" s="298" t="str">
        <f>IF(DB!E30="No","All cells in the '3. Technology' are not completed","")</f>
        <v/>
      </c>
    </row>
    <row r="59" spans="4:19" ht="15" customHeight="1" thickBot="1">
      <c r="D59" s="99" t="str">
        <f>'3. Technology'!A21</f>
        <v>3.B</v>
      </c>
      <c r="E59" s="355" t="str">
        <f>'3. Technology'!B21</f>
        <v>Security</v>
      </c>
      <c r="F59" s="355"/>
      <c r="G59" s="356"/>
      <c r="H59" s="279"/>
      <c r="K59" s="276">
        <f>IF(ISERROR('3. Technology'!E21),,'3. Technology'!E21)</f>
        <v>1</v>
      </c>
      <c r="L59" s="130" t="s">
        <v>134</v>
      </c>
      <c r="M59" s="130"/>
      <c r="N59" s="288" t="str">
        <f t="shared" si="0"/>
        <v>=&gt;To be tracked in the 'Dashboard'</v>
      </c>
      <c r="P59" s="298" t="str">
        <f>IF(DB!E31="No","All cells in the '3. Technology' are not completed","")</f>
        <v/>
      </c>
    </row>
    <row r="60" spans="4:19">
      <c r="I60" s="102"/>
      <c r="J60" s="102"/>
      <c r="K60" s="102"/>
      <c r="L60" s="73"/>
      <c r="M60" s="73"/>
    </row>
    <row r="61" spans="4:19">
      <c r="I61" s="102"/>
      <c r="J61" s="102"/>
      <c r="K61" s="102"/>
      <c r="L61" s="73"/>
      <c r="M61" s="73"/>
    </row>
    <row r="62" spans="4:19">
      <c r="L62" s="73"/>
      <c r="M62" s="73"/>
    </row>
    <row r="63" spans="4:19">
      <c r="L63" s="73"/>
      <c r="M63" s="73"/>
    </row>
    <row r="64" spans="4:19" ht="15">
      <c r="F64" s="328" t="s">
        <v>203</v>
      </c>
      <c r="L64" s="73"/>
      <c r="M64" s="73"/>
      <c r="O64" s="330" t="s">
        <v>224</v>
      </c>
    </row>
    <row r="65" spans="4:19" ht="12.75" customHeight="1">
      <c r="O65" s="337" t="s">
        <v>225</v>
      </c>
      <c r="P65" s="337"/>
      <c r="Q65" s="337"/>
      <c r="R65" s="337"/>
      <c r="S65" s="337"/>
    </row>
    <row r="66" spans="4:19">
      <c r="O66" s="337"/>
      <c r="P66" s="337"/>
      <c r="Q66" s="337"/>
      <c r="R66" s="337"/>
      <c r="S66" s="337"/>
    </row>
    <row r="67" spans="4:19">
      <c r="F67" s="348" t="str">
        <f>IF(DB!AJ15="No","IRA criteria are not fulfilled to apply SCRUM for the project","IRA criteria are fulfilled, you can check SCRUM criteria for the project")</f>
        <v>IRA criteria are not fulfilled to apply SCRUM for the project</v>
      </c>
      <c r="G67" s="348"/>
      <c r="H67" s="348"/>
      <c r="O67" s="337"/>
      <c r="P67" s="337"/>
      <c r="Q67" s="337"/>
      <c r="R67" s="337"/>
      <c r="S67" s="337"/>
    </row>
    <row r="68" spans="4:19">
      <c r="F68" s="348"/>
      <c r="G68" s="348"/>
      <c r="H68" s="348"/>
      <c r="O68" s="337"/>
      <c r="P68" s="337"/>
      <c r="Q68" s="337"/>
      <c r="R68" s="337"/>
      <c r="S68" s="337"/>
    </row>
    <row r="69" spans="4:19">
      <c r="O69" s="337"/>
      <c r="P69" s="337"/>
      <c r="Q69" s="337"/>
      <c r="R69" s="337"/>
      <c r="S69" s="337"/>
    </row>
    <row r="70" spans="4:19">
      <c r="D70" s="348" t="str">
        <f>'Scrum_Pre-requisites'!B14</f>
        <v/>
      </c>
      <c r="E70" s="348"/>
      <c r="F70" s="348"/>
      <c r="G70" s="348"/>
      <c r="H70" s="348"/>
      <c r="O70" s="337"/>
      <c r="P70" s="337"/>
      <c r="Q70" s="337"/>
      <c r="R70" s="337"/>
      <c r="S70" s="337"/>
    </row>
    <row r="71" spans="4:19">
      <c r="D71" s="348"/>
      <c r="E71" s="348"/>
      <c r="F71" s="348"/>
      <c r="G71" s="348"/>
      <c r="H71" s="348"/>
      <c r="O71" s="337"/>
      <c r="P71" s="337"/>
      <c r="Q71" s="337"/>
      <c r="R71" s="337"/>
      <c r="S71" s="337"/>
    </row>
  </sheetData>
  <sheetProtection algorithmName="SHA-1" hashValue="IWeTfRDJw3y3R+GybyaLFXdSPk4=" saltValue="VWLlPBgIq23SqtHY7PQvMQ==" spinCount="100000" sheet="1"/>
  <mergeCells count="34">
    <mergeCell ref="E50:G50"/>
    <mergeCell ref="O9:Q14"/>
    <mergeCell ref="N46:Q47"/>
    <mergeCell ref="G24:G30"/>
    <mergeCell ref="D46:H46"/>
    <mergeCell ref="E10:H15"/>
    <mergeCell ref="E31:E38"/>
    <mergeCell ref="E39:E43"/>
    <mergeCell ref="C17:D17"/>
    <mergeCell ref="C19:D19"/>
    <mergeCell ref="E19:F19"/>
    <mergeCell ref="D47:H47"/>
    <mergeCell ref="G31:G38"/>
    <mergeCell ref="E52:G52"/>
    <mergeCell ref="D70:H71"/>
    <mergeCell ref="F67:H68"/>
    <mergeCell ref="C6:D6"/>
    <mergeCell ref="E6:F6"/>
    <mergeCell ref="C8:D8"/>
    <mergeCell ref="E8:H8"/>
    <mergeCell ref="G39:G43"/>
    <mergeCell ref="E59:G59"/>
    <mergeCell ref="E56:G56"/>
    <mergeCell ref="D49:G49"/>
    <mergeCell ref="D48:E48"/>
    <mergeCell ref="D57:G57"/>
    <mergeCell ref="E51:G51"/>
    <mergeCell ref="E24:E30"/>
    <mergeCell ref="C10:D10"/>
    <mergeCell ref="O65:S71"/>
    <mergeCell ref="E58:G58"/>
    <mergeCell ref="E55:G55"/>
    <mergeCell ref="D53:G53"/>
    <mergeCell ref="E54:G54"/>
  </mergeCells>
  <phoneticPr fontId="0" type="noConversion"/>
  <conditionalFormatting sqref="E17">
    <cfRule type="cellIs" dxfId="67" priority="24" stopIfTrue="1" operator="equal">
      <formula>""</formula>
    </cfRule>
  </conditionalFormatting>
  <conditionalFormatting sqref="F48">
    <cfRule type="expression" dxfId="66" priority="25" stopIfTrue="1">
      <formula>OR(K48&lt;=0.25, K48="")</formula>
    </cfRule>
    <cfRule type="expression" dxfId="65" priority="26" stopIfTrue="1">
      <formula>K48&lt;=0.65</formula>
    </cfRule>
    <cfRule type="expression" dxfId="64" priority="27" stopIfTrue="1">
      <formula>K48&gt;0.65</formula>
    </cfRule>
  </conditionalFormatting>
  <conditionalFormatting sqref="H50">
    <cfRule type="expression" dxfId="63" priority="37" stopIfTrue="1">
      <formula>OR(K50&lt;=0.25,K50="")</formula>
    </cfRule>
    <cfRule type="expression" dxfId="62" priority="38" stopIfTrue="1">
      <formula>K50&lt;=0.65</formula>
    </cfRule>
    <cfRule type="expression" dxfId="61" priority="39" stopIfTrue="1">
      <formula>K50&gt;0.65</formula>
    </cfRule>
  </conditionalFormatting>
  <conditionalFormatting sqref="H51:H52">
    <cfRule type="expression" dxfId="60" priority="15" stopIfTrue="1">
      <formula>OR(K51&lt;=0.25,K51="")</formula>
    </cfRule>
    <cfRule type="expression" dxfId="59" priority="16" stopIfTrue="1">
      <formula>K51&lt;=0.65</formula>
    </cfRule>
    <cfRule type="expression" dxfId="58" priority="17" stopIfTrue="1">
      <formula>K51&gt;0.65</formula>
    </cfRule>
  </conditionalFormatting>
  <conditionalFormatting sqref="H54">
    <cfRule type="expression" dxfId="57" priority="12" stopIfTrue="1">
      <formula>OR(K54&lt;=0.25,K54="")</formula>
    </cfRule>
    <cfRule type="expression" dxfId="56" priority="13" stopIfTrue="1">
      <formula>K54&lt;=0.65</formula>
    </cfRule>
    <cfRule type="expression" dxfId="55" priority="14" stopIfTrue="1">
      <formula>K54&gt;0.65</formula>
    </cfRule>
  </conditionalFormatting>
  <conditionalFormatting sqref="H55:H56">
    <cfRule type="expression" dxfId="54" priority="9" stopIfTrue="1">
      <formula>OR(K55&lt;=0.25,K55="")</formula>
    </cfRule>
    <cfRule type="expression" dxfId="53" priority="10" stopIfTrue="1">
      <formula>K55&lt;=0.65</formula>
    </cfRule>
    <cfRule type="expression" dxfId="52" priority="11" stopIfTrue="1">
      <formula>K55&gt;0.65</formula>
    </cfRule>
  </conditionalFormatting>
  <conditionalFormatting sqref="H58:H59">
    <cfRule type="expression" dxfId="51" priority="6" stopIfTrue="1">
      <formula>OR(K58&lt;=0.25,K58="")</formula>
    </cfRule>
    <cfRule type="expression" dxfId="50" priority="7" stopIfTrue="1">
      <formula>K58&lt;=0.65</formula>
    </cfRule>
    <cfRule type="expression" dxfId="49" priority="8" stopIfTrue="1">
      <formula>K58&gt;0.65</formula>
    </cfRule>
  </conditionalFormatting>
  <dataValidations count="1">
    <dataValidation type="list" allowBlank="1" showInputMessage="1" showErrorMessage="1" sqref="E19:F19">
      <formula1>phase</formula1>
    </dataValidation>
  </dataValidations>
  <hyperlinks>
    <hyperlink ref="D57:G57" location="'3. Technology'!E2" display="3. Technology"/>
    <hyperlink ref="D53:G53" location="'2. Structure'!E2" display="'2. Structure'!E2"/>
    <hyperlink ref="D49:G49" location="'1. Size'!E2" display="'1. Size'!E2"/>
    <hyperlink ref="F64" r:id="rId1"/>
  </hyperlinks>
  <printOptions horizontalCentered="1"/>
  <pageMargins left="0.19685039370078741" right="0.11811023622047245" top="0.74803149606299213" bottom="0.78740157480314965" header="0.51181102362204722" footer="0.51181102362204722"/>
  <pageSetup paperSize="9" orientation="portrait" r:id="rId2"/>
  <headerFooter alignWithMargins="0">
    <oddHeader>&amp;LProject Initial Risks Assessment&amp;C&amp;A&amp;R&amp;D</oddHeader>
    <oddFooter>&amp;L&amp;F&amp;R&amp;P /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225" r:id="rId5" name="Button 1601">
              <controlPr defaultSize="0" print="0" autoFill="0" autoPict="0" macro="[0]!Scrum">
                <anchor moveWithCells="1" sizeWithCells="1">
                  <from>
                    <xdr:col>3</xdr:col>
                    <xdr:colOff>19050</xdr:colOff>
                    <xdr:row>65</xdr:row>
                    <xdr:rowOff>152400</xdr:rowOff>
                  </from>
                  <to>
                    <xdr:col>4</xdr:col>
                    <xdr:colOff>981075</xdr:colOff>
                    <xdr:row>68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40"/>
  <sheetViews>
    <sheetView showGridLines="0" zoomScale="90" zoomScaleNormal="100" workbookViewId="0">
      <selection activeCell="E18" sqref="E18:E21"/>
    </sheetView>
  </sheetViews>
  <sheetFormatPr defaultColWidth="10.6640625" defaultRowHeight="12.75"/>
  <cols>
    <col min="1" max="1" width="7.5" style="117" customWidth="1"/>
    <col min="2" max="2" width="70.83203125" style="28" customWidth="1"/>
    <col min="3" max="3" width="3.33203125" style="28" customWidth="1"/>
    <col min="4" max="4" width="71" style="19" customWidth="1"/>
    <col min="5" max="5" width="14.1640625" style="28" customWidth="1"/>
    <col min="6" max="6" width="7.1640625" style="145" hidden="1" customWidth="1"/>
    <col min="7" max="7" width="45.83203125" style="204" customWidth="1"/>
    <col min="8" max="8" width="7.1640625" style="77" hidden="1" customWidth="1"/>
    <col min="9" max="9" width="6" style="77" hidden="1" customWidth="1"/>
    <col min="10" max="10" width="10.6640625" style="134" customWidth="1"/>
    <col min="11" max="16384" width="10.6640625" style="19"/>
  </cols>
  <sheetData>
    <row r="1" spans="1:10" s="103" customFormat="1" ht="15.75" customHeight="1" thickBot="1">
      <c r="A1" s="399" t="s">
        <v>124</v>
      </c>
      <c r="B1" s="399"/>
      <c r="C1" s="22"/>
      <c r="D1" s="395"/>
      <c r="E1" s="395"/>
      <c r="F1" s="177"/>
      <c r="G1" s="203"/>
      <c r="H1" s="77"/>
      <c r="I1" s="77"/>
      <c r="J1" s="133"/>
    </row>
    <row r="2" spans="1:10" ht="12" customHeight="1" thickBot="1">
      <c r="A2" s="400" t="str">
        <f>"Current phase: " &amp; Overview!E19</f>
        <v>Current phase: Definition</v>
      </c>
      <c r="B2" s="400"/>
      <c r="C2" s="400"/>
      <c r="D2" s="400"/>
      <c r="E2" s="104" t="s">
        <v>62</v>
      </c>
      <c r="F2" s="141"/>
      <c r="G2" s="104" t="s">
        <v>117</v>
      </c>
      <c r="H2" s="242" t="s">
        <v>132</v>
      </c>
      <c r="I2" s="243" t="s">
        <v>133</v>
      </c>
      <c r="J2" s="131"/>
    </row>
    <row r="3" spans="1:10" ht="13.5" customHeight="1">
      <c r="A3" s="3" t="s">
        <v>58</v>
      </c>
      <c r="B3" s="3" t="s">
        <v>187</v>
      </c>
      <c r="C3" s="4"/>
      <c r="D3" s="169" t="str">
        <f>IF(ISERROR(F3),"Error: Please check the answers " &amp;A3,"")</f>
        <v/>
      </c>
      <c r="E3" s="198">
        <f>IF(ISERROR(F3/VLOOKUP(A3,SubgroupsWeights,4,FALSE)),"",F3/VLOOKUP(A3,SubgroupsWeights,4,FALSE))</f>
        <v>1</v>
      </c>
      <c r="F3" s="183">
        <f>SUM(F4:F11)</f>
        <v>30</v>
      </c>
      <c r="G3" s="122"/>
      <c r="H3" s="235" t="s">
        <v>134</v>
      </c>
      <c r="I3" s="235"/>
      <c r="J3" s="78"/>
    </row>
    <row r="4" spans="1:10" ht="13.5" customHeight="1">
      <c r="A4" s="391" t="s">
        <v>56</v>
      </c>
      <c r="B4" s="396" t="s">
        <v>87</v>
      </c>
      <c r="C4" s="26" t="s">
        <v>3</v>
      </c>
      <c r="D4" s="109" t="s">
        <v>102</v>
      </c>
      <c r="E4" s="382" t="s">
        <v>44</v>
      </c>
      <c r="F4" s="142">
        <f>IF(AND(Overview!$E$17=DB!$B$14,H4="X"),IF(ISBLANK(E4),0,VLOOKUP(A4&amp;VLOOKUP(E4,DB!$V$14:$Y$19,2,FALSE),DB!$R$5:$S$684,2,FALSE)),IF(AND(Overview!$E$17=DB!$B$13,I4="X"),IF(ISBLANK(E4),0,VLOOKUP(A4&amp;VLOOKUP(E4,DB!$V$14:$Y$19,2,FALSE),DB!$R$5:$S$684,2,FALSE)),0))</f>
        <v>15</v>
      </c>
      <c r="G4" s="373"/>
      <c r="H4" s="236" t="s">
        <v>134</v>
      </c>
      <c r="I4" s="236"/>
      <c r="J4" s="78"/>
    </row>
    <row r="5" spans="1:10" ht="13.5" customHeight="1">
      <c r="A5" s="392"/>
      <c r="B5" s="397"/>
      <c r="C5" s="26" t="s">
        <v>4</v>
      </c>
      <c r="D5" s="109" t="s">
        <v>103</v>
      </c>
      <c r="E5" s="402"/>
      <c r="F5" s="143"/>
      <c r="G5" s="374"/>
      <c r="H5" s="237" t="s">
        <v>134</v>
      </c>
      <c r="I5" s="237"/>
    </row>
    <row r="6" spans="1:10" ht="13.5" customHeight="1">
      <c r="A6" s="392"/>
      <c r="B6" s="397"/>
      <c r="C6" s="26" t="s">
        <v>5</v>
      </c>
      <c r="D6" s="109" t="s">
        <v>104</v>
      </c>
      <c r="E6" s="402"/>
      <c r="F6" s="143"/>
      <c r="G6" s="374"/>
      <c r="H6" s="237" t="s">
        <v>134</v>
      </c>
      <c r="I6" s="237"/>
    </row>
    <row r="7" spans="1:10" ht="13.5" customHeight="1">
      <c r="A7" s="393"/>
      <c r="B7" s="398"/>
      <c r="C7" s="26" t="s">
        <v>6</v>
      </c>
      <c r="D7" s="109" t="s">
        <v>101</v>
      </c>
      <c r="E7" s="403"/>
      <c r="F7" s="143"/>
      <c r="G7" s="375"/>
      <c r="H7" s="238" t="s">
        <v>134</v>
      </c>
      <c r="I7" s="238"/>
    </row>
    <row r="8" spans="1:10" ht="13.5" customHeight="1">
      <c r="A8" s="110" t="s">
        <v>57</v>
      </c>
      <c r="B8" s="396" t="s">
        <v>177</v>
      </c>
      <c r="C8" s="6" t="s">
        <v>3</v>
      </c>
      <c r="D8" s="111" t="s">
        <v>113</v>
      </c>
      <c r="E8" s="382" t="s">
        <v>44</v>
      </c>
      <c r="F8" s="142">
        <f>IF(AND(Overview!$E$17=DB!$B$14,H8="X"),IF(ISBLANK(E8),0,VLOOKUP(A8&amp;VLOOKUP(E8,DB!$V$14:$Y$19,2,FALSE),DB!$R$5:$S$684,2,FALSE)),IF(AND(Overview!$E$17=DB!$B$13,I8="X"),IF(ISBLANK(E8),0,VLOOKUP(A8&amp;VLOOKUP(E8,DB!$V$14:$Y$19,2,FALSE),DB!$R$5:$S$684,2,FALSE)),0))</f>
        <v>15</v>
      </c>
      <c r="G8" s="376"/>
      <c r="H8" s="239" t="s">
        <v>134</v>
      </c>
      <c r="I8" s="239"/>
    </row>
    <row r="9" spans="1:10" ht="13.5" customHeight="1">
      <c r="A9" s="112"/>
      <c r="B9" s="397"/>
      <c r="C9" s="9" t="s">
        <v>4</v>
      </c>
      <c r="D9" s="109" t="s">
        <v>110</v>
      </c>
      <c r="E9" s="401"/>
      <c r="F9" s="143"/>
      <c r="G9" s="374"/>
      <c r="H9" s="237" t="s">
        <v>134</v>
      </c>
      <c r="I9" s="237"/>
    </row>
    <row r="10" spans="1:10" ht="13.5" customHeight="1">
      <c r="A10" s="112"/>
      <c r="B10" s="397"/>
      <c r="C10" s="9" t="s">
        <v>5</v>
      </c>
      <c r="D10" s="109" t="s">
        <v>111</v>
      </c>
      <c r="E10" s="401"/>
      <c r="F10" s="143"/>
      <c r="G10" s="374"/>
      <c r="H10" s="237" t="s">
        <v>134</v>
      </c>
      <c r="I10" s="237"/>
    </row>
    <row r="11" spans="1:10" ht="13.5" customHeight="1">
      <c r="A11" s="113"/>
      <c r="B11" s="398"/>
      <c r="C11" s="12" t="s">
        <v>6</v>
      </c>
      <c r="D11" s="114" t="s">
        <v>112</v>
      </c>
      <c r="E11" s="383"/>
      <c r="F11" s="144"/>
      <c r="G11" s="375"/>
      <c r="H11" s="237" t="s">
        <v>134</v>
      </c>
      <c r="I11" s="237"/>
    </row>
    <row r="12" spans="1:10" ht="13.5" customHeight="1">
      <c r="A12" s="4" t="s">
        <v>191</v>
      </c>
      <c r="B12" s="207" t="s">
        <v>188</v>
      </c>
      <c r="C12" s="209"/>
      <c r="D12" s="210" t="str">
        <f>IF(ISERROR(F12),"Error: Please check the answers " &amp;A12,"")</f>
        <v/>
      </c>
      <c r="E12" s="198">
        <f>IF(ISERROR(F12/VLOOKUP(A12,SubgroupsWeights,4,FALSE)),"",F12/VLOOKUP(A12,SubgroupsWeights,4,FALSE))</f>
        <v>0</v>
      </c>
      <c r="F12" s="183">
        <f>SUM(F13:F16)</f>
        <v>0</v>
      </c>
      <c r="G12" s="295"/>
      <c r="H12" s="246" t="s">
        <v>134</v>
      </c>
      <c r="I12" s="246"/>
      <c r="J12" s="78"/>
    </row>
    <row r="13" spans="1:10" ht="13.5" customHeight="1">
      <c r="A13" s="5" t="s">
        <v>190</v>
      </c>
      <c r="B13" s="15" t="s">
        <v>169</v>
      </c>
      <c r="C13" s="25" t="s">
        <v>3</v>
      </c>
      <c r="D13" s="234" t="s">
        <v>170</v>
      </c>
      <c r="E13" s="382" t="s">
        <v>41</v>
      </c>
      <c r="F13" s="142">
        <f>IF(AND(Overview!$E$17=DB!$B$14,H13="X"),IF(ISBLANK(E13),0,VLOOKUP(A13&amp;VLOOKUP(E13,DB!$V$14:$Y$19,2,FALSE),DB!$R$5:$S$684,2,FALSE)),IF(AND(Overview!$E$17=DB!$B$13,I13="X"),IF(ISBLANK(E13),0,VLOOKUP(A13&amp;VLOOKUP(E13,DB!$V$14:$Y$19,2,FALSE),DB!$R$5:$S$684,2,FALSE)),0))</f>
        <v>0</v>
      </c>
      <c r="G13" s="376"/>
      <c r="H13" s="236" t="s">
        <v>134</v>
      </c>
      <c r="I13" s="236"/>
    </row>
    <row r="14" spans="1:10" ht="13.5" customHeight="1">
      <c r="A14" s="8"/>
      <c r="B14" s="16"/>
      <c r="C14" s="26" t="s">
        <v>4</v>
      </c>
      <c r="D14" s="10" t="s">
        <v>173</v>
      </c>
      <c r="E14" s="401"/>
      <c r="F14" s="222"/>
      <c r="G14" s="374"/>
      <c r="H14" s="237" t="s">
        <v>134</v>
      </c>
      <c r="I14" s="237"/>
    </row>
    <row r="15" spans="1:10" ht="13.5" customHeight="1">
      <c r="A15" s="8"/>
      <c r="B15" s="16"/>
      <c r="C15" s="26" t="s">
        <v>5</v>
      </c>
      <c r="D15" s="10" t="s">
        <v>172</v>
      </c>
      <c r="E15" s="401"/>
      <c r="F15" s="222"/>
      <c r="G15" s="374"/>
      <c r="H15" s="237" t="s">
        <v>134</v>
      </c>
      <c r="I15" s="237"/>
    </row>
    <row r="16" spans="1:10" ht="13.5" customHeight="1">
      <c r="A16" s="11"/>
      <c r="B16" s="14"/>
      <c r="C16" s="12" t="s">
        <v>6</v>
      </c>
      <c r="D16" s="13" t="s">
        <v>171</v>
      </c>
      <c r="E16" s="383"/>
      <c r="F16" s="223"/>
      <c r="G16" s="375"/>
      <c r="H16" s="238" t="s">
        <v>134</v>
      </c>
      <c r="I16" s="238"/>
    </row>
    <row r="17" spans="1:9" ht="13.5" customHeight="1">
      <c r="A17" s="3" t="s">
        <v>59</v>
      </c>
      <c r="B17" s="3" t="s">
        <v>179</v>
      </c>
      <c r="C17" s="123"/>
      <c r="D17" s="169" t="str">
        <f>IF(ISERROR(F17),"Error: Please check the answers " &amp;A17,"")</f>
        <v/>
      </c>
      <c r="E17" s="198">
        <f>IF(ISERROR(F17/VLOOKUP(A17,SubgroupsWeights,4,FALSE)),"",F17/VLOOKUP(A17,SubgroupsWeights,4,FALSE))</f>
        <v>0.5714285714285714</v>
      </c>
      <c r="F17" s="183">
        <f>SUM(F18:F29)</f>
        <v>20</v>
      </c>
      <c r="G17" s="122"/>
      <c r="H17" s="247" t="s">
        <v>134</v>
      </c>
      <c r="I17" s="247"/>
    </row>
    <row r="18" spans="1:9" ht="13.5" customHeight="1">
      <c r="A18" s="20" t="s">
        <v>60</v>
      </c>
      <c r="B18" s="380" t="s">
        <v>180</v>
      </c>
      <c r="C18" s="108" t="s">
        <v>3</v>
      </c>
      <c r="D18" s="124" t="s">
        <v>141</v>
      </c>
      <c r="E18" s="384" t="s">
        <v>43</v>
      </c>
      <c r="F18" s="142">
        <f>IF(AND(Overview!$E$17=DB!$B$14,H18="X"),IF(ISBLANK(E18),0,VLOOKUP(A18&amp;VLOOKUP(E18,DB!$V$14:$Y$19,2,FALSE),DB!$R$5:$S$684,2,FALSE)),IF(AND(Overview!$E$17=DB!$B$13,#REF!="X"),IF(ISBLANK(E18),0,VLOOKUP(A18&amp;VLOOKUP(E18,DB!$V$14:$Y$19,2,FALSE),DB!$R$5:$S$684,2,FALSE)),0))</f>
        <v>10</v>
      </c>
      <c r="G18" s="387"/>
      <c r="H18" s="239" t="s">
        <v>134</v>
      </c>
      <c r="I18" s="239"/>
    </row>
    <row r="19" spans="1:9" ht="13.5" customHeight="1">
      <c r="A19" s="20"/>
      <c r="B19" s="394"/>
      <c r="C19" s="106" t="s">
        <v>4</v>
      </c>
      <c r="D19" s="125" t="s">
        <v>11</v>
      </c>
      <c r="E19" s="385"/>
      <c r="F19" s="143"/>
      <c r="G19" s="388"/>
      <c r="H19" s="237" t="s">
        <v>134</v>
      </c>
      <c r="I19" s="240"/>
    </row>
    <row r="20" spans="1:9" ht="13.5" customHeight="1">
      <c r="A20" s="20"/>
      <c r="B20" s="394"/>
      <c r="C20" s="106" t="s">
        <v>5</v>
      </c>
      <c r="D20" s="125" t="s">
        <v>12</v>
      </c>
      <c r="E20" s="385"/>
      <c r="F20" s="143"/>
      <c r="G20" s="388"/>
      <c r="H20" s="237" t="s">
        <v>134</v>
      </c>
      <c r="I20" s="240"/>
    </row>
    <row r="21" spans="1:9" ht="13.5" customHeight="1">
      <c r="A21" s="116"/>
      <c r="B21" s="381"/>
      <c r="C21" s="107" t="s">
        <v>6</v>
      </c>
      <c r="D21" s="136" t="s">
        <v>30</v>
      </c>
      <c r="E21" s="386"/>
      <c r="F21" s="144"/>
      <c r="G21" s="388"/>
      <c r="H21" s="238" t="s">
        <v>134</v>
      </c>
      <c r="I21" s="248"/>
    </row>
    <row r="22" spans="1:9" ht="13.5" customHeight="1">
      <c r="A22" s="17" t="s">
        <v>61</v>
      </c>
      <c r="B22" s="380" t="s">
        <v>145</v>
      </c>
      <c r="C22" s="25" t="s">
        <v>3</v>
      </c>
      <c r="D22" s="111" t="s">
        <v>10</v>
      </c>
      <c r="E22" s="382" t="s">
        <v>41</v>
      </c>
      <c r="F22" s="142">
        <f>IF(AND(Overview!$E$17=DB!$B$14,H22="X"),IF(ISBLANK(E22),0,VLOOKUP(A22&amp;VLOOKUP(E22,DB!$V$14:$Y$19,2,FALSE),DB!$R$5:$S$684,2,FALSE)),IF(AND(Overview!$E$17=DB!$B$13,I22="X"),IF(ISBLANK(E22),0,VLOOKUP(A22&amp;VLOOKUP(E22,DB!$V$14:$Y$19,2,FALSE),DB!$R$5:$S$684,2,FALSE)),0))</f>
        <v>0</v>
      </c>
      <c r="G22" s="376"/>
      <c r="H22" s="239" t="s">
        <v>134</v>
      </c>
      <c r="I22" s="239"/>
    </row>
    <row r="23" spans="1:9" ht="13.5" customHeight="1">
      <c r="A23" s="116"/>
      <c r="B23" s="381"/>
      <c r="C23" s="105" t="s">
        <v>4</v>
      </c>
      <c r="D23" s="114" t="s">
        <v>9</v>
      </c>
      <c r="E23" s="383"/>
      <c r="F23" s="144"/>
      <c r="G23" s="374"/>
      <c r="H23" s="238" t="s">
        <v>134</v>
      </c>
      <c r="I23" s="238"/>
    </row>
    <row r="24" spans="1:9" ht="13.5" customHeight="1">
      <c r="A24" s="67" t="s">
        <v>159</v>
      </c>
      <c r="B24" s="377" t="s">
        <v>178</v>
      </c>
      <c r="C24" s="108" t="s">
        <v>80</v>
      </c>
      <c r="D24" s="124" t="s">
        <v>81</v>
      </c>
      <c r="E24" s="389" t="s">
        <v>41</v>
      </c>
      <c r="F24" s="142">
        <f>IF(AND(Overview!$E$17=DB!$B$14,H24="X"),IF(ISBLANK(E24),0,VLOOKUP(A24&amp;VLOOKUP(E24,DB!$V$14:$Y$19,2,FALSE),DB!$R$5:$S$684,2,FALSE)),IF(AND(Overview!$E$17=DB!$B$13,I24="X"),IF(ISBLANK(E24),0,VLOOKUP(A24&amp;VLOOKUP(E24,DB!$V$14:$Y$19,2,FALSE),DB!$R$5:$S$684,2,FALSE)),0))</f>
        <v>0</v>
      </c>
      <c r="G24" s="376" t="s">
        <v>239</v>
      </c>
      <c r="H24" s="239" t="s">
        <v>134</v>
      </c>
      <c r="I24" s="239"/>
    </row>
    <row r="25" spans="1:9" ht="13.5" customHeight="1">
      <c r="A25" s="115"/>
      <c r="B25" s="378"/>
      <c r="C25" s="106" t="s">
        <v>4</v>
      </c>
      <c r="D25" s="125" t="s">
        <v>82</v>
      </c>
      <c r="E25" s="390"/>
      <c r="F25" s="143"/>
      <c r="G25" s="374"/>
      <c r="H25" s="237" t="s">
        <v>134</v>
      </c>
      <c r="I25" s="237"/>
    </row>
    <row r="26" spans="1:9" ht="13.5" customHeight="1">
      <c r="A26" s="68"/>
      <c r="B26" s="379"/>
      <c r="C26" s="107" t="s">
        <v>5</v>
      </c>
      <c r="D26" s="126" t="s">
        <v>142</v>
      </c>
      <c r="E26" s="390"/>
      <c r="F26" s="144"/>
      <c r="G26" s="374"/>
      <c r="H26" s="237" t="s">
        <v>134</v>
      </c>
      <c r="I26" s="237"/>
    </row>
    <row r="27" spans="1:9" ht="13.5" customHeight="1">
      <c r="A27" s="67" t="s">
        <v>189</v>
      </c>
      <c r="B27" s="377" t="s">
        <v>160</v>
      </c>
      <c r="C27" s="108" t="s">
        <v>80</v>
      </c>
      <c r="D27" s="124" t="s">
        <v>8</v>
      </c>
      <c r="E27" s="389" t="s">
        <v>43</v>
      </c>
      <c r="F27" s="142">
        <f>IF(AND(Overview!$E$17=DB!$B$14,H27="X"),IF(ISBLANK(E27),0,VLOOKUP(A27&amp;VLOOKUP(E27,DB!$V$14:$Y$19,2,FALSE),DB!$R$5:$S$684,2,FALSE)),IF(AND(Overview!$E$17=DB!$B$13,I27="X"),IF(ISBLANK(E27),0,VLOOKUP(A27&amp;VLOOKUP(E27,DB!$V$14:$Y$19,2,FALSE),DB!$R$5:$S$684,2,FALSE)),0))</f>
        <v>10</v>
      </c>
      <c r="G27" s="376" t="s">
        <v>240</v>
      </c>
      <c r="H27" s="239" t="s">
        <v>134</v>
      </c>
      <c r="I27" s="239"/>
    </row>
    <row r="28" spans="1:9" ht="13.5" customHeight="1">
      <c r="A28" s="115"/>
      <c r="B28" s="378"/>
      <c r="C28" s="106" t="s">
        <v>4</v>
      </c>
      <c r="D28" s="125" t="s">
        <v>83</v>
      </c>
      <c r="E28" s="390"/>
      <c r="F28" s="143"/>
      <c r="G28" s="374"/>
      <c r="H28" s="237" t="s">
        <v>134</v>
      </c>
      <c r="I28" s="249"/>
    </row>
    <row r="29" spans="1:9" ht="13.5" customHeight="1">
      <c r="A29" s="68"/>
      <c r="B29" s="379"/>
      <c r="C29" s="107" t="s">
        <v>5</v>
      </c>
      <c r="D29" s="126" t="s">
        <v>84</v>
      </c>
      <c r="E29" s="390"/>
      <c r="F29" s="144"/>
      <c r="G29" s="375"/>
      <c r="H29" s="238" t="s">
        <v>134</v>
      </c>
      <c r="I29" s="250"/>
    </row>
    <row r="30" spans="1:9">
      <c r="G30" s="1"/>
    </row>
    <row r="31" spans="1:9">
      <c r="G31" s="1"/>
    </row>
    <row r="32" spans="1:9">
      <c r="D32" s="73"/>
      <c r="G32" s="1"/>
    </row>
    <row r="33" spans="2:9" s="1" customFormat="1">
      <c r="H33" s="241"/>
      <c r="I33" s="241"/>
    </row>
    <row r="34" spans="2:9" s="1" customFormat="1">
      <c r="H34" s="241"/>
      <c r="I34" s="241"/>
    </row>
    <row r="35" spans="2:9" s="1" customFormat="1">
      <c r="H35" s="241"/>
      <c r="I35" s="241"/>
    </row>
    <row r="36" spans="2:9" s="1" customFormat="1">
      <c r="H36" s="241"/>
      <c r="I36" s="241"/>
    </row>
    <row r="37" spans="2:9" s="1" customFormat="1">
      <c r="H37" s="241"/>
      <c r="I37" s="241"/>
    </row>
    <row r="38" spans="2:9">
      <c r="B38" s="164"/>
    </row>
    <row r="39" spans="2:9">
      <c r="B39" s="164"/>
    </row>
    <row r="40" spans="2:9">
      <c r="B40" s="164"/>
    </row>
  </sheetData>
  <sheetProtection algorithmName="SHA-1" hashValue="gna6Gayjn+G4q7sJe/fDW/oOOhk=" saltValue="MkTr9JHSZwfmq/n+C0qmAQ==" spinCount="100000" sheet="1" formatCells="0" formatColumns="0" formatRows="0"/>
  <customSheetViews>
    <customSheetView guid="{1154F82E-F7BA-4227-A6C8-AEBBEAEC668B}" showRuler="0" topLeftCell="A49">
      <selection activeCell="B70" sqref="B70:B73"/>
      <rowBreaks count="1" manualBreakCount="1">
        <brk id="61" max="16383" man="1"/>
      </rowBreaks>
      <pageMargins left="0.41" right="0.38" top="0.51" bottom="0.69" header="0.5" footer="0.5"/>
      <pageSetup paperSize="9" orientation="portrait" r:id="rId1"/>
      <headerFooter alignWithMargins="0"/>
    </customSheetView>
    <customSheetView guid="{20989AFF-92B9-4E9B-AADA-8707EC412383}" showGridLines="0" hiddenColumns="1" showRuler="0" topLeftCell="A34">
      <selection activeCell="I44" sqref="I44"/>
      <rowBreaks count="1" manualBreakCount="1">
        <brk id="51" max="16383" man="1"/>
      </rowBreaks>
      <pageMargins left="0.39370078740157483" right="0.39370078740157483" top="0.78740157480314965" bottom="0.70866141732283472" header="0.51181102362204722" footer="0.51181102362204722"/>
      <pageSetup paperSize="9" orientation="portrait" r:id="rId2"/>
      <headerFooter alignWithMargins="0">
        <oddHeader>&amp;LInitial Risk Assessment&amp;C&amp;A&amp;R&amp;D</oddHeader>
        <oddFooter>&amp;L&amp;F&amp;R&amp;P  / &amp;N</oddFooter>
      </headerFooter>
    </customSheetView>
  </customSheetViews>
  <mergeCells count="24">
    <mergeCell ref="A4:A7"/>
    <mergeCell ref="B18:B21"/>
    <mergeCell ref="D1:E1"/>
    <mergeCell ref="B8:B11"/>
    <mergeCell ref="A1:B1"/>
    <mergeCell ref="A2:D2"/>
    <mergeCell ref="E8:E11"/>
    <mergeCell ref="B4:B7"/>
    <mergeCell ref="E13:E16"/>
    <mergeCell ref="E4:E7"/>
    <mergeCell ref="B27:B29"/>
    <mergeCell ref="G24:G26"/>
    <mergeCell ref="E18:E21"/>
    <mergeCell ref="G27:G29"/>
    <mergeCell ref="G18:G21"/>
    <mergeCell ref="E27:E29"/>
    <mergeCell ref="E24:E26"/>
    <mergeCell ref="G4:G7"/>
    <mergeCell ref="G8:G11"/>
    <mergeCell ref="G13:G16"/>
    <mergeCell ref="G22:G23"/>
    <mergeCell ref="B24:B26"/>
    <mergeCell ref="B22:B23"/>
    <mergeCell ref="E22:E23"/>
  </mergeCells>
  <phoneticPr fontId="10" type="noConversion"/>
  <conditionalFormatting sqref="E4:G4 E13:G16 E18:G23 E8:G11 F5:G7 F24:G29">
    <cfRule type="cellIs" dxfId="48" priority="7" stopIfTrue="1" operator="equal">
      <formula>""</formula>
    </cfRule>
  </conditionalFormatting>
  <conditionalFormatting sqref="G2 E2">
    <cfRule type="cellIs" dxfId="47" priority="8" stopIfTrue="1" operator="equal">
      <formula>"Non"</formula>
    </cfRule>
    <cfRule type="cellIs" dxfId="46" priority="9" stopIfTrue="1" operator="equal">
      <formula>"Oui"</formula>
    </cfRule>
  </conditionalFormatting>
  <conditionalFormatting sqref="G13:G16">
    <cfRule type="cellIs" dxfId="45" priority="6" stopIfTrue="1" operator="equal">
      <formula>""</formula>
    </cfRule>
  </conditionalFormatting>
  <conditionalFormatting sqref="G24">
    <cfRule type="cellIs" dxfId="44" priority="5" stopIfTrue="1" operator="equal">
      <formula>""</formula>
    </cfRule>
  </conditionalFormatting>
  <conditionalFormatting sqref="G27">
    <cfRule type="cellIs" dxfId="43" priority="4" stopIfTrue="1" operator="equal">
      <formula>""</formula>
    </cfRule>
  </conditionalFormatting>
  <conditionalFormatting sqref="E13:E16">
    <cfRule type="cellIs" dxfId="42" priority="3" stopIfTrue="1" operator="equal">
      <formula>""</formula>
    </cfRule>
  </conditionalFormatting>
  <conditionalFormatting sqref="E24:E26">
    <cfRule type="cellIs" dxfId="41" priority="2" stopIfTrue="1" operator="equal">
      <formula>""</formula>
    </cfRule>
  </conditionalFormatting>
  <conditionalFormatting sqref="E27:E29">
    <cfRule type="cellIs" dxfId="40" priority="1" stopIfTrue="1" operator="equal">
      <formula>""</formula>
    </cfRule>
  </conditionalFormatting>
  <dataValidations count="3">
    <dataValidation type="list" showInputMessage="1" showErrorMessage="1" sqref="E13:E16 E8 E18 E4">
      <formula1>Option4</formula1>
    </dataValidation>
    <dataValidation type="list" allowBlank="1" showInputMessage="1" showErrorMessage="1" sqref="E22:E23">
      <formula1>Option2</formula1>
    </dataValidation>
    <dataValidation type="list" allowBlank="1" showInputMessage="1" showErrorMessage="1" sqref="E27 E24">
      <formula1>Option3</formula1>
    </dataValidation>
  </dataValidations>
  <printOptions horizontalCentered="1"/>
  <pageMargins left="0.19685039370078741" right="0.11811023622047245" top="0.74803149606299213" bottom="0.78740157480314965" header="0.51181102362204722" footer="0.51181102362204722"/>
  <pageSetup paperSize="9" scale="84" orientation="landscape" r:id="rId3"/>
  <headerFooter alignWithMargins="0">
    <oddHeader>&amp;LProject Initial Risks Assessment&amp;C&amp;A&amp;R&amp;D</oddHeader>
    <oddFooter>&amp;L&amp;F&amp;R&amp;P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40"/>
  <sheetViews>
    <sheetView tabSelected="1" topLeftCell="A10" zoomScale="90" zoomScaleNormal="90" workbookViewId="0">
      <selection activeCell="E17" sqref="E17:E20"/>
    </sheetView>
  </sheetViews>
  <sheetFormatPr defaultColWidth="10.6640625" defaultRowHeight="12.75"/>
  <cols>
    <col min="1" max="1" width="7.5" style="27" customWidth="1"/>
    <col min="2" max="2" width="70.83203125" style="1" customWidth="1"/>
    <col min="3" max="3" width="3.33203125" style="28" customWidth="1"/>
    <col min="4" max="4" width="71" style="1" customWidth="1"/>
    <col min="5" max="5" width="14.1640625" style="1" customWidth="1"/>
    <col min="6" max="6" width="7.1640625" style="148" hidden="1" customWidth="1"/>
    <col min="7" max="7" width="45.83203125" style="2" customWidth="1"/>
    <col min="8" max="8" width="6.5" style="117" hidden="1" customWidth="1"/>
    <col min="9" max="9" width="6.1640625" style="117" hidden="1" customWidth="1"/>
    <col min="10" max="16384" width="10.6640625" style="1"/>
  </cols>
  <sheetData>
    <row r="1" spans="1:9" ht="15.75" customHeight="1" thickBot="1">
      <c r="A1" s="404" t="s">
        <v>125</v>
      </c>
      <c r="B1" s="404"/>
      <c r="C1" s="22"/>
      <c r="D1" s="395"/>
      <c r="E1" s="395"/>
      <c r="F1" s="177"/>
      <c r="G1" s="203"/>
      <c r="H1" s="162"/>
      <c r="I1" s="162"/>
    </row>
    <row r="2" spans="1:9" ht="12" customHeight="1" thickBot="1">
      <c r="A2" s="400" t="str">
        <f>"Current phase: " &amp; Overview!E19</f>
        <v>Current phase: Definition</v>
      </c>
      <c r="B2" s="400"/>
      <c r="C2" s="400"/>
      <c r="D2" s="400"/>
      <c r="E2" s="104" t="s">
        <v>62</v>
      </c>
      <c r="F2" s="141"/>
      <c r="G2" s="104" t="s">
        <v>117</v>
      </c>
      <c r="H2" s="154" t="s">
        <v>132</v>
      </c>
      <c r="I2" s="135" t="s">
        <v>133</v>
      </c>
    </row>
    <row r="3" spans="1:9">
      <c r="A3" s="4" t="s">
        <v>65</v>
      </c>
      <c r="B3" s="3" t="s">
        <v>50</v>
      </c>
      <c r="C3" s="4"/>
      <c r="D3" s="169" t="str">
        <f>IF(ISERROR(F3),"Error: Please check the answers " &amp;A3,"")</f>
        <v/>
      </c>
      <c r="E3" s="198">
        <f>IF(ISERROR(F3/VLOOKUP(A3,SubgroupsWeights,4,FALSE)),"",F3/VLOOKUP(A3,SubgroupsWeights,4,FALSE))</f>
        <v>0</v>
      </c>
      <c r="F3" s="183">
        <f>SUM(F4:F9)</f>
        <v>0</v>
      </c>
      <c r="G3" s="122"/>
      <c r="H3" s="181" t="s">
        <v>134</v>
      </c>
      <c r="I3" s="181"/>
    </row>
    <row r="4" spans="1:9">
      <c r="A4" s="23" t="s">
        <v>73</v>
      </c>
      <c r="B4" s="396" t="s">
        <v>127</v>
      </c>
      <c r="C4" s="6" t="s">
        <v>3</v>
      </c>
      <c r="D4" s="18" t="s">
        <v>128</v>
      </c>
      <c r="E4" s="382" t="s">
        <v>41</v>
      </c>
      <c r="F4" s="142">
        <f>IF(AND(Overview!$E$17=DB!$B$14,H4="X"),IF(ISBLANK(E4),0,VLOOKUP(A4&amp;VLOOKUP(E4,DB!$V$14:$Y$19,2,FALSE),DB!$R$5:$S$684,2,FALSE)),IF(AND(Overview!$E$17=DB!$B$13,I4="X"),IF(ISBLANK(E4),0,VLOOKUP(A4&amp;VLOOKUP(E4,DB!$V$14:$Y$19,2,FALSE),DB!$R$5:$S$684,2,FALSE)),0))</f>
        <v>0</v>
      </c>
      <c r="G4" s="373"/>
      <c r="H4" s="160" t="s">
        <v>134</v>
      </c>
      <c r="I4" s="160"/>
    </row>
    <row r="5" spans="1:9" ht="25.5">
      <c r="A5" s="24"/>
      <c r="B5" s="397"/>
      <c r="C5" s="9" t="s">
        <v>4</v>
      </c>
      <c r="D5" s="21" t="s">
        <v>143</v>
      </c>
      <c r="E5" s="401"/>
      <c r="F5" s="146"/>
      <c r="G5" s="374"/>
      <c r="H5" s="161" t="s">
        <v>134</v>
      </c>
      <c r="I5" s="161"/>
    </row>
    <row r="6" spans="1:9">
      <c r="A6" s="24"/>
      <c r="B6" s="398"/>
      <c r="C6" s="9" t="s">
        <v>5</v>
      </c>
      <c r="D6" s="21" t="s">
        <v>129</v>
      </c>
      <c r="E6" s="383"/>
      <c r="F6" s="146"/>
      <c r="G6" s="375"/>
      <c r="H6" s="161" t="s">
        <v>134</v>
      </c>
      <c r="I6" s="161"/>
    </row>
    <row r="7" spans="1:9">
      <c r="A7" s="5" t="s">
        <v>74</v>
      </c>
      <c r="B7" s="396" t="s">
        <v>181</v>
      </c>
      <c r="C7" s="25" t="s">
        <v>3</v>
      </c>
      <c r="D7" s="18" t="s">
        <v>90</v>
      </c>
      <c r="E7" s="389" t="s">
        <v>41</v>
      </c>
      <c r="F7" s="142">
        <f>IF(AND(Overview!$E$17=DB!$B$14,H7="X"),IF(ISBLANK(E7),0,VLOOKUP(A7&amp;VLOOKUP(E7,DB!$V$14:$Y$19,2,FALSE),DB!$R$5:$S$684,2,FALSE)),IF(AND(Overview!$E$17=DB!$B$13,#REF!="X"),IF(ISBLANK(E7),0,VLOOKUP(A7&amp;VLOOKUP(E7,DB!$V$14:$Y$19,2,FALSE),DB!$R$5:$S$684,2,FALSE)),0))</f>
        <v>0</v>
      </c>
      <c r="G7" s="373"/>
      <c r="H7" s="160" t="s">
        <v>134</v>
      </c>
      <c r="I7" s="158"/>
    </row>
    <row r="8" spans="1:9">
      <c r="A8" s="8"/>
      <c r="B8" s="397"/>
      <c r="C8" s="26" t="s">
        <v>4</v>
      </c>
      <c r="D8" s="21" t="s">
        <v>88</v>
      </c>
      <c r="E8" s="390"/>
      <c r="F8" s="146"/>
      <c r="G8" s="374"/>
      <c r="H8" s="161" t="s">
        <v>134</v>
      </c>
      <c r="I8" s="170"/>
    </row>
    <row r="9" spans="1:9">
      <c r="A9" s="11"/>
      <c r="B9" s="398"/>
      <c r="C9" s="26" t="s">
        <v>5</v>
      </c>
      <c r="D9" s="21" t="s">
        <v>89</v>
      </c>
      <c r="E9" s="390"/>
      <c r="F9" s="147"/>
      <c r="G9" s="375"/>
      <c r="H9" s="132" t="s">
        <v>134</v>
      </c>
      <c r="I9" s="159"/>
    </row>
    <row r="10" spans="1:9">
      <c r="A10" s="155" t="s">
        <v>66</v>
      </c>
      <c r="B10" s="3" t="s">
        <v>179</v>
      </c>
      <c r="C10" s="4"/>
      <c r="D10" s="169" t="str">
        <f>IF(ISERROR(F10),"Error: Please check the answers " &amp;A10,"")</f>
        <v/>
      </c>
      <c r="E10" s="198">
        <f>IF(ISERROR(F10/VLOOKUP(A10,SubgroupsWeights,4,FALSE)),"",F10/VLOOKUP(A10,SubgroupsWeights,4,FALSE))</f>
        <v>0.45454545454545453</v>
      </c>
      <c r="F10" s="183">
        <f>SUM(F11:F27)</f>
        <v>25</v>
      </c>
      <c r="G10" s="122"/>
      <c r="H10" s="182" t="s">
        <v>134</v>
      </c>
      <c r="I10" s="182"/>
    </row>
    <row r="11" spans="1:9" ht="12.75" customHeight="1">
      <c r="A11" s="5" t="s">
        <v>75</v>
      </c>
      <c r="B11" s="396" t="s">
        <v>183</v>
      </c>
      <c r="C11" s="25" t="s">
        <v>3</v>
      </c>
      <c r="D11" s="7" t="s">
        <v>10</v>
      </c>
      <c r="E11" s="382" t="s">
        <v>41</v>
      </c>
      <c r="F11" s="163">
        <f>IF(AND(Overview!$E$17=DB!$B$14,H11="X"),IF(ISBLANK(E11),0,VLOOKUP(A11&amp;VLOOKUP(E11,DB!$V$14:$Y$19,2,FALSE),DB!$R$5:$S$684,2,FALSE)),IF(AND(Overview!$E$17=DB!$B$13,I11="X"),IF(ISBLANK(E11),0,VLOOKUP(A11&amp;VLOOKUP(E11,DB!$V$14:$Y$19,2,FALSE),DB!$R$5:$S$684,2,FALSE)),0))</f>
        <v>0</v>
      </c>
      <c r="G11" s="373"/>
      <c r="H11" s="171" t="s">
        <v>134</v>
      </c>
      <c r="I11" s="160"/>
    </row>
    <row r="12" spans="1:9">
      <c r="A12" s="8"/>
      <c r="B12" s="397"/>
      <c r="C12" s="296" t="s">
        <v>4</v>
      </c>
      <c r="D12" s="10" t="s">
        <v>9</v>
      </c>
      <c r="E12" s="383"/>
      <c r="F12" s="176"/>
      <c r="G12" s="374"/>
      <c r="H12" s="172" t="s">
        <v>134</v>
      </c>
      <c r="I12" s="161"/>
    </row>
    <row r="13" spans="1:9" ht="12.75" customHeight="1">
      <c r="A13" s="5" t="s">
        <v>192</v>
      </c>
      <c r="B13" s="380" t="s">
        <v>182</v>
      </c>
      <c r="C13" s="6" t="s">
        <v>3</v>
      </c>
      <c r="D13" s="7" t="s">
        <v>10</v>
      </c>
      <c r="E13" s="382" t="s">
        <v>41</v>
      </c>
      <c r="F13" s="142">
        <f>IF(AND(Overview!$E$17=DB!$B$14,H13="X"),IF(ISBLANK(E13),0,VLOOKUP(A13&amp;VLOOKUP(E13,DB!$V$14:$Y$19,2,FALSE),DB!$R$5:$S$684,2,FALSE)),IF(AND(Overview!$E$17=DB!$B$13,I13="X"),IF(ISBLANK(E13),0,VLOOKUP(A13&amp;VLOOKUP(E13,DB!$V$14:$Y$19,2,FALSE),DB!$R$5:$S$684,2,FALSE)),0))</f>
        <v>0</v>
      </c>
      <c r="G13" s="373"/>
      <c r="H13" s="160" t="s">
        <v>134</v>
      </c>
      <c r="I13" s="160"/>
    </row>
    <row r="14" spans="1:9">
      <c r="A14" s="8"/>
      <c r="B14" s="394"/>
      <c r="C14" s="9" t="s">
        <v>4</v>
      </c>
      <c r="D14" s="10" t="s">
        <v>9</v>
      </c>
      <c r="E14" s="383"/>
      <c r="F14" s="146"/>
      <c r="G14" s="375"/>
      <c r="H14" s="161" t="s">
        <v>134</v>
      </c>
      <c r="I14" s="161"/>
    </row>
    <row r="15" spans="1:9" ht="12.75" customHeight="1">
      <c r="A15" s="5" t="s">
        <v>76</v>
      </c>
      <c r="B15" s="380" t="s">
        <v>184</v>
      </c>
      <c r="C15" s="6" t="s">
        <v>3</v>
      </c>
      <c r="D15" s="234" t="s">
        <v>9</v>
      </c>
      <c r="E15" s="382" t="s">
        <v>42</v>
      </c>
      <c r="F15" s="142">
        <f>IF(AND(Overview!$E$17=DB!$B$14,H15="X"),IF(ISBLANK(E15),0,VLOOKUP(A15&amp;VLOOKUP(E15,DB!$V$14:$Y$19,2,FALSE),DB!$R$5:$S$684,2,FALSE)),IF(AND(Overview!$E$17=DB!$B$13,I15="X"),IF(ISBLANK(E15),0,VLOOKUP(A15&amp;VLOOKUP(E15,DB!$V$14:$Y$19,2,FALSE),DB!$R$5:$S$684,2,FALSE)),0))</f>
        <v>5</v>
      </c>
      <c r="G15" s="373"/>
      <c r="H15" s="160" t="s">
        <v>134</v>
      </c>
      <c r="I15" s="160"/>
    </row>
    <row r="16" spans="1:9">
      <c r="A16" s="8"/>
      <c r="B16" s="381"/>
      <c r="C16" s="9" t="s">
        <v>4</v>
      </c>
      <c r="D16" s="274" t="s">
        <v>10</v>
      </c>
      <c r="E16" s="383"/>
      <c r="F16" s="146"/>
      <c r="G16" s="374"/>
      <c r="H16" s="132" t="s">
        <v>134</v>
      </c>
      <c r="I16" s="132"/>
    </row>
    <row r="17" spans="1:9" ht="12.75" customHeight="1">
      <c r="A17" s="5" t="s">
        <v>77</v>
      </c>
      <c r="B17" s="380" t="s">
        <v>185</v>
      </c>
      <c r="C17" s="6" t="s">
        <v>3</v>
      </c>
      <c r="D17" s="7" t="s">
        <v>91</v>
      </c>
      <c r="E17" s="382" t="s">
        <v>41</v>
      </c>
      <c r="F17" s="142">
        <f>IF(AND(Overview!$E$17=DB!$B$14,H17="X"),IF(ISBLANK(E17),0,VLOOKUP(A17&amp;VLOOKUP(E17,DB!$V$14:$Y$19,2,FALSE),DB!$R$5:$S$684,2,FALSE)),IF(AND(Overview!$E$17=DB!$B$13,I17="X"),IF(ISBLANK(E17),0,VLOOKUP(A17&amp;VLOOKUP(E17,DB!$V$14:$Y$19,2,FALSE),DB!$R$5:$S$684,2,FALSE)),0))</f>
        <v>0</v>
      </c>
      <c r="G17" s="373"/>
      <c r="H17" s="161" t="s">
        <v>134</v>
      </c>
      <c r="I17" s="160"/>
    </row>
    <row r="18" spans="1:9">
      <c r="A18" s="8"/>
      <c r="B18" s="394"/>
      <c r="C18" s="9" t="s">
        <v>4</v>
      </c>
      <c r="D18" s="10" t="s">
        <v>108</v>
      </c>
      <c r="E18" s="401"/>
      <c r="F18" s="146"/>
      <c r="G18" s="374"/>
      <c r="H18" s="161" t="s">
        <v>134</v>
      </c>
      <c r="I18" s="161"/>
    </row>
    <row r="19" spans="1:9">
      <c r="A19" s="8"/>
      <c r="B19" s="394"/>
      <c r="C19" s="9" t="s">
        <v>5</v>
      </c>
      <c r="D19" s="10" t="s">
        <v>92</v>
      </c>
      <c r="E19" s="401"/>
      <c r="F19" s="146"/>
      <c r="G19" s="374"/>
      <c r="H19" s="161" t="s">
        <v>134</v>
      </c>
      <c r="I19" s="161"/>
    </row>
    <row r="20" spans="1:9">
      <c r="A20" s="11"/>
      <c r="B20" s="381"/>
      <c r="C20" s="12" t="s">
        <v>6</v>
      </c>
      <c r="D20" s="13" t="s">
        <v>13</v>
      </c>
      <c r="E20" s="383"/>
      <c r="F20" s="147"/>
      <c r="G20" s="374"/>
      <c r="H20" s="132" t="s">
        <v>134</v>
      </c>
      <c r="I20" s="132"/>
    </row>
    <row r="21" spans="1:9" ht="12.75" customHeight="1">
      <c r="A21" s="5" t="s">
        <v>193</v>
      </c>
      <c r="B21" s="380" t="s">
        <v>109</v>
      </c>
      <c r="C21" s="6" t="s">
        <v>3</v>
      </c>
      <c r="D21" s="7" t="s">
        <v>14</v>
      </c>
      <c r="E21" s="382" t="s">
        <v>43</v>
      </c>
      <c r="F21" s="142">
        <f>IF(AND(Overview!$E$17=DB!$B$14,H21="X"),IF(ISBLANK(E21),0,VLOOKUP(A21&amp;VLOOKUP(E21,DB!$V$14:$Y$19,2,FALSE),DB!$R$5:$S$684,2,FALSE)),IF(AND(Overview!$E$17=DB!$B$13,I21="X"),IF(ISBLANK(E21),0,VLOOKUP(A21&amp;VLOOKUP(E21,DB!$V$14:$Y$19,2,FALSE),DB!$R$5:$S$684,2,FALSE)),0))</f>
        <v>10</v>
      </c>
      <c r="G21" s="373"/>
      <c r="H21" s="161" t="s">
        <v>134</v>
      </c>
      <c r="I21" s="160"/>
    </row>
    <row r="22" spans="1:9" ht="12.75" customHeight="1">
      <c r="A22" s="8"/>
      <c r="B22" s="394"/>
      <c r="C22" s="9" t="s">
        <v>4</v>
      </c>
      <c r="D22" s="10" t="s">
        <v>15</v>
      </c>
      <c r="E22" s="401"/>
      <c r="F22" s="146"/>
      <c r="G22" s="374"/>
      <c r="H22" s="161" t="s">
        <v>134</v>
      </c>
      <c r="I22" s="161"/>
    </row>
    <row r="23" spans="1:9" ht="12.75" customHeight="1">
      <c r="A23" s="8"/>
      <c r="B23" s="394"/>
      <c r="C23" s="9" t="s">
        <v>5</v>
      </c>
      <c r="D23" s="10" t="s">
        <v>16</v>
      </c>
      <c r="E23" s="401"/>
      <c r="F23" s="146"/>
      <c r="G23" s="374"/>
      <c r="H23" s="161" t="s">
        <v>134</v>
      </c>
      <c r="I23" s="161"/>
    </row>
    <row r="24" spans="1:9" ht="12.75" customHeight="1">
      <c r="A24" s="11"/>
      <c r="B24" s="381"/>
      <c r="C24" s="12" t="s">
        <v>6</v>
      </c>
      <c r="D24" s="13" t="s">
        <v>17</v>
      </c>
      <c r="E24" s="383"/>
      <c r="F24" s="147"/>
      <c r="G24" s="374"/>
      <c r="H24" s="132" t="s">
        <v>134</v>
      </c>
      <c r="I24" s="132"/>
    </row>
    <row r="25" spans="1:9" ht="12.75" customHeight="1">
      <c r="A25" s="5" t="s">
        <v>194</v>
      </c>
      <c r="B25" s="380" t="s">
        <v>152</v>
      </c>
      <c r="C25" s="6" t="s">
        <v>3</v>
      </c>
      <c r="D25" s="7" t="s">
        <v>20</v>
      </c>
      <c r="E25" s="389" t="s">
        <v>43</v>
      </c>
      <c r="F25" s="142">
        <f>IF(AND(Overview!$E$17=DB!$B$14,H25="X"),IF(ISBLANK(E25),0,VLOOKUP(A25&amp;VLOOKUP(E25,DB!$V$14:$Y$19,2,FALSE),DB!$R$5:$S$684,2,FALSE)),IF(AND(Overview!$E$17=DB!$B$13,I25="X"),IF(ISBLANK(E25),0,VLOOKUP(A25&amp;VLOOKUP(E25,DB!$V$14:$Y$19,2,FALSE),DB!$R$5:$S$684,2,FALSE)),0))</f>
        <v>10</v>
      </c>
      <c r="G25" s="373"/>
      <c r="H25" s="160" t="s">
        <v>134</v>
      </c>
      <c r="I25" s="160"/>
    </row>
    <row r="26" spans="1:9">
      <c r="A26" s="8"/>
      <c r="B26" s="394"/>
      <c r="C26" s="9" t="s">
        <v>4</v>
      </c>
      <c r="D26" s="10" t="s">
        <v>21</v>
      </c>
      <c r="E26" s="390"/>
      <c r="F26" s="146"/>
      <c r="G26" s="374"/>
      <c r="H26" s="161" t="s">
        <v>134</v>
      </c>
      <c r="I26" s="161"/>
    </row>
    <row r="27" spans="1:9">
      <c r="A27" s="11"/>
      <c r="B27" s="381"/>
      <c r="C27" s="12" t="s">
        <v>5</v>
      </c>
      <c r="D27" s="13" t="s">
        <v>22</v>
      </c>
      <c r="E27" s="390"/>
      <c r="F27" s="147"/>
      <c r="G27" s="375"/>
      <c r="H27" s="132" t="s">
        <v>134</v>
      </c>
      <c r="I27" s="132"/>
    </row>
    <row r="28" spans="1:9">
      <c r="A28" s="4" t="s">
        <v>67</v>
      </c>
      <c r="B28" s="3" t="s">
        <v>166</v>
      </c>
      <c r="C28" s="4"/>
      <c r="D28" s="4" t="str">
        <f>IF(ISERROR(F28),"Error: Please check the answers " &amp;A28,"")</f>
        <v/>
      </c>
      <c r="E28" s="198">
        <f>IF(ISERROR(F28/VLOOKUP(A28,SubgroupsWeights,4,FALSE)),"",F28/VLOOKUP(A28,SubgroupsWeights,4,FALSE))</f>
        <v>0.625</v>
      </c>
      <c r="F28" s="183">
        <f>SUM(F29:F40)</f>
        <v>25</v>
      </c>
      <c r="G28" s="122"/>
      <c r="H28" s="182" t="s">
        <v>134</v>
      </c>
      <c r="I28" s="182"/>
    </row>
    <row r="29" spans="1:9" ht="12.75" customHeight="1">
      <c r="A29" s="5" t="s">
        <v>78</v>
      </c>
      <c r="B29" s="380" t="s">
        <v>161</v>
      </c>
      <c r="C29" s="6" t="s">
        <v>3</v>
      </c>
      <c r="D29" s="7" t="s">
        <v>162</v>
      </c>
      <c r="E29" s="389" t="s">
        <v>43</v>
      </c>
      <c r="F29" s="142">
        <f>IF(AND(Overview!$E$17=DB!$B$14,H29="X"),IF(ISBLANK(E29),0,VLOOKUP(A29&amp;VLOOKUP(E29,DB!$V$14:$Y$19,2,FALSE),DB!$R$5:$S$684,2,FALSE)),IF(AND(Overview!$E$17=DB!$B$13,I29="X"),IF(ISBLANK(E29),0,VLOOKUP(A29&amp;VLOOKUP(E29,DB!$V$14:$Y$19,2,FALSE),DB!$R$5:$S$684,2,FALSE)),0))</f>
        <v>10</v>
      </c>
      <c r="G29" s="373"/>
      <c r="H29" s="160" t="s">
        <v>134</v>
      </c>
      <c r="I29" s="160"/>
    </row>
    <row r="30" spans="1:9">
      <c r="A30" s="8"/>
      <c r="B30" s="394"/>
      <c r="C30" s="9" t="s">
        <v>4</v>
      </c>
      <c r="D30" s="10" t="s">
        <v>163</v>
      </c>
      <c r="E30" s="390"/>
      <c r="F30" s="146"/>
      <c r="G30" s="374"/>
      <c r="H30" s="161" t="s">
        <v>134</v>
      </c>
      <c r="I30" s="161"/>
    </row>
    <row r="31" spans="1:9">
      <c r="A31" s="11"/>
      <c r="B31" s="381"/>
      <c r="C31" s="12" t="s">
        <v>5</v>
      </c>
      <c r="D31" s="13" t="s">
        <v>164</v>
      </c>
      <c r="E31" s="390"/>
      <c r="F31" s="147"/>
      <c r="G31" s="375"/>
      <c r="H31" s="132" t="s">
        <v>134</v>
      </c>
      <c r="I31" s="132"/>
    </row>
    <row r="32" spans="1:9">
      <c r="A32" s="5" t="s">
        <v>151</v>
      </c>
      <c r="B32" s="380" t="s">
        <v>135</v>
      </c>
      <c r="C32" s="6" t="s">
        <v>3</v>
      </c>
      <c r="D32" s="7" t="s">
        <v>93</v>
      </c>
      <c r="E32" s="389" t="s">
        <v>42</v>
      </c>
      <c r="F32" s="142">
        <f>IF(AND(Overview!$E$17=DB!$B$14,H32="X"),IF(ISBLANK(E32),0,VLOOKUP(A32&amp;VLOOKUP(E32,DB!$V$14:$Y$19,2,FALSE),DB!$R$5:$S$684,2,FALSE)),IF(AND(Overview!$E$17=DB!$B$13,I32="X"),IF(ISBLANK(E32),0,VLOOKUP(A32&amp;VLOOKUP(E32,DB!$V$14:$Y$19,2,FALSE),DB!$R$5:$S$684,2,FALSE)),0))</f>
        <v>5</v>
      </c>
      <c r="G32" s="373"/>
      <c r="H32" s="160" t="s">
        <v>134</v>
      </c>
      <c r="I32" s="160"/>
    </row>
    <row r="33" spans="1:9">
      <c r="A33" s="8"/>
      <c r="B33" s="394"/>
      <c r="C33" s="9" t="s">
        <v>4</v>
      </c>
      <c r="D33" s="10" t="s">
        <v>94</v>
      </c>
      <c r="E33" s="390"/>
      <c r="F33" s="146"/>
      <c r="G33" s="374"/>
      <c r="H33" s="161" t="s">
        <v>134</v>
      </c>
      <c r="I33" s="161"/>
    </row>
    <row r="34" spans="1:9">
      <c r="A34" s="11"/>
      <c r="B34" s="381"/>
      <c r="C34" s="12" t="s">
        <v>5</v>
      </c>
      <c r="D34" s="13" t="s">
        <v>95</v>
      </c>
      <c r="E34" s="390"/>
      <c r="F34" s="147"/>
      <c r="G34" s="375"/>
      <c r="H34" s="132" t="s">
        <v>134</v>
      </c>
      <c r="I34" s="132"/>
    </row>
    <row r="35" spans="1:9">
      <c r="A35" s="5" t="s">
        <v>150</v>
      </c>
      <c r="B35" s="380" t="s">
        <v>186</v>
      </c>
      <c r="C35" s="6" t="s">
        <v>3</v>
      </c>
      <c r="D35" s="7" t="s">
        <v>23</v>
      </c>
      <c r="E35" s="389" t="s">
        <v>42</v>
      </c>
      <c r="F35" s="142">
        <f>IF(AND(Overview!$E$17=DB!$B$14,H35="X"),IF(ISBLANK(E35),0,VLOOKUP(A35&amp;VLOOKUP(E35,DB!$V$14:$Y$19,2,FALSE),DB!$R$5:$S$684,2,FALSE)),IF(AND(Overview!$E$17=DB!$B$13,I35="X"),IF(ISBLANK(E35),0,VLOOKUP(A35&amp;VLOOKUP(E35,DB!$V$14:$Y$19,2,FALSE),DB!$R$5:$S$684,2,FALSE)),0))</f>
        <v>5</v>
      </c>
      <c r="G35" s="373"/>
      <c r="H35" s="160" t="s">
        <v>134</v>
      </c>
      <c r="I35" s="160"/>
    </row>
    <row r="36" spans="1:9">
      <c r="A36" s="8"/>
      <c r="B36" s="394"/>
      <c r="C36" s="9" t="s">
        <v>4</v>
      </c>
      <c r="D36" s="10" t="s">
        <v>19</v>
      </c>
      <c r="E36" s="390"/>
      <c r="F36" s="146"/>
      <c r="G36" s="374"/>
      <c r="H36" s="161" t="s">
        <v>134</v>
      </c>
      <c r="I36" s="161"/>
    </row>
    <row r="37" spans="1:9">
      <c r="A37" s="11"/>
      <c r="B37" s="381"/>
      <c r="C37" s="12" t="s">
        <v>5</v>
      </c>
      <c r="D37" s="13" t="s">
        <v>18</v>
      </c>
      <c r="E37" s="390"/>
      <c r="F37" s="147"/>
      <c r="G37" s="375"/>
      <c r="H37" s="161" t="s">
        <v>134</v>
      </c>
      <c r="I37" s="132"/>
    </row>
    <row r="38" spans="1:9" ht="12.75" customHeight="1">
      <c r="A38" s="5" t="s">
        <v>200</v>
      </c>
      <c r="B38" s="380" t="s">
        <v>153</v>
      </c>
      <c r="C38" s="6" t="s">
        <v>3</v>
      </c>
      <c r="D38" s="7" t="s">
        <v>96</v>
      </c>
      <c r="E38" s="389" t="s">
        <v>42</v>
      </c>
      <c r="F38" s="142">
        <f>IF(AND(Overview!$E$17=DB!$B$14,H38="X"),IF(ISBLANK(E38),0,VLOOKUP(A38&amp;VLOOKUP(E38,DB!$V$14:$Y$19,2,FALSE),DB!$R$5:$S$684,2,FALSE)),IF(AND(Overview!$E$17=DB!$B$13,I38="X"),IF(ISBLANK(E38),0,VLOOKUP(A38&amp;VLOOKUP(E38,DB!$V$14:$Y$19,2,FALSE),DB!$R$5:$S$684,2,FALSE)),0))</f>
        <v>5</v>
      </c>
      <c r="G38" s="373"/>
      <c r="H38" s="160" t="s">
        <v>134</v>
      </c>
      <c r="I38" s="160"/>
    </row>
    <row r="39" spans="1:9">
      <c r="A39" s="8"/>
      <c r="B39" s="394"/>
      <c r="C39" s="9" t="s">
        <v>4</v>
      </c>
      <c r="D39" s="10" t="s">
        <v>1</v>
      </c>
      <c r="E39" s="390"/>
      <c r="F39" s="146"/>
      <c r="G39" s="374"/>
      <c r="H39" s="161" t="s">
        <v>134</v>
      </c>
      <c r="I39" s="161"/>
    </row>
    <row r="40" spans="1:9">
      <c r="A40" s="11"/>
      <c r="B40" s="381"/>
      <c r="C40" s="12" t="s">
        <v>5</v>
      </c>
      <c r="D40" s="13" t="s">
        <v>2</v>
      </c>
      <c r="E40" s="390"/>
      <c r="F40" s="147"/>
      <c r="G40" s="375"/>
      <c r="H40" s="132" t="s">
        <v>134</v>
      </c>
      <c r="I40" s="132"/>
    </row>
  </sheetData>
  <sheetProtection algorithmName="SHA-1" hashValue="3WBSU6/r5UfmntId0bL+GeAjB8I=" saltValue="ABPaSFyMFkSwzIShYQWGoA==" spinCount="100000" sheet="1" formatCells="0" formatColumns="0" formatRows="0"/>
  <customSheetViews>
    <customSheetView guid="{1154F82E-F7BA-4227-A6C8-AEBBEAEC668B}" showRuler="0" topLeftCell="A70">
      <selection activeCell="D65" sqref="D65"/>
      <rowBreaks count="1" manualBreakCount="1">
        <brk id="53" max="16383" man="1"/>
      </rowBreaks>
      <pageMargins left="0.4" right="0.45" top="0.5" bottom="0.46" header="0.5" footer="0.33"/>
      <pageSetup paperSize="9" orientation="portrait" r:id="rId1"/>
      <headerFooter alignWithMargins="0"/>
    </customSheetView>
    <customSheetView guid="{20989AFF-92B9-4E9B-AADA-8707EC412383}" hiddenColumns="1" showRuler="0" topLeftCell="A34">
      <selection activeCell="D69" sqref="D69"/>
      <rowBreaks count="1" manualBreakCount="1">
        <brk id="47" max="16383" man="1"/>
      </rowBreaks>
      <pageMargins left="0.39370078740157483" right="0.39370078740157483" top="0.78740157480314965" bottom="0.51181102362204722" header="0.51181102362204722" footer="0.39370078740157483"/>
      <printOptions horizontalCentered="1"/>
      <pageSetup paperSize="9" orientation="portrait" r:id="rId2"/>
      <headerFooter alignWithMargins="0">
        <oddHeader>&amp;LInitial Risk Assessment&amp;C&amp;A&amp;R&amp;D</oddHeader>
        <oddFooter>&amp;L&amp;F&amp;R&amp;P / &amp;N</oddFooter>
      </headerFooter>
    </customSheetView>
  </customSheetViews>
  <mergeCells count="39">
    <mergeCell ref="G11:G12"/>
    <mergeCell ref="G4:G6"/>
    <mergeCell ref="B29:B31"/>
    <mergeCell ref="B17:B20"/>
    <mergeCell ref="B7:B9"/>
    <mergeCell ref="B11:B12"/>
    <mergeCell ref="G7:G9"/>
    <mergeCell ref="E7:E9"/>
    <mergeCell ref="E15:E16"/>
    <mergeCell ref="E17:E20"/>
    <mergeCell ref="E29:E31"/>
    <mergeCell ref="E11:E12"/>
    <mergeCell ref="G32:G34"/>
    <mergeCell ref="B13:B14"/>
    <mergeCell ref="E21:E24"/>
    <mergeCell ref="B21:B24"/>
    <mergeCell ref="B32:B34"/>
    <mergeCell ref="B15:B16"/>
    <mergeCell ref="B25:B27"/>
    <mergeCell ref="E25:E27"/>
    <mergeCell ref="E32:E34"/>
    <mergeCell ref="G13:G14"/>
    <mergeCell ref="G21:G24"/>
    <mergeCell ref="G25:G27"/>
    <mergeCell ref="G29:G31"/>
    <mergeCell ref="G15:G16"/>
    <mergeCell ref="G17:G20"/>
    <mergeCell ref="E13:E14"/>
    <mergeCell ref="A1:B1"/>
    <mergeCell ref="D1:E1"/>
    <mergeCell ref="A2:D2"/>
    <mergeCell ref="B4:B6"/>
    <mergeCell ref="E4:E6"/>
    <mergeCell ref="G38:G40"/>
    <mergeCell ref="G35:G37"/>
    <mergeCell ref="E38:E40"/>
    <mergeCell ref="B38:B40"/>
    <mergeCell ref="B35:B37"/>
    <mergeCell ref="E35:E37"/>
  </mergeCells>
  <phoneticPr fontId="10" type="noConversion"/>
  <conditionalFormatting sqref="E4:G6 E11:G24 F29:G40 F7:G9 F25:G27">
    <cfRule type="cellIs" dxfId="39" priority="17" stopIfTrue="1" operator="equal">
      <formula>""</formula>
    </cfRule>
  </conditionalFormatting>
  <conditionalFormatting sqref="G2 E2">
    <cfRule type="cellIs" dxfId="38" priority="18" stopIfTrue="1" operator="equal">
      <formula>"Non"</formula>
    </cfRule>
    <cfRule type="cellIs" dxfId="37" priority="19" stopIfTrue="1" operator="equal">
      <formula>"Oui"</formula>
    </cfRule>
  </conditionalFormatting>
  <conditionalFormatting sqref="G15">
    <cfRule type="cellIs" dxfId="36" priority="16" stopIfTrue="1" operator="equal">
      <formula>""</formula>
    </cfRule>
  </conditionalFormatting>
  <conditionalFormatting sqref="G17">
    <cfRule type="cellIs" dxfId="35" priority="15" stopIfTrue="1" operator="equal">
      <formula>""</formula>
    </cfRule>
  </conditionalFormatting>
  <conditionalFormatting sqref="G21">
    <cfRule type="cellIs" dxfId="34" priority="14" stopIfTrue="1" operator="equal">
      <formula>""</formula>
    </cfRule>
  </conditionalFormatting>
  <conditionalFormatting sqref="G25:G27">
    <cfRule type="cellIs" dxfId="33" priority="13" stopIfTrue="1" operator="equal">
      <formula>""</formula>
    </cfRule>
  </conditionalFormatting>
  <conditionalFormatting sqref="G29:G31">
    <cfRule type="cellIs" dxfId="32" priority="12" stopIfTrue="1" operator="equal">
      <formula>""</formula>
    </cfRule>
  </conditionalFormatting>
  <conditionalFormatting sqref="G32:G34">
    <cfRule type="cellIs" dxfId="31" priority="11" stopIfTrue="1" operator="equal">
      <formula>""</formula>
    </cfRule>
  </conditionalFormatting>
  <conditionalFormatting sqref="E13:E14">
    <cfRule type="cellIs" dxfId="30" priority="9" stopIfTrue="1" operator="equal">
      <formula>""</formula>
    </cfRule>
  </conditionalFormatting>
  <conditionalFormatting sqref="E15:E16">
    <cfRule type="cellIs" dxfId="29" priority="8" stopIfTrue="1" operator="equal">
      <formula>""</formula>
    </cfRule>
  </conditionalFormatting>
  <conditionalFormatting sqref="E11:E12">
    <cfRule type="cellIs" dxfId="28" priority="7" stopIfTrue="1" operator="equal">
      <formula>""</formula>
    </cfRule>
  </conditionalFormatting>
  <conditionalFormatting sqref="E29:E31">
    <cfRule type="cellIs" dxfId="27" priority="6" stopIfTrue="1" operator="equal">
      <formula>""</formula>
    </cfRule>
  </conditionalFormatting>
  <conditionalFormatting sqref="E32:E34">
    <cfRule type="cellIs" dxfId="26" priority="5" stopIfTrue="1" operator="equal">
      <formula>""</formula>
    </cfRule>
  </conditionalFormatting>
  <conditionalFormatting sqref="E35:E37">
    <cfRule type="cellIs" dxfId="25" priority="4" stopIfTrue="1" operator="equal">
      <formula>""</formula>
    </cfRule>
  </conditionalFormatting>
  <conditionalFormatting sqref="E38:E40">
    <cfRule type="cellIs" dxfId="24" priority="3" stopIfTrue="1" operator="equal">
      <formula>""</formula>
    </cfRule>
  </conditionalFormatting>
  <conditionalFormatting sqref="E7:E9">
    <cfRule type="cellIs" dxfId="23" priority="2" stopIfTrue="1" operator="equal">
      <formula>""</formula>
    </cfRule>
  </conditionalFormatting>
  <conditionalFormatting sqref="E25:E27">
    <cfRule type="cellIs" dxfId="22" priority="1" stopIfTrue="1" operator="equal">
      <formula>""</formula>
    </cfRule>
  </conditionalFormatting>
  <dataValidations count="3">
    <dataValidation type="list" allowBlank="1" showInputMessage="1" showErrorMessage="1" sqref="E38:E40 E35 E4 E7 E32 E25 E29">
      <formula1>Option3</formula1>
    </dataValidation>
    <dataValidation type="list" allowBlank="1" showInputMessage="1" showErrorMessage="1" sqref="E11:E16">
      <formula1>Option2</formula1>
    </dataValidation>
    <dataValidation type="list" showInputMessage="1" showErrorMessage="1" sqref="E17:E24">
      <formula1>Option4</formula1>
    </dataValidation>
  </dataValidations>
  <printOptions horizontalCentered="1"/>
  <pageMargins left="0.19685039370078741" right="0.11811023622047245" top="0.74803149606299213" bottom="0.78740157480314965" header="0.51181102362204722" footer="0.51181102362204722"/>
  <pageSetup paperSize="9" scale="84" orientation="landscape" r:id="rId3"/>
  <headerFooter alignWithMargins="0">
    <oddHeader>&amp;LProject Initial Risks Assessment&amp;C&amp;A&amp;R&amp;D</oddHeader>
    <oddFooter>&amp;L&amp;F&amp;R&amp;P / &amp;N</oddFooter>
  </headerFooter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6"/>
  <sheetViews>
    <sheetView zoomScale="90" zoomScaleNormal="100" workbookViewId="0">
      <selection activeCell="E25" sqref="E25:E29"/>
    </sheetView>
  </sheetViews>
  <sheetFormatPr defaultColWidth="10.6640625" defaultRowHeight="12.75"/>
  <cols>
    <col min="1" max="1" width="7.5" style="2" customWidth="1"/>
    <col min="2" max="2" width="70.83203125" style="1" customWidth="1"/>
    <col min="3" max="3" width="3.33203125" style="1" customWidth="1"/>
    <col min="4" max="4" width="71" style="1" customWidth="1"/>
    <col min="5" max="5" width="14.1640625" style="1" customWidth="1"/>
    <col min="6" max="6" width="7.1640625" style="149" hidden="1" customWidth="1"/>
    <col min="7" max="7" width="45.83203125" style="2" customWidth="1"/>
    <col min="8" max="8" width="6.1640625" style="1" hidden="1" customWidth="1"/>
    <col min="9" max="9" width="11.1640625" style="1" hidden="1" customWidth="1"/>
    <col min="10" max="16384" width="10.6640625" style="1"/>
  </cols>
  <sheetData>
    <row r="1" spans="1:9" ht="15.75" customHeight="1" thickBot="1">
      <c r="A1" s="404" t="s">
        <v>126</v>
      </c>
      <c r="B1" s="404"/>
      <c r="C1" s="22"/>
      <c r="D1" s="395"/>
      <c r="E1" s="406"/>
      <c r="F1" s="177"/>
      <c r="G1" s="203"/>
    </row>
    <row r="2" spans="1:9" ht="12" customHeight="1" thickBot="1">
      <c r="A2" s="400" t="str">
        <f>"Current phase: " &amp; Overview!E19</f>
        <v>Current phase: Definition</v>
      </c>
      <c r="B2" s="400"/>
      <c r="C2" s="400"/>
      <c r="D2" s="400"/>
      <c r="E2" s="104" t="s">
        <v>62</v>
      </c>
      <c r="F2" s="141"/>
      <c r="G2" s="104" t="s">
        <v>117</v>
      </c>
      <c r="H2" s="154" t="s">
        <v>132</v>
      </c>
      <c r="I2" s="135" t="s">
        <v>133</v>
      </c>
    </row>
    <row r="3" spans="1:9">
      <c r="A3" s="4" t="s">
        <v>68</v>
      </c>
      <c r="B3" s="208" t="s">
        <v>79</v>
      </c>
      <c r="C3" s="4"/>
      <c r="D3" s="169" t="str">
        <f>IF(ISERROR(F3),"Error: Please check the answers " &amp;A3,"")</f>
        <v/>
      </c>
      <c r="E3" s="198">
        <f>IF(ISERROR(F3/VLOOKUP(A3,SubgroupsWeights,4,FALSE)),"",F3/VLOOKUP(A3,SubgroupsWeights,4,FALSE))</f>
        <v>0.9</v>
      </c>
      <c r="F3" s="183">
        <f>SUM(F4:F20)</f>
        <v>45</v>
      </c>
      <c r="G3" s="295"/>
      <c r="H3" s="178" t="s">
        <v>134</v>
      </c>
      <c r="I3" s="179"/>
    </row>
    <row r="4" spans="1:9" ht="13.5" customHeight="1">
      <c r="A4" s="5" t="s">
        <v>154</v>
      </c>
      <c r="B4" s="405" t="s">
        <v>149</v>
      </c>
      <c r="C4" s="6" t="s">
        <v>3</v>
      </c>
      <c r="D4" s="7" t="s">
        <v>27</v>
      </c>
      <c r="E4" s="389" t="s">
        <v>42</v>
      </c>
      <c r="F4" s="163">
        <f>IF(AND(Overview!$E$17=DB!$B$14,H4="X"),IF(ISBLANK(E4),0,VLOOKUP(A4&amp;VLOOKUP(E4,DB!$V$14:$Y$19,2,FALSE),DB!$R$5:$S$684,2,FALSE)),IF(AND(Overview!$E$17=DB!$B$13,I4="X"),IF(ISBLANK(E4),0,VLOOKUP(A4&amp;VLOOKUP(E4,DB!$V$14:$Y$19,2,FALSE),DB!$R$5:$S$684,2,FALSE)),0))</f>
        <v>5</v>
      </c>
      <c r="G4" s="376"/>
      <c r="H4" s="166" t="s">
        <v>134</v>
      </c>
      <c r="I4" s="166"/>
    </row>
    <row r="5" spans="1:9" ht="13.5" customHeight="1">
      <c r="A5" s="8"/>
      <c r="B5" s="405"/>
      <c r="C5" s="9" t="s">
        <v>4</v>
      </c>
      <c r="D5" s="10" t="s">
        <v>28</v>
      </c>
      <c r="E5" s="390"/>
      <c r="F5" s="220"/>
      <c r="G5" s="374"/>
      <c r="H5" s="167" t="s">
        <v>134</v>
      </c>
      <c r="I5" s="167"/>
    </row>
    <row r="6" spans="1:9" ht="13.5" customHeight="1">
      <c r="A6" s="11"/>
      <c r="B6" s="405"/>
      <c r="C6" s="12" t="s">
        <v>5</v>
      </c>
      <c r="D6" s="13" t="s">
        <v>29</v>
      </c>
      <c r="E6" s="390"/>
      <c r="F6" s="221"/>
      <c r="G6" s="375"/>
      <c r="H6" s="168" t="s">
        <v>134</v>
      </c>
      <c r="I6" s="168"/>
    </row>
    <row r="7" spans="1:9" ht="13.5" customHeight="1">
      <c r="A7" s="5" t="s">
        <v>195</v>
      </c>
      <c r="B7" s="15" t="s">
        <v>130</v>
      </c>
      <c r="C7" s="25" t="s">
        <v>3</v>
      </c>
      <c r="D7" s="7" t="s">
        <v>85</v>
      </c>
      <c r="E7" s="382" t="s">
        <v>43</v>
      </c>
      <c r="F7" s="163">
        <f>IF(AND(Overview!$E$17=DB!$B$14,H7="X"),IF(ISBLANK(E7),0,VLOOKUP(A7&amp;VLOOKUP(E7,DB!$V$14:$Y$19,2,FALSE),DB!$R$5:$S$684,2,FALSE)),IF(AND(Overview!$E$17=DB!$B$13,I7="X"),IF(ISBLANK(E7),0,VLOOKUP(A7&amp;VLOOKUP(E7,DB!$V$14:$Y$19,2,FALSE),DB!$R$5:$S$684,2,FALSE)),0))</f>
        <v>10</v>
      </c>
      <c r="G7" s="373"/>
      <c r="H7" s="166" t="s">
        <v>134</v>
      </c>
      <c r="I7" s="213"/>
    </row>
    <row r="8" spans="1:9" ht="13.5" customHeight="1">
      <c r="A8" s="8"/>
      <c r="B8" s="16"/>
      <c r="C8" s="26" t="s">
        <v>4</v>
      </c>
      <c r="D8" s="10" t="s">
        <v>100</v>
      </c>
      <c r="E8" s="401"/>
      <c r="F8" s="222"/>
      <c r="G8" s="374"/>
      <c r="H8" s="167" t="s">
        <v>134</v>
      </c>
      <c r="I8" s="214"/>
    </row>
    <row r="9" spans="1:9" ht="13.5" customHeight="1">
      <c r="A9" s="8"/>
      <c r="B9" s="16"/>
      <c r="C9" s="26" t="s">
        <v>5</v>
      </c>
      <c r="D9" s="10" t="s">
        <v>86</v>
      </c>
      <c r="E9" s="401"/>
      <c r="F9" s="222"/>
      <c r="G9" s="374"/>
      <c r="H9" s="167" t="s">
        <v>134</v>
      </c>
      <c r="I9" s="214"/>
    </row>
    <row r="10" spans="1:9" ht="13.5" customHeight="1">
      <c r="A10" s="11"/>
      <c r="B10" s="14"/>
      <c r="C10" s="12" t="s">
        <v>6</v>
      </c>
      <c r="D10" s="281" t="s">
        <v>148</v>
      </c>
      <c r="E10" s="383"/>
      <c r="F10" s="223"/>
      <c r="G10" s="375"/>
      <c r="H10" s="168" t="s">
        <v>134</v>
      </c>
      <c r="I10" s="215"/>
    </row>
    <row r="11" spans="1:9" ht="13.5" customHeight="1">
      <c r="A11" s="5" t="s">
        <v>196</v>
      </c>
      <c r="B11" s="405" t="s">
        <v>167</v>
      </c>
      <c r="C11" s="6" t="s">
        <v>3</v>
      </c>
      <c r="D11" s="7" t="s">
        <v>31</v>
      </c>
      <c r="E11" s="382" t="s">
        <v>44</v>
      </c>
      <c r="F11" s="163">
        <f>IF(AND(Overview!$E$17=DB!$B$14,H11="X"),IF(ISBLANK(E11),0,VLOOKUP(A11&amp;VLOOKUP(E11,DB!$V$14:$Y$19,2,FALSE),DB!$R$5:$S$684,2,FALSE)),IF(AND(Overview!$E$17=DB!$B$13,I11="X"),IF(ISBLANK(E11),0,VLOOKUP(A11&amp;VLOOKUP(E11,DB!$V$14:$Y$19,2,FALSE),DB!$R$5:$S$684,2,FALSE)),0))</f>
        <v>15</v>
      </c>
      <c r="G11" s="373"/>
      <c r="H11" s="166" t="s">
        <v>134</v>
      </c>
      <c r="I11" s="166"/>
    </row>
    <row r="12" spans="1:9" ht="13.5" customHeight="1">
      <c r="A12" s="8"/>
      <c r="B12" s="405"/>
      <c r="C12" s="9" t="s">
        <v>4</v>
      </c>
      <c r="D12" s="10" t="s">
        <v>32</v>
      </c>
      <c r="E12" s="401"/>
      <c r="F12" s="220"/>
      <c r="G12" s="374"/>
      <c r="H12" s="167" t="s">
        <v>134</v>
      </c>
      <c r="I12" s="167"/>
    </row>
    <row r="13" spans="1:9" ht="13.5" customHeight="1">
      <c r="A13" s="8"/>
      <c r="B13" s="405"/>
      <c r="C13" s="9" t="s">
        <v>5</v>
      </c>
      <c r="D13" s="10" t="s">
        <v>33</v>
      </c>
      <c r="E13" s="401"/>
      <c r="F13" s="220"/>
      <c r="G13" s="374"/>
      <c r="H13" s="167" t="s">
        <v>134</v>
      </c>
      <c r="I13" s="167"/>
    </row>
    <row r="14" spans="1:9" ht="13.5" customHeight="1">
      <c r="A14" s="8"/>
      <c r="B14" s="405"/>
      <c r="C14" s="9" t="s">
        <v>6</v>
      </c>
      <c r="D14" s="10" t="s">
        <v>34</v>
      </c>
      <c r="E14" s="383"/>
      <c r="F14" s="220"/>
      <c r="G14" s="375"/>
      <c r="H14" s="167" t="s">
        <v>134</v>
      </c>
      <c r="I14" s="167"/>
    </row>
    <row r="15" spans="1:9" ht="13.5" customHeight="1">
      <c r="A15" s="5" t="s">
        <v>197</v>
      </c>
      <c r="B15" s="407" t="s">
        <v>146</v>
      </c>
      <c r="C15" s="25" t="s">
        <v>3</v>
      </c>
      <c r="D15" s="7" t="s">
        <v>35</v>
      </c>
      <c r="E15" s="389" t="s">
        <v>42</v>
      </c>
      <c r="F15" s="163">
        <f>IF(AND(Overview!$E$17=DB!$B$14,H15="X"),IF(ISBLANK(E15),0,VLOOKUP(A15&amp;VLOOKUP(E15,DB!$V$14:$Y$19,2,FALSE),DB!$R$5:$S$684,2,FALSE)),IF(AND(Overview!$E$17=DB!$B$13,I15="X"),IF(ISBLANK(E15),0,VLOOKUP(A15&amp;VLOOKUP(E15,DB!$V$14:$Y$19,2,FALSE),DB!$R$5:$S$684,2,FALSE)),0))</f>
        <v>5</v>
      </c>
      <c r="G15" s="376"/>
      <c r="H15" s="166" t="s">
        <v>134</v>
      </c>
      <c r="I15" s="213"/>
    </row>
    <row r="16" spans="1:9" ht="13.5" customHeight="1">
      <c r="A16" s="8"/>
      <c r="B16" s="408"/>
      <c r="C16" s="26" t="s">
        <v>4</v>
      </c>
      <c r="D16" s="10" t="s">
        <v>36</v>
      </c>
      <c r="E16" s="390"/>
      <c r="F16" s="224"/>
      <c r="G16" s="374"/>
      <c r="H16" s="167" t="s">
        <v>134</v>
      </c>
      <c r="I16" s="214"/>
    </row>
    <row r="17" spans="1:9" ht="13.5" customHeight="1">
      <c r="A17" s="11"/>
      <c r="B17" s="409"/>
      <c r="C17" s="105" t="s">
        <v>5</v>
      </c>
      <c r="D17" s="281" t="s">
        <v>148</v>
      </c>
      <c r="E17" s="390"/>
      <c r="F17" s="225"/>
      <c r="G17" s="375"/>
      <c r="H17" s="168" t="s">
        <v>134</v>
      </c>
      <c r="I17" s="215"/>
    </row>
    <row r="18" spans="1:9" ht="13.5" customHeight="1">
      <c r="A18" s="8" t="s">
        <v>198</v>
      </c>
      <c r="B18" s="405" t="s">
        <v>147</v>
      </c>
      <c r="C18" s="9" t="s">
        <v>3</v>
      </c>
      <c r="D18" s="10" t="s">
        <v>38</v>
      </c>
      <c r="E18" s="389" t="s">
        <v>43</v>
      </c>
      <c r="F18" s="163">
        <f>IF(AND(Overview!$E$17=DB!$B$14,H18="X"),IF(ISBLANK(E18),0,VLOOKUP(A18&amp;VLOOKUP(E18,DB!$V$14:$Y$19,2,FALSE),DB!$R$5:$S$684,2,FALSE)),IF(AND(Overview!$E$17=DB!$B$13,I18="X"),IF(ISBLANK(E18),0,VLOOKUP(A18&amp;VLOOKUP(E18,DB!$V$14:$Y$19,2,FALSE),DB!$R$5:$S$684,2,FALSE)),0))</f>
        <v>10</v>
      </c>
      <c r="G18" s="373"/>
      <c r="H18" s="167" t="s">
        <v>134</v>
      </c>
      <c r="I18" s="167"/>
    </row>
    <row r="19" spans="1:9" ht="13.5" customHeight="1">
      <c r="A19" s="8"/>
      <c r="B19" s="405"/>
      <c r="C19" s="9" t="s">
        <v>4</v>
      </c>
      <c r="D19" s="10" t="s">
        <v>39</v>
      </c>
      <c r="E19" s="390"/>
      <c r="F19" s="220"/>
      <c r="G19" s="374"/>
      <c r="H19" s="167" t="s">
        <v>134</v>
      </c>
      <c r="I19" s="167"/>
    </row>
    <row r="20" spans="1:9" ht="13.5" customHeight="1">
      <c r="A20" s="11"/>
      <c r="B20" s="405"/>
      <c r="C20" s="12" t="s">
        <v>5</v>
      </c>
      <c r="D20" s="13" t="s">
        <v>84</v>
      </c>
      <c r="E20" s="390"/>
      <c r="F20" s="221"/>
      <c r="G20" s="375"/>
      <c r="H20" s="168" t="s">
        <v>134</v>
      </c>
      <c r="I20" s="168"/>
    </row>
    <row r="21" spans="1:9" ht="12.75" customHeight="1">
      <c r="A21" s="4" t="s">
        <v>69</v>
      </c>
      <c r="B21" s="3" t="s">
        <v>97</v>
      </c>
      <c r="C21" s="4"/>
      <c r="D21" s="169" t="str">
        <f>IF(ISERROR(F21),"Error: Please check the answers " &amp;A21,"")</f>
        <v/>
      </c>
      <c r="E21" s="198">
        <f>IF(ISERROR(F21/VLOOKUP(A21,SubgroupsWeights,4,FALSE)),"",F21/VLOOKUP(A21,SubgroupsWeights,4,FALSE))</f>
        <v>1</v>
      </c>
      <c r="F21" s="211">
        <f>SUM(F22:F29)</f>
        <v>25</v>
      </c>
      <c r="G21" s="226"/>
      <c r="H21" s="180" t="s">
        <v>134</v>
      </c>
      <c r="I21" s="180"/>
    </row>
    <row r="22" spans="1:9" s="19" customFormat="1" ht="13.5" customHeight="1">
      <c r="A22" s="17" t="s">
        <v>155</v>
      </c>
      <c r="B22" s="405" t="s">
        <v>37</v>
      </c>
      <c r="C22" s="6" t="s">
        <v>3</v>
      </c>
      <c r="D22" s="7" t="s">
        <v>24</v>
      </c>
      <c r="E22" s="389" t="s">
        <v>43</v>
      </c>
      <c r="F22" s="163">
        <f>IF(AND(Overview!$E$17=DB!$B$14,H22="X"),IF(ISBLANK(E22),0,VLOOKUP(A22&amp;VLOOKUP(E22,DB!$V$14:$Y$19,2,FALSE),DB!$R$5:$S$684,2,FALSE)),IF(AND(Overview!$E$17=DB!$B$13,I22="X"),IF(ISBLANK(E22),0,VLOOKUP(A22&amp;VLOOKUP(E22,DB!$V$14:$Y$19,2,FALSE),DB!$R$5:$S$684,2,FALSE)),0))</f>
        <v>10</v>
      </c>
      <c r="G22" s="410"/>
      <c r="H22" s="166" t="s">
        <v>134</v>
      </c>
      <c r="I22" s="166"/>
    </row>
    <row r="23" spans="1:9" s="19" customFormat="1" ht="13.5" customHeight="1">
      <c r="A23" s="20"/>
      <c r="B23" s="405"/>
      <c r="C23" s="9" t="s">
        <v>4</v>
      </c>
      <c r="D23" s="10" t="s">
        <v>25</v>
      </c>
      <c r="E23" s="390"/>
      <c r="F23" s="176"/>
      <c r="G23" s="410"/>
      <c r="H23" s="167" t="s">
        <v>134</v>
      </c>
      <c r="I23" s="167"/>
    </row>
    <row r="24" spans="1:9" s="19" customFormat="1" ht="13.5" customHeight="1">
      <c r="A24" s="20"/>
      <c r="B24" s="405"/>
      <c r="C24" s="9" t="s">
        <v>5</v>
      </c>
      <c r="D24" s="10" t="s">
        <v>26</v>
      </c>
      <c r="E24" s="390"/>
      <c r="F24" s="176"/>
      <c r="G24" s="410"/>
      <c r="H24" s="167" t="s">
        <v>134</v>
      </c>
      <c r="I24" s="167"/>
    </row>
    <row r="25" spans="1:9" ht="13.5" customHeight="1">
      <c r="A25" s="5" t="s">
        <v>199</v>
      </c>
      <c r="B25" s="407" t="s">
        <v>98</v>
      </c>
      <c r="C25" s="25" t="s">
        <v>3</v>
      </c>
      <c r="D25" s="7" t="s">
        <v>99</v>
      </c>
      <c r="E25" s="389" t="s">
        <v>44</v>
      </c>
      <c r="F25" s="163">
        <f>IF(AND(Overview!$E$17=DB!$B$14,H25="X"),IF(ISBLANK(E25),0,VLOOKUP(A25&amp;VLOOKUP(E25,DB!$V$14:$Y$19,2,FALSE),DB!$R$5:$S$684,2,FALSE)),IF(AND(Overview!$E$17=DB!$B$13,I25="X"),IF(ISBLANK(E25),0,VLOOKUP(A25&amp;VLOOKUP(E25,DB!$V$14:$Y$19,2,FALSE),DB!$R$5:$S$684,2,FALSE)),0))</f>
        <v>15</v>
      </c>
      <c r="G25" s="410"/>
      <c r="H25" s="216" t="s">
        <v>134</v>
      </c>
      <c r="I25" s="166"/>
    </row>
    <row r="26" spans="1:9" ht="13.5" customHeight="1">
      <c r="A26" s="8"/>
      <c r="B26" s="408"/>
      <c r="C26" s="26" t="s">
        <v>4</v>
      </c>
      <c r="D26" s="10" t="s">
        <v>96</v>
      </c>
      <c r="E26" s="390"/>
      <c r="F26" s="176"/>
      <c r="G26" s="410"/>
      <c r="H26" s="217" t="s">
        <v>134</v>
      </c>
      <c r="I26" s="167"/>
    </row>
    <row r="27" spans="1:9" ht="13.5" customHeight="1">
      <c r="A27" s="8"/>
      <c r="B27" s="408"/>
      <c r="C27" s="26" t="s">
        <v>5</v>
      </c>
      <c r="D27" s="10" t="s">
        <v>7</v>
      </c>
      <c r="E27" s="390"/>
      <c r="F27" s="176"/>
      <c r="G27" s="410"/>
      <c r="H27" s="217" t="s">
        <v>134</v>
      </c>
      <c r="I27" s="167"/>
    </row>
    <row r="28" spans="1:9" ht="13.5" customHeight="1">
      <c r="A28" s="8"/>
      <c r="B28" s="408"/>
      <c r="C28" s="26" t="s">
        <v>6</v>
      </c>
      <c r="D28" s="10" t="s">
        <v>2</v>
      </c>
      <c r="E28" s="390"/>
      <c r="F28" s="176"/>
      <c r="G28" s="410"/>
      <c r="H28" s="217" t="s">
        <v>134</v>
      </c>
      <c r="I28" s="167"/>
    </row>
    <row r="29" spans="1:9">
      <c r="A29" s="212"/>
      <c r="B29" s="409"/>
      <c r="C29" s="105" t="s">
        <v>168</v>
      </c>
      <c r="D29" s="281" t="s">
        <v>148</v>
      </c>
      <c r="E29" s="390"/>
      <c r="F29" s="245"/>
      <c r="G29" s="410"/>
      <c r="H29" s="218" t="s">
        <v>134</v>
      </c>
      <c r="I29" s="219"/>
    </row>
    <row r="30" spans="1:9">
      <c r="G30" s="244"/>
    </row>
    <row r="31" spans="1:9">
      <c r="G31" s="244"/>
    </row>
    <row r="32" spans="1:9">
      <c r="G32" s="244"/>
    </row>
    <row r="33" spans="7:7">
      <c r="G33" s="244"/>
    </row>
    <row r="34" spans="7:7">
      <c r="G34" s="244"/>
    </row>
    <row r="35" spans="7:7">
      <c r="G35" s="244"/>
    </row>
    <row r="36" spans="7:7">
      <c r="G36" s="244"/>
    </row>
  </sheetData>
  <sheetProtection algorithmName="SHA-1" hashValue="/ceu0+uDhQImM+4512DHY72mXAA=" saltValue="PfopP52uI5++3KjZVHamDg==" spinCount="100000" sheet="1" formatCells="0" formatColumns="0" formatRows="0"/>
  <customSheetViews>
    <customSheetView guid="{1154F82E-F7BA-4227-A6C8-AEBBEAEC668B}" showRuler="0" topLeftCell="A34">
      <selection activeCell="B50" sqref="B50:B52"/>
      <pageMargins left="0.41" right="0.43" top="0.43" bottom="0.51" header="0.43" footer="0.41"/>
      <pageSetup orientation="portrait" horizontalDpi="300" verticalDpi="300" r:id="rId1"/>
      <headerFooter alignWithMargins="0"/>
    </customSheetView>
    <customSheetView guid="{20989AFF-92B9-4E9B-AADA-8707EC412383}" hiddenColumns="1" showRuler="0" topLeftCell="A4">
      <selection activeCell="E32" sqref="E32:E35"/>
      <pageMargins left="0.39370078740157483" right="0.39370078740157483" top="0.78740157480314965" bottom="0.51181102362204722" header="0.51181102362204722" footer="0.39370078740157483"/>
      <printOptions horizontalCentered="1"/>
      <pageSetup orientation="portrait" horizontalDpi="300" verticalDpi="300" r:id="rId2"/>
      <headerFooter alignWithMargins="0">
        <oddHeader>&amp;LInitial Risk Assessment&amp;C&amp;A&amp;R&amp;D</oddHeader>
        <oddFooter>&amp;L&amp;F&amp;R&amp;P / &amp;N</oddFooter>
      </headerFooter>
    </customSheetView>
  </customSheetViews>
  <mergeCells count="23">
    <mergeCell ref="E15:E17"/>
    <mergeCell ref="G15:G17"/>
    <mergeCell ref="B15:B17"/>
    <mergeCell ref="B22:B24"/>
    <mergeCell ref="E22:E24"/>
    <mergeCell ref="B18:B20"/>
    <mergeCell ref="B25:B29"/>
    <mergeCell ref="G22:G24"/>
    <mergeCell ref="G25:G29"/>
    <mergeCell ref="G18:G20"/>
    <mergeCell ref="E25:E29"/>
    <mergeCell ref="E18:E20"/>
    <mergeCell ref="G7:G10"/>
    <mergeCell ref="G11:G14"/>
    <mergeCell ref="E4:E6"/>
    <mergeCell ref="E7:E10"/>
    <mergeCell ref="A1:B1"/>
    <mergeCell ref="B4:B6"/>
    <mergeCell ref="A2:D2"/>
    <mergeCell ref="D1:E1"/>
    <mergeCell ref="G4:G6"/>
    <mergeCell ref="B11:B14"/>
    <mergeCell ref="E11:E14"/>
  </mergeCells>
  <phoneticPr fontId="10" type="noConversion"/>
  <conditionalFormatting sqref="E25:G29 F22:G24 F4:G20">
    <cfRule type="cellIs" dxfId="21" priority="14" stopIfTrue="1" operator="equal">
      <formula>""</formula>
    </cfRule>
  </conditionalFormatting>
  <conditionalFormatting sqref="G2 E2">
    <cfRule type="cellIs" dxfId="20" priority="15" stopIfTrue="1" operator="equal">
      <formula>"Non"</formula>
    </cfRule>
    <cfRule type="cellIs" dxfId="19" priority="16" stopIfTrue="1" operator="equal">
      <formula>"Oui"</formula>
    </cfRule>
  </conditionalFormatting>
  <conditionalFormatting sqref="G25">
    <cfRule type="cellIs" dxfId="18" priority="13" stopIfTrue="1" operator="equal">
      <formula>""</formula>
    </cfRule>
  </conditionalFormatting>
  <conditionalFormatting sqref="G18">
    <cfRule type="cellIs" dxfId="17" priority="12" stopIfTrue="1" operator="equal">
      <formula>""</formula>
    </cfRule>
  </conditionalFormatting>
  <conditionalFormatting sqref="E4:E6">
    <cfRule type="cellIs" dxfId="16" priority="6" stopIfTrue="1" operator="equal">
      <formula>""</formula>
    </cfRule>
  </conditionalFormatting>
  <conditionalFormatting sqref="E15:E17">
    <cfRule type="cellIs" dxfId="15" priority="5" stopIfTrue="1" operator="equal">
      <formula>""</formula>
    </cfRule>
  </conditionalFormatting>
  <conditionalFormatting sqref="E18:E20">
    <cfRule type="cellIs" dxfId="14" priority="4" stopIfTrue="1" operator="equal">
      <formula>""</formula>
    </cfRule>
  </conditionalFormatting>
  <conditionalFormatting sqref="E22:E24">
    <cfRule type="cellIs" dxfId="13" priority="3" stopIfTrue="1" operator="equal">
      <formula>""</formula>
    </cfRule>
  </conditionalFormatting>
  <conditionalFormatting sqref="E7:E10">
    <cfRule type="cellIs" dxfId="12" priority="2" stopIfTrue="1" operator="equal">
      <formula>""</formula>
    </cfRule>
  </conditionalFormatting>
  <conditionalFormatting sqref="E11:E14">
    <cfRule type="cellIs" dxfId="11" priority="1" stopIfTrue="1" operator="equal">
      <formula>""</formula>
    </cfRule>
  </conditionalFormatting>
  <dataValidations count="3">
    <dataValidation type="list" allowBlank="1" showInputMessage="1" showErrorMessage="1" sqref="E15:E20 E22:E24 E4">
      <formula1>Option3</formula1>
    </dataValidation>
    <dataValidation type="list" showInputMessage="1" showErrorMessage="1" sqref="E7:E14">
      <formula1>Option4</formula1>
    </dataValidation>
    <dataValidation type="list" allowBlank="1" showInputMessage="1" showErrorMessage="1" sqref="E25">
      <formula1>Option5</formula1>
    </dataValidation>
  </dataValidations>
  <printOptions horizontalCentered="1"/>
  <pageMargins left="0.19685039370078741" right="0.11811023622047245" top="0.74803149606299213" bottom="0.78740157480314965" header="0.51181102362204722" footer="0.51181102362204722"/>
  <pageSetup paperSize="9" scale="84" orientation="landscape" r:id="rId3"/>
  <headerFooter alignWithMargins="0">
    <oddHeader>&amp;LProject Initial Risks Assessment&amp;C&amp;A&amp;R&amp;D</oddHeader>
    <oddFooter>&amp;L&amp;F&amp;R&amp;P / &amp;N</oddFooter>
  </headerFooter>
  <rowBreaks count="1" manualBreakCount="1">
    <brk id="2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topLeftCell="B1" zoomScale="90" zoomScaleNormal="90" workbookViewId="0">
      <selection activeCell="B11" sqref="B11"/>
    </sheetView>
  </sheetViews>
  <sheetFormatPr defaultRowHeight="11.25"/>
  <cols>
    <col min="1" max="1" width="7.6640625" customWidth="1"/>
    <col min="2" max="2" width="145.1640625" style="301" customWidth="1"/>
    <col min="3" max="3" width="14.33203125" customWidth="1"/>
    <col min="4" max="4" width="46" customWidth="1"/>
  </cols>
  <sheetData>
    <row r="1" spans="1:5" s="1" customFormat="1" ht="15.75" customHeight="1">
      <c r="A1" s="404" t="s">
        <v>202</v>
      </c>
      <c r="B1" s="404"/>
      <c r="C1" s="404"/>
      <c r="D1" s="404"/>
    </row>
    <row r="2" spans="1:5" s="1" customFormat="1" ht="12" customHeight="1">
      <c r="B2" s="321" t="str">
        <f>"Current phase: " &amp; Overview!E19</f>
        <v>Current phase: Definition</v>
      </c>
      <c r="C2" s="104" t="s">
        <v>62</v>
      </c>
      <c r="D2" s="104" t="s">
        <v>117</v>
      </c>
    </row>
    <row r="3" spans="1:5" s="1" customFormat="1" ht="12.75">
      <c r="A3" s="4" t="s">
        <v>209</v>
      </c>
      <c r="B3" s="208" t="s">
        <v>220</v>
      </c>
      <c r="C3" s="208"/>
      <c r="D3" s="4"/>
    </row>
    <row r="4" spans="1:5" ht="27" customHeight="1">
      <c r="A4" s="322" t="s">
        <v>210</v>
      </c>
      <c r="B4" s="323" t="s">
        <v>226</v>
      </c>
      <c r="C4" s="332"/>
      <c r="D4" s="333"/>
      <c r="E4" s="298" t="str">
        <f t="shared" ref="E4:E12" si="0">IF(C4="","Please respond","")</f>
        <v>Please respond</v>
      </c>
    </row>
    <row r="5" spans="1:5" ht="27" customHeight="1">
      <c r="A5" s="322" t="s">
        <v>211</v>
      </c>
      <c r="B5" s="323" t="s">
        <v>227</v>
      </c>
      <c r="C5" s="332"/>
      <c r="D5" s="333"/>
      <c r="E5" s="298" t="str">
        <f t="shared" si="0"/>
        <v>Please respond</v>
      </c>
    </row>
    <row r="6" spans="1:5" ht="27" customHeight="1">
      <c r="A6" s="322" t="s">
        <v>212</v>
      </c>
      <c r="B6" s="323" t="s">
        <v>228</v>
      </c>
      <c r="C6" s="332"/>
      <c r="D6" s="333"/>
      <c r="E6" s="298" t="str">
        <f t="shared" si="0"/>
        <v>Please respond</v>
      </c>
    </row>
    <row r="7" spans="1:5" ht="27" customHeight="1">
      <c r="A7" s="322" t="s">
        <v>213</v>
      </c>
      <c r="B7" s="323" t="s">
        <v>229</v>
      </c>
      <c r="C7" s="332"/>
      <c r="D7" s="333"/>
      <c r="E7" s="298" t="str">
        <f t="shared" si="0"/>
        <v>Please respond</v>
      </c>
    </row>
    <row r="8" spans="1:5" ht="27" customHeight="1">
      <c r="A8" s="322" t="s">
        <v>214</v>
      </c>
      <c r="B8" s="323" t="s">
        <v>230</v>
      </c>
      <c r="C8" s="332"/>
      <c r="D8" s="333"/>
      <c r="E8" s="298" t="str">
        <f t="shared" si="0"/>
        <v>Please respond</v>
      </c>
    </row>
    <row r="9" spans="1:5" ht="27" customHeight="1">
      <c r="A9" s="322" t="s">
        <v>215</v>
      </c>
      <c r="B9" s="323" t="s">
        <v>231</v>
      </c>
      <c r="C9" s="332"/>
      <c r="D9" s="333"/>
      <c r="E9" s="298" t="str">
        <f t="shared" si="0"/>
        <v>Please respond</v>
      </c>
    </row>
    <row r="10" spans="1:5" ht="27" customHeight="1">
      <c r="A10" s="322" t="s">
        <v>216</v>
      </c>
      <c r="B10" s="323" t="s">
        <v>232</v>
      </c>
      <c r="C10" s="332"/>
      <c r="D10" s="333"/>
      <c r="E10" s="298" t="str">
        <f t="shared" si="0"/>
        <v>Please respond</v>
      </c>
    </row>
    <row r="11" spans="1:5" ht="27" customHeight="1">
      <c r="A11" s="322" t="s">
        <v>217</v>
      </c>
      <c r="B11" s="323" t="s">
        <v>236</v>
      </c>
      <c r="C11" s="332"/>
      <c r="D11" s="333"/>
      <c r="E11" s="298" t="str">
        <f t="shared" si="0"/>
        <v>Please respond</v>
      </c>
    </row>
    <row r="12" spans="1:5" ht="27" customHeight="1">
      <c r="A12" s="322" t="s">
        <v>218</v>
      </c>
      <c r="B12" s="323" t="s">
        <v>233</v>
      </c>
      <c r="C12" s="332"/>
      <c r="D12" s="333"/>
      <c r="E12" s="298" t="str">
        <f t="shared" si="0"/>
        <v>Please respond</v>
      </c>
    </row>
    <row r="13" spans="1:5" ht="27" customHeight="1">
      <c r="A13" s="322" t="s">
        <v>219</v>
      </c>
      <c r="B13" s="323" t="s">
        <v>234</v>
      </c>
      <c r="C13" s="332"/>
      <c r="D13" s="333"/>
      <c r="E13" s="298" t="str">
        <f>IF(C13="","Please respond","")</f>
        <v>Please respond</v>
      </c>
    </row>
    <row r="14" spans="1:5" ht="40.5" customHeight="1">
      <c r="B14" s="334" t="str">
        <f>IF(C15&gt;0,"",IF(C14&gt;0,"All SCRUM pre-requisites are not fulfilled, so SCRUM could not be applied for the project","All SCRUM pre-requisites are fulfilled, so SCRUM could be applied for the project"))</f>
        <v/>
      </c>
      <c r="C14" s="329">
        <f>COUNTIF(C4:C13,"No")</f>
        <v>0</v>
      </c>
      <c r="E14" s="324"/>
    </row>
    <row r="15" spans="1:5" ht="40.5" customHeight="1">
      <c r="B15" s="325"/>
      <c r="C15" s="329">
        <f>COUNTBLANK(C4:C13)</f>
        <v>10</v>
      </c>
    </row>
    <row r="16" spans="1:5">
      <c r="C16" s="335"/>
    </row>
    <row r="17" spans="3:3">
      <c r="C17" s="335"/>
    </row>
    <row r="18" spans="3:3">
      <c r="C18" s="335"/>
    </row>
    <row r="19" spans="3:3">
      <c r="C19" s="335"/>
    </row>
  </sheetData>
  <sheetProtection algorithmName="SHA-1" hashValue="hyS93sOy4LXPsyHrZlz1BoQ7Utc=" saltValue="cWojWDHR1Kzq7fhf621QdQ==" spinCount="100000" sheet="1" formatCells="0" formatColumns="0" formatRows="0"/>
  <mergeCells count="1">
    <mergeCell ref="A1:D1"/>
  </mergeCells>
  <phoneticPr fontId="15" type="noConversion"/>
  <conditionalFormatting sqref="C2:D2">
    <cfRule type="cellIs" dxfId="10" priority="5" stopIfTrue="1" operator="equal">
      <formula>"Non"</formula>
    </cfRule>
    <cfRule type="cellIs" dxfId="9" priority="6" stopIfTrue="1" operator="equal">
      <formula>"Oui"</formula>
    </cfRule>
  </conditionalFormatting>
  <conditionalFormatting sqref="C4:D13">
    <cfRule type="cellIs" dxfId="8" priority="4" stopIfTrue="1" operator="equal">
      <formula>""</formula>
    </cfRule>
  </conditionalFormatting>
  <conditionalFormatting sqref="B14">
    <cfRule type="expression" dxfId="7" priority="1" stopIfTrue="1">
      <formula>$C$15&gt;0</formula>
    </cfRule>
    <cfRule type="expression" dxfId="6" priority="2" stopIfTrue="1">
      <formula>$C$14=0</formula>
    </cfRule>
    <cfRule type="expression" dxfId="5" priority="3" stopIfTrue="1">
      <formula>$C$14&gt;0</formula>
    </cfRule>
  </conditionalFormatting>
  <dataValidations count="1">
    <dataValidation type="list" allowBlank="1" showInputMessage="1" showErrorMessage="1" sqref="C4:C13">
      <formula1>YesNo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B2:AL191"/>
  <sheetViews>
    <sheetView showGridLines="0" topLeftCell="C1" zoomScale="85" workbookViewId="0">
      <selection activeCell="AB50" sqref="AB50"/>
    </sheetView>
  </sheetViews>
  <sheetFormatPr defaultColWidth="10.6640625" defaultRowHeight="11.25"/>
  <cols>
    <col min="1" max="1" width="2.6640625" style="33" customWidth="1"/>
    <col min="2" max="2" width="27.1640625" style="33" bestFit="1" customWidth="1"/>
    <col min="3" max="3" width="14.33203125" style="33" customWidth="1"/>
    <col min="4" max="4" width="5.5" style="33" customWidth="1"/>
    <col min="5" max="5" width="12" style="33" customWidth="1"/>
    <col min="6" max="6" width="10.1640625" style="33" bestFit="1" customWidth="1"/>
    <col min="7" max="7" width="28.33203125" style="33" customWidth="1"/>
    <col min="8" max="8" width="14.1640625" style="33" bestFit="1" customWidth="1"/>
    <col min="9" max="9" width="6.6640625" style="195" bestFit="1" customWidth="1"/>
    <col min="10" max="10" width="4.6640625" style="33" customWidth="1"/>
    <col min="11" max="11" width="6.6640625" style="33" customWidth="1"/>
    <col min="12" max="12" width="27.83203125" style="33" customWidth="1"/>
    <col min="13" max="13" width="7.5" style="33" customWidth="1"/>
    <col min="14" max="15" width="4.1640625" style="33" customWidth="1"/>
    <col min="16" max="17" width="7.33203125" style="33" customWidth="1"/>
    <col min="18" max="18" width="6.6640625" style="34" customWidth="1"/>
    <col min="19" max="19" width="7.6640625" style="71" customWidth="1"/>
    <col min="20" max="20" width="6.6640625" style="33" customWidth="1"/>
    <col min="21" max="21" width="4.33203125" style="33" customWidth="1"/>
    <col min="22" max="23" width="3.1640625" style="33" customWidth="1"/>
    <col min="24" max="25" width="10.6640625" style="33"/>
    <col min="26" max="26" width="4.33203125" style="33" customWidth="1"/>
    <col min="27" max="27" width="6.5" style="33" customWidth="1"/>
    <col min="28" max="28" width="27.83203125" style="33" customWidth="1"/>
    <col min="29" max="29" width="7.5" style="33" customWidth="1"/>
    <col min="30" max="30" width="4" style="33" customWidth="1"/>
    <col min="31" max="31" width="4.1640625" style="33" customWidth="1"/>
    <col min="32" max="33" width="7.1640625" style="33" customWidth="1"/>
    <col min="34" max="34" width="6.6640625" style="33" customWidth="1"/>
    <col min="35" max="35" width="7.6640625" style="300" customWidth="1"/>
    <col min="36" max="36" width="20.5" style="33" customWidth="1"/>
    <col min="37" max="37" width="17.1640625" style="33" customWidth="1"/>
    <col min="38" max="38" width="33.6640625" style="33" bestFit="1" customWidth="1"/>
    <col min="39" max="16384" width="10.6640625" style="33"/>
  </cols>
  <sheetData>
    <row r="2" spans="2:38" ht="15.75" customHeight="1">
      <c r="B2" s="29" t="s">
        <v>51</v>
      </c>
      <c r="C2" s="29"/>
      <c r="D2" s="30"/>
      <c r="E2" s="30"/>
      <c r="F2" s="30"/>
      <c r="G2" s="30"/>
      <c r="H2" s="30"/>
      <c r="I2" s="194"/>
      <c r="J2" s="30"/>
      <c r="K2" s="30"/>
      <c r="L2" s="30"/>
      <c r="M2" s="30"/>
      <c r="N2" s="30"/>
      <c r="O2" s="30"/>
      <c r="P2" s="30"/>
      <c r="Q2" s="30"/>
      <c r="R2" s="31"/>
      <c r="S2" s="32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2:38" ht="12" thickBot="1">
      <c r="I3" s="195">
        <f>SUM(I6:I13)</f>
        <v>270</v>
      </c>
      <c r="S3" s="33"/>
      <c r="T3" s="195">
        <f>SUM(T5:T88)</f>
        <v>270</v>
      </c>
    </row>
    <row r="4" spans="2:38" ht="12" thickBot="1">
      <c r="B4" s="139" t="s">
        <v>70</v>
      </c>
      <c r="C4" s="140"/>
      <c r="E4" s="414" t="s">
        <v>55</v>
      </c>
      <c r="F4" s="415"/>
      <c r="G4" s="415"/>
      <c r="H4" s="415"/>
      <c r="I4" s="416"/>
      <c r="K4" s="36" t="s">
        <v>54</v>
      </c>
      <c r="L4" s="37"/>
      <c r="M4" s="156" t="s">
        <v>71</v>
      </c>
      <c r="N4" s="37" t="s">
        <v>62</v>
      </c>
      <c r="O4" s="37"/>
      <c r="P4" s="37" t="s">
        <v>53</v>
      </c>
      <c r="Q4" s="37" t="s">
        <v>63</v>
      </c>
      <c r="R4" s="157"/>
      <c r="S4" s="37" t="s">
        <v>72</v>
      </c>
      <c r="T4" s="272" t="s">
        <v>137</v>
      </c>
      <c r="V4" s="422" t="s">
        <v>40</v>
      </c>
      <c r="W4" s="423"/>
      <c r="X4" s="423"/>
      <c r="Y4" s="424"/>
      <c r="AA4" s="422" t="s">
        <v>204</v>
      </c>
      <c r="AB4" s="423"/>
      <c r="AC4" s="423"/>
      <c r="AD4" s="423"/>
      <c r="AE4" s="423"/>
      <c r="AF4" s="423"/>
      <c r="AG4" s="423"/>
      <c r="AH4" s="423"/>
      <c r="AI4" s="424"/>
      <c r="AJ4" s="326" t="s">
        <v>222</v>
      </c>
      <c r="AK4" s="326" t="s">
        <v>221</v>
      </c>
      <c r="AL4" s="326" t="s">
        <v>223</v>
      </c>
    </row>
    <row r="5" spans="2:38" ht="12" thickBot="1">
      <c r="B5" s="35" t="s">
        <v>52</v>
      </c>
      <c r="C5" s="275" t="s">
        <v>136</v>
      </c>
      <c r="E5" s="315" t="s">
        <v>52</v>
      </c>
      <c r="F5" s="316" t="s">
        <v>54</v>
      </c>
      <c r="G5" s="316"/>
      <c r="H5" s="316" t="s">
        <v>136</v>
      </c>
      <c r="I5" s="317" t="s">
        <v>64</v>
      </c>
      <c r="K5" s="38" t="s">
        <v>58</v>
      </c>
      <c r="L5" s="39" t="str">
        <f t="shared" ref="L5:L36" si="0">VLOOKUP(K5,$F$6:$G$31,2)</f>
        <v>Project Estimation</v>
      </c>
      <c r="M5" s="39" t="s">
        <v>56</v>
      </c>
      <c r="N5" s="39" t="s">
        <v>41</v>
      </c>
      <c r="O5" s="39">
        <v>1</v>
      </c>
      <c r="P5" s="39">
        <v>0</v>
      </c>
      <c r="Q5" s="39">
        <v>5</v>
      </c>
      <c r="R5" s="40" t="str">
        <f t="shared" ref="R5:R20" si="1">M5&amp;O5</f>
        <v>1.A.11</v>
      </c>
      <c r="S5" s="41">
        <f t="shared" ref="S5:S12" si="2">P5*Q5</f>
        <v>0</v>
      </c>
      <c r="T5" s="273">
        <f>IF(AND(Overview!$E$17=$B$13,'1. Size'!I4="x"),MAX(S5:S8),IF(AND(Overview!$E$17=$B$14,'1. Size'!H4="x"),MAX(S5:S8),0))</f>
        <v>15</v>
      </c>
      <c r="V5" s="42">
        <v>5</v>
      </c>
      <c r="W5" s="43">
        <v>4</v>
      </c>
      <c r="X5" s="43">
        <v>3</v>
      </c>
      <c r="Y5" s="44">
        <v>2</v>
      </c>
      <c r="AA5" s="251" t="s">
        <v>59</v>
      </c>
      <c r="AB5" s="39" t="str">
        <f t="shared" ref="AB5:AB11" si="3">VLOOKUP(AA5,$F$6:$G$31,2)</f>
        <v>Project Team</v>
      </c>
      <c r="AC5" s="253" t="s">
        <v>60</v>
      </c>
      <c r="AD5" s="39" t="s">
        <v>41</v>
      </c>
      <c r="AE5" s="39">
        <v>1</v>
      </c>
      <c r="AF5" s="39">
        <v>0</v>
      </c>
      <c r="AG5" s="39">
        <v>5</v>
      </c>
      <c r="AH5" s="40" t="str">
        <f t="shared" ref="AH5:AH11" si="4">AC5&amp;AE5</f>
        <v>1.C.11</v>
      </c>
      <c r="AI5" s="309">
        <f t="shared" ref="AI5:AI11" si="5">AF5*AG5</f>
        <v>0</v>
      </c>
      <c r="AJ5" s="435">
        <f>IF(OR('1. Size'!F18=0,'1. Size'!F18=5),0,1)</f>
        <v>1</v>
      </c>
      <c r="AK5" s="439" t="b">
        <f>NOT(ISBLANK('1. Size'!E18))</f>
        <v>1</v>
      </c>
      <c r="AL5" s="433">
        <f>IF(AJ5=1,1,IF(AK5=FALSE,1,0))</f>
        <v>1</v>
      </c>
    </row>
    <row r="6" spans="2:38" ht="12" thickBot="1">
      <c r="B6" s="45" t="str">
        <f>'1. Size'!A1</f>
        <v>1. Size</v>
      </c>
      <c r="C6" s="46">
        <f>C9/3</f>
        <v>0.33333333333333331</v>
      </c>
      <c r="E6" s="38" t="s">
        <v>46</v>
      </c>
      <c r="F6" s="39" t="s">
        <v>58</v>
      </c>
      <c r="G6" s="39" t="str">
        <f>'1. Size'!B3</f>
        <v>Project Estimation</v>
      </c>
      <c r="H6" s="282">
        <v>0.28000000000000003</v>
      </c>
      <c r="I6" s="285">
        <f>SUMIF($K$5:$K$719,F6,$T$5:$T$719)</f>
        <v>30</v>
      </c>
      <c r="K6" s="45" t="s">
        <v>58</v>
      </c>
      <c r="L6" s="47" t="str">
        <f t="shared" si="0"/>
        <v>Project Estimation</v>
      </c>
      <c r="M6" s="47" t="str">
        <f>M5</f>
        <v>1.A.1</v>
      </c>
      <c r="N6" s="47" t="s">
        <v>42</v>
      </c>
      <c r="O6" s="47">
        <v>2</v>
      </c>
      <c r="P6" s="47">
        <v>1</v>
      </c>
      <c r="Q6" s="47">
        <v>5</v>
      </c>
      <c r="R6" s="48" t="str">
        <f t="shared" si="1"/>
        <v>1.A.12</v>
      </c>
      <c r="S6" s="49">
        <f t="shared" si="2"/>
        <v>5</v>
      </c>
      <c r="T6" s="258"/>
      <c r="V6" s="51" t="s">
        <v>41</v>
      </c>
      <c r="W6" s="52" t="s">
        <v>41</v>
      </c>
      <c r="X6" s="52" t="s">
        <v>41</v>
      </c>
      <c r="Y6" s="50" t="s">
        <v>41</v>
      </c>
      <c r="AA6" s="336" t="s">
        <v>59</v>
      </c>
      <c r="AB6" s="56" t="str">
        <f t="shared" si="3"/>
        <v>Project Team</v>
      </c>
      <c r="AC6" s="56" t="str">
        <f>AC5</f>
        <v>1.C.1</v>
      </c>
      <c r="AD6" s="56" t="s">
        <v>42</v>
      </c>
      <c r="AE6" s="56">
        <v>2</v>
      </c>
      <c r="AF6" s="56">
        <v>1</v>
      </c>
      <c r="AG6" s="56">
        <v>5</v>
      </c>
      <c r="AH6" s="57" t="str">
        <f t="shared" si="4"/>
        <v>1.C.12</v>
      </c>
      <c r="AI6" s="310">
        <f t="shared" si="5"/>
        <v>5</v>
      </c>
      <c r="AJ6" s="436"/>
      <c r="AK6" s="440"/>
      <c r="AL6" s="434"/>
    </row>
    <row r="7" spans="2:38" ht="11.25" customHeight="1" thickBot="1">
      <c r="B7" s="45" t="str">
        <f>'2. Structure'!A1</f>
        <v>2. Structure</v>
      </c>
      <c r="C7" s="46">
        <f>C9/3</f>
        <v>0.33333333333333331</v>
      </c>
      <c r="E7" s="45"/>
      <c r="F7" s="254" t="s">
        <v>191</v>
      </c>
      <c r="G7" s="47" t="str">
        <f>'1. Size'!B12</f>
        <v>Project Type</v>
      </c>
      <c r="H7" s="283">
        <v>0.15</v>
      </c>
      <c r="I7" s="286">
        <f>SUMIF($K$5:$K$719,F7,$T$5:$T$719)</f>
        <v>15</v>
      </c>
      <c r="K7" s="45" t="s">
        <v>58</v>
      </c>
      <c r="L7" s="47" t="str">
        <f t="shared" si="0"/>
        <v>Project Estimation</v>
      </c>
      <c r="M7" s="47" t="str">
        <f>M5</f>
        <v>1.A.1</v>
      </c>
      <c r="N7" s="47" t="s">
        <v>43</v>
      </c>
      <c r="O7" s="47">
        <v>3</v>
      </c>
      <c r="P7" s="47">
        <v>2</v>
      </c>
      <c r="Q7" s="47">
        <v>5</v>
      </c>
      <c r="R7" s="48" t="str">
        <f t="shared" si="1"/>
        <v>1.A.13</v>
      </c>
      <c r="S7" s="49">
        <f t="shared" si="2"/>
        <v>10</v>
      </c>
      <c r="T7" s="258"/>
      <c r="V7" s="51" t="s">
        <v>42</v>
      </c>
      <c r="W7" s="52" t="s">
        <v>42</v>
      </c>
      <c r="X7" s="52" t="s">
        <v>42</v>
      </c>
      <c r="Y7" s="50" t="s">
        <v>42</v>
      </c>
      <c r="AA7" s="307" t="s">
        <v>191</v>
      </c>
      <c r="AB7" s="303" t="str">
        <f t="shared" si="3"/>
        <v>Project Type</v>
      </c>
      <c r="AC7" s="303" t="s">
        <v>190</v>
      </c>
      <c r="AD7" s="303" t="s">
        <v>41</v>
      </c>
      <c r="AE7" s="303">
        <v>1</v>
      </c>
      <c r="AF7" s="303">
        <v>0</v>
      </c>
      <c r="AG7" s="303">
        <v>5</v>
      </c>
      <c r="AH7" s="305" t="str">
        <f t="shared" si="4"/>
        <v>1.B.11</v>
      </c>
      <c r="AI7" s="311">
        <f t="shared" si="5"/>
        <v>0</v>
      </c>
      <c r="AJ7" s="313">
        <f>IF('1. Size'!F13=0,0,1)</f>
        <v>0</v>
      </c>
      <c r="AK7" s="327" t="b">
        <f>NOT(ISBLANK('1. Size'!E13))</f>
        <v>1</v>
      </c>
      <c r="AL7" s="313">
        <f t="shared" ref="AL7:AL12" si="6">IF(AJ7=1,1,IF(AK7=FALSE,1,0))</f>
        <v>0</v>
      </c>
    </row>
    <row r="8" spans="2:38" ht="12" thickBot="1">
      <c r="B8" s="45" t="str">
        <f>'3. Technology'!A1</f>
        <v>3. Technology</v>
      </c>
      <c r="C8" s="46">
        <f>C9/3</f>
        <v>0.33333333333333331</v>
      </c>
      <c r="E8" s="138">
        <f>SUM(H6:H8)</f>
        <v>1</v>
      </c>
      <c r="F8" s="47" t="s">
        <v>59</v>
      </c>
      <c r="G8" s="47" t="str">
        <f>'1. Size'!B17</f>
        <v>Project Team</v>
      </c>
      <c r="H8" s="283">
        <v>0.56999999999999995</v>
      </c>
      <c r="I8" s="286">
        <f>IF('1. Size'!E18="D",SUMIF($K$5:$K$719,F8,$T$5:$T$719)-DB!T17,SUMIF($K$5:$K$719,F8,$T$5:$T$719))</f>
        <v>35</v>
      </c>
      <c r="K8" s="64" t="s">
        <v>58</v>
      </c>
      <c r="L8" s="65" t="str">
        <f t="shared" si="0"/>
        <v>Project Estimation</v>
      </c>
      <c r="M8" s="65" t="str">
        <f>M5</f>
        <v>1.A.1</v>
      </c>
      <c r="N8" s="65" t="s">
        <v>44</v>
      </c>
      <c r="O8" s="65">
        <v>4</v>
      </c>
      <c r="P8" s="65">
        <v>3</v>
      </c>
      <c r="Q8" s="65">
        <v>5</v>
      </c>
      <c r="R8" s="66" t="str">
        <f t="shared" si="1"/>
        <v>1.A.14</v>
      </c>
      <c r="S8" s="67">
        <f t="shared" si="2"/>
        <v>15</v>
      </c>
      <c r="T8" s="259"/>
      <c r="V8" s="51" t="s">
        <v>43</v>
      </c>
      <c r="W8" s="52" t="s">
        <v>43</v>
      </c>
      <c r="X8" s="52" t="s">
        <v>43</v>
      </c>
      <c r="Y8" s="50"/>
      <c r="AA8" s="302" t="s">
        <v>59</v>
      </c>
      <c r="AB8" s="303" t="str">
        <f t="shared" si="3"/>
        <v>Project Team</v>
      </c>
      <c r="AC8" s="304" t="s">
        <v>61</v>
      </c>
      <c r="AD8" s="303" t="s">
        <v>41</v>
      </c>
      <c r="AE8" s="303">
        <v>1</v>
      </c>
      <c r="AF8" s="303">
        <v>0</v>
      </c>
      <c r="AG8" s="303">
        <v>5</v>
      </c>
      <c r="AH8" s="305" t="str">
        <f t="shared" si="4"/>
        <v>1.C.21</v>
      </c>
      <c r="AI8" s="311">
        <f t="shared" si="5"/>
        <v>0</v>
      </c>
      <c r="AJ8" s="313">
        <f>IF('1. Size'!F22=0,0,1)</f>
        <v>0</v>
      </c>
      <c r="AK8" s="327" t="b">
        <f>NOT(ISBLANK('1. Size'!E22))</f>
        <v>1</v>
      </c>
      <c r="AL8" s="313">
        <f t="shared" si="6"/>
        <v>0</v>
      </c>
    </row>
    <row r="9" spans="2:38" ht="12" thickBot="1">
      <c r="B9" s="53" t="s">
        <v>49</v>
      </c>
      <c r="C9" s="54">
        <v>1</v>
      </c>
      <c r="E9" s="38" t="s">
        <v>47</v>
      </c>
      <c r="F9" s="39" t="s">
        <v>65</v>
      </c>
      <c r="G9" s="39" t="str">
        <f>'2. Structure'!B3</f>
        <v>Administration and Control</v>
      </c>
      <c r="H9" s="282">
        <v>0.17</v>
      </c>
      <c r="I9" s="285">
        <f>SUMIF($K$5:$K$719,F9,$T$5:$T$719)</f>
        <v>20</v>
      </c>
      <c r="K9" s="38" t="s">
        <v>58</v>
      </c>
      <c r="L9" s="39" t="str">
        <f t="shared" si="0"/>
        <v>Project Estimation</v>
      </c>
      <c r="M9" s="39" t="s">
        <v>57</v>
      </c>
      <c r="N9" s="39" t="s">
        <v>41</v>
      </c>
      <c r="O9" s="39">
        <v>1</v>
      </c>
      <c r="P9" s="39">
        <v>0</v>
      </c>
      <c r="Q9" s="39">
        <v>5</v>
      </c>
      <c r="R9" s="40" t="str">
        <f t="shared" si="1"/>
        <v>1.A.21</v>
      </c>
      <c r="S9" s="41">
        <f t="shared" si="2"/>
        <v>0</v>
      </c>
      <c r="T9" s="273">
        <f>IF(AND(Overview!$E$17=$B$13,'1. Size'!I8="x"),MAX(S9:S12),IF(AND(Overview!$E$17=$B$14,'1. Size'!H8="x"),MAX(S9:S12),0))</f>
        <v>15</v>
      </c>
      <c r="V9" s="51" t="s">
        <v>44</v>
      </c>
      <c r="W9" s="52" t="s">
        <v>44</v>
      </c>
      <c r="X9" s="52"/>
      <c r="Y9" s="50"/>
      <c r="AA9" s="308" t="s">
        <v>59</v>
      </c>
      <c r="AB9" s="303" t="str">
        <f t="shared" si="3"/>
        <v>Project Team</v>
      </c>
      <c r="AC9" s="305" t="s">
        <v>189</v>
      </c>
      <c r="AD9" s="303" t="s">
        <v>41</v>
      </c>
      <c r="AE9" s="303">
        <v>1</v>
      </c>
      <c r="AF9" s="303">
        <v>0</v>
      </c>
      <c r="AG9" s="303">
        <v>5</v>
      </c>
      <c r="AH9" s="303" t="str">
        <f t="shared" si="4"/>
        <v>1.C.41</v>
      </c>
      <c r="AI9" s="312">
        <f t="shared" si="5"/>
        <v>0</v>
      </c>
      <c r="AJ9" s="313">
        <f>IF('1. Size'!F27=0,0,1)</f>
        <v>1</v>
      </c>
      <c r="AK9" s="327" t="b">
        <f>NOT(ISBLANK('1. Size'!E27))</f>
        <v>1</v>
      </c>
      <c r="AL9" s="313">
        <f t="shared" si="6"/>
        <v>1</v>
      </c>
    </row>
    <row r="10" spans="2:38" ht="12" thickBot="1">
      <c r="E10" s="45"/>
      <c r="F10" s="47" t="s">
        <v>66</v>
      </c>
      <c r="G10" s="47" t="str">
        <f>'2. Structure'!B10</f>
        <v>Project Team</v>
      </c>
      <c r="H10" s="283">
        <v>0.5</v>
      </c>
      <c r="I10" s="286">
        <f>SUMIF($K$5:$K$719,F10,$T$5:$T$719)</f>
        <v>55</v>
      </c>
      <c r="K10" s="45" t="s">
        <v>58</v>
      </c>
      <c r="L10" s="47" t="str">
        <f t="shared" si="0"/>
        <v>Project Estimation</v>
      </c>
      <c r="M10" s="47" t="str">
        <f>M9</f>
        <v>1.A.2</v>
      </c>
      <c r="N10" s="47" t="s">
        <v>42</v>
      </c>
      <c r="O10" s="47">
        <v>2</v>
      </c>
      <c r="P10" s="47">
        <v>1</v>
      </c>
      <c r="Q10" s="47">
        <v>5</v>
      </c>
      <c r="R10" s="48" t="str">
        <f t="shared" si="1"/>
        <v>1.A.22</v>
      </c>
      <c r="S10" s="49">
        <f t="shared" si="2"/>
        <v>5</v>
      </c>
      <c r="T10" s="258"/>
      <c r="V10" s="60" t="s">
        <v>45</v>
      </c>
      <c r="W10" s="61"/>
      <c r="X10" s="62"/>
      <c r="Y10" s="59"/>
      <c r="AA10" s="302" t="s">
        <v>66</v>
      </c>
      <c r="AB10" s="303" t="str">
        <f t="shared" si="3"/>
        <v>Project Team</v>
      </c>
      <c r="AC10" s="304" t="s">
        <v>75</v>
      </c>
      <c r="AD10" s="303" t="s">
        <v>41</v>
      </c>
      <c r="AE10" s="303">
        <v>1</v>
      </c>
      <c r="AF10" s="303">
        <v>0</v>
      </c>
      <c r="AG10" s="303">
        <v>5</v>
      </c>
      <c r="AH10" s="305" t="str">
        <f t="shared" si="4"/>
        <v>2.B.11</v>
      </c>
      <c r="AI10" s="311">
        <f t="shared" si="5"/>
        <v>0</v>
      </c>
      <c r="AJ10" s="313">
        <f>IF('2. Structure'!F11=0,0,1)</f>
        <v>0</v>
      </c>
      <c r="AK10" s="327" t="b">
        <f>NOT(ISBLANK('2. Structure'!E11))</f>
        <v>1</v>
      </c>
      <c r="AL10" s="313">
        <f t="shared" si="6"/>
        <v>0</v>
      </c>
    </row>
    <row r="11" spans="2:38" ht="12" thickBot="1">
      <c r="E11" s="138">
        <f>SUM(H9:H11)</f>
        <v>1</v>
      </c>
      <c r="F11" s="47" t="s">
        <v>67</v>
      </c>
      <c r="G11" s="47" t="str">
        <f>'2. Structure'!B28</f>
        <v>Business Requirements</v>
      </c>
      <c r="H11" s="283">
        <v>0.33</v>
      </c>
      <c r="I11" s="286">
        <f>SUMIF($K$5:$K$719,F11,$T$5:$T$719)</f>
        <v>40</v>
      </c>
      <c r="K11" s="45" t="s">
        <v>58</v>
      </c>
      <c r="L11" s="47" t="str">
        <f t="shared" si="0"/>
        <v>Project Estimation</v>
      </c>
      <c r="M11" s="47" t="str">
        <f>M9</f>
        <v>1.A.2</v>
      </c>
      <c r="N11" s="47" t="s">
        <v>43</v>
      </c>
      <c r="O11" s="47">
        <v>3</v>
      </c>
      <c r="P11" s="47">
        <v>2</v>
      </c>
      <c r="Q11" s="47">
        <v>5</v>
      </c>
      <c r="R11" s="48" t="str">
        <f t="shared" si="1"/>
        <v>1.A.23</v>
      </c>
      <c r="S11" s="49">
        <f t="shared" si="2"/>
        <v>10</v>
      </c>
      <c r="T11" s="258"/>
      <c r="V11" s="63"/>
      <c r="W11" s="63"/>
      <c r="X11" s="63"/>
      <c r="Y11" s="63"/>
      <c r="AA11" s="302" t="s">
        <v>66</v>
      </c>
      <c r="AB11" s="303" t="str">
        <f t="shared" si="3"/>
        <v>Project Team</v>
      </c>
      <c r="AC11" s="304" t="s">
        <v>192</v>
      </c>
      <c r="AD11" s="303" t="s">
        <v>41</v>
      </c>
      <c r="AE11" s="303">
        <v>1</v>
      </c>
      <c r="AF11" s="303">
        <v>0</v>
      </c>
      <c r="AG11" s="303">
        <v>5</v>
      </c>
      <c r="AH11" s="305" t="str">
        <f t="shared" si="4"/>
        <v>2.B.21</v>
      </c>
      <c r="AI11" s="311">
        <f t="shared" si="5"/>
        <v>0</v>
      </c>
      <c r="AJ11" s="313">
        <f>IF('2. Structure'!F13=0,0,1)</f>
        <v>0</v>
      </c>
      <c r="AK11" s="327" t="b">
        <f>NOT(ISBLANK('2. Structure'!E13))</f>
        <v>1</v>
      </c>
      <c r="AL11" s="313">
        <f t="shared" si="6"/>
        <v>0</v>
      </c>
    </row>
    <row r="12" spans="2:38" ht="12" thickBot="1">
      <c r="B12" s="151" t="s">
        <v>138</v>
      </c>
      <c r="E12" s="38" t="s">
        <v>48</v>
      </c>
      <c r="F12" s="39" t="s">
        <v>68</v>
      </c>
      <c r="G12" s="39" t="str">
        <f>'3. Technology'!B3</f>
        <v>Technical Requirements</v>
      </c>
      <c r="H12" s="282">
        <v>0.71</v>
      </c>
      <c r="I12" s="285">
        <f>Z79</f>
        <v>50</v>
      </c>
      <c r="K12" s="64" t="s">
        <v>58</v>
      </c>
      <c r="L12" s="65" t="str">
        <f t="shared" si="0"/>
        <v>Project Estimation</v>
      </c>
      <c r="M12" s="65" t="str">
        <f>M9</f>
        <v>1.A.2</v>
      </c>
      <c r="N12" s="65" t="s">
        <v>44</v>
      </c>
      <c r="O12" s="65">
        <v>4</v>
      </c>
      <c r="P12" s="65">
        <v>3</v>
      </c>
      <c r="Q12" s="65">
        <v>5</v>
      </c>
      <c r="R12" s="66" t="str">
        <f t="shared" si="1"/>
        <v>1.A.24</v>
      </c>
      <c r="S12" s="67">
        <f t="shared" si="2"/>
        <v>15</v>
      </c>
      <c r="T12" s="258"/>
      <c r="V12" s="63"/>
      <c r="W12" s="63"/>
      <c r="X12" s="63"/>
      <c r="Y12" s="63"/>
      <c r="AH12" s="306" t="s">
        <v>205</v>
      </c>
      <c r="AI12" s="314">
        <f>Overview!F48</f>
        <v>0.61121933621933622</v>
      </c>
      <c r="AJ12" s="313">
        <f>IF(AI12&lt;51%,0,1)</f>
        <v>1</v>
      </c>
      <c r="AK12" s="327" t="b">
        <f>IF(Overview!K48&gt;=0,TRUE,FALSE)</f>
        <v>1</v>
      </c>
      <c r="AL12" s="313">
        <f t="shared" si="6"/>
        <v>1</v>
      </c>
    </row>
    <row r="13" spans="2:38" ht="12" customHeight="1" thickBot="1">
      <c r="B13" s="152" t="s">
        <v>139</v>
      </c>
      <c r="E13" s="267">
        <f>SUM(H12:H13)</f>
        <v>1</v>
      </c>
      <c r="F13" s="56" t="s">
        <v>69</v>
      </c>
      <c r="G13" s="56" t="str">
        <f>'3. Technology'!B21</f>
        <v>Security</v>
      </c>
      <c r="H13" s="284">
        <v>0.28999999999999998</v>
      </c>
      <c r="I13" s="287">
        <f>IF('3. Technology'!E25="E",SUMIF($K$5:$K$719,F13,$T$5:$T$719)-T84,SUMIF($K$5:$K$719,F13,$T$5:$T$719))</f>
        <v>25</v>
      </c>
      <c r="K13" s="38" t="s">
        <v>191</v>
      </c>
      <c r="L13" s="39" t="str">
        <f t="shared" si="0"/>
        <v>Project Type</v>
      </c>
      <c r="M13" s="39" t="s">
        <v>190</v>
      </c>
      <c r="N13" s="39" t="s">
        <v>41</v>
      </c>
      <c r="O13" s="39">
        <v>1</v>
      </c>
      <c r="P13" s="39">
        <v>0</v>
      </c>
      <c r="Q13" s="39">
        <v>5</v>
      </c>
      <c r="R13" s="40" t="str">
        <f t="shared" si="1"/>
        <v>1.B.11</v>
      </c>
      <c r="S13" s="41">
        <f t="shared" ref="S13:S20" si="7">P13*Q13</f>
        <v>0</v>
      </c>
      <c r="T13" s="273">
        <f>IF(AND(Overview!$E$17=$B$13,'1. Size'!I18="x"),MAX(S13:S16),IF(AND(Overview!$E$17=$B$14,'1. Size'!H18="x"),MAX(S13:S16),0))</f>
        <v>15</v>
      </c>
      <c r="V13" s="414" t="s">
        <v>107</v>
      </c>
      <c r="W13" s="415"/>
      <c r="X13" s="415"/>
      <c r="Y13" s="416"/>
      <c r="AJ13" s="300"/>
    </row>
    <row r="14" spans="2:38" ht="12" thickBot="1">
      <c r="B14" s="153" t="s">
        <v>140</v>
      </c>
      <c r="E14" s="63"/>
      <c r="F14" s="63"/>
      <c r="G14" s="63"/>
      <c r="H14" s="63"/>
      <c r="I14" s="196"/>
      <c r="K14" s="45" t="s">
        <v>191</v>
      </c>
      <c r="L14" s="47" t="str">
        <f t="shared" si="0"/>
        <v>Project Type</v>
      </c>
      <c r="M14" s="47" t="str">
        <f>M13</f>
        <v>1.B.1</v>
      </c>
      <c r="N14" s="47" t="s">
        <v>42</v>
      </c>
      <c r="O14" s="47">
        <v>2</v>
      </c>
      <c r="P14" s="47">
        <v>1</v>
      </c>
      <c r="Q14" s="47">
        <v>5</v>
      </c>
      <c r="R14" s="48" t="str">
        <f t="shared" si="1"/>
        <v>1.B.12</v>
      </c>
      <c r="S14" s="49">
        <f t="shared" si="7"/>
        <v>5</v>
      </c>
      <c r="T14" s="258"/>
      <c r="V14" s="38"/>
      <c r="W14" s="418">
        <v>0</v>
      </c>
      <c r="X14" s="418"/>
      <c r="Y14" s="419"/>
      <c r="AI14" s="306" t="s">
        <v>206</v>
      </c>
      <c r="AJ14" s="300">
        <f>COUNTIF(AL5:AL12,1)</f>
        <v>3</v>
      </c>
    </row>
    <row r="15" spans="2:38" ht="12.75" customHeight="1" thickBot="1">
      <c r="E15" s="63"/>
      <c r="F15" s="354"/>
      <c r="G15" s="63"/>
      <c r="H15" s="63"/>
      <c r="I15" s="196"/>
      <c r="K15" s="45" t="s">
        <v>191</v>
      </c>
      <c r="L15" s="47" t="str">
        <f t="shared" si="0"/>
        <v>Project Type</v>
      </c>
      <c r="M15" s="47" t="str">
        <f>M13</f>
        <v>1.B.1</v>
      </c>
      <c r="N15" s="47" t="s">
        <v>43</v>
      </c>
      <c r="O15" s="47">
        <v>3</v>
      </c>
      <c r="P15" s="47">
        <v>2</v>
      </c>
      <c r="Q15" s="47">
        <v>5</v>
      </c>
      <c r="R15" s="48" t="str">
        <f t="shared" si="1"/>
        <v>1.B.13</v>
      </c>
      <c r="S15" s="49">
        <f t="shared" si="7"/>
        <v>10</v>
      </c>
      <c r="T15" s="258"/>
      <c r="V15" s="45" t="s">
        <v>41</v>
      </c>
      <c r="W15" s="420">
        <v>1</v>
      </c>
      <c r="X15" s="420"/>
      <c r="Y15" s="421"/>
      <c r="AI15" s="306" t="s">
        <v>207</v>
      </c>
      <c r="AJ15" s="300" t="str">
        <f>IF(AJ14=0,"Yes","No")</f>
        <v>No</v>
      </c>
    </row>
    <row r="16" spans="2:38" ht="12" thickBot="1">
      <c r="B16" s="151" t="s">
        <v>144</v>
      </c>
      <c r="F16" s="354"/>
      <c r="K16" s="64" t="s">
        <v>191</v>
      </c>
      <c r="L16" s="65" t="str">
        <f t="shared" si="0"/>
        <v>Project Type</v>
      </c>
      <c r="M16" s="65" t="str">
        <f>M13</f>
        <v>1.B.1</v>
      </c>
      <c r="N16" s="65" t="s">
        <v>44</v>
      </c>
      <c r="O16" s="65">
        <v>4</v>
      </c>
      <c r="P16" s="65">
        <v>3</v>
      </c>
      <c r="Q16" s="65">
        <v>5</v>
      </c>
      <c r="R16" s="66" t="str">
        <f t="shared" si="1"/>
        <v>1.B.14</v>
      </c>
      <c r="S16" s="67">
        <f t="shared" si="7"/>
        <v>15</v>
      </c>
      <c r="T16" s="258"/>
      <c r="V16" s="45" t="s">
        <v>42</v>
      </c>
      <c r="W16" s="420">
        <v>2</v>
      </c>
      <c r="X16" s="420"/>
      <c r="Y16" s="421"/>
    </row>
    <row r="17" spans="2:25" ht="12" thickBot="1">
      <c r="B17" s="200" t="s">
        <v>10</v>
      </c>
      <c r="F17" s="354"/>
      <c r="K17" s="255" t="s">
        <v>59</v>
      </c>
      <c r="L17" s="39" t="str">
        <f t="shared" si="0"/>
        <v>Project Team</v>
      </c>
      <c r="M17" s="40" t="s">
        <v>60</v>
      </c>
      <c r="N17" s="39" t="s">
        <v>41</v>
      </c>
      <c r="O17" s="39">
        <v>1</v>
      </c>
      <c r="P17" s="39">
        <v>0</v>
      </c>
      <c r="Q17" s="39">
        <v>5</v>
      </c>
      <c r="R17" s="40" t="str">
        <f t="shared" si="1"/>
        <v>1.C.11</v>
      </c>
      <c r="S17" s="41">
        <f t="shared" si="7"/>
        <v>0</v>
      </c>
      <c r="T17" s="273">
        <f>IF(AND(Overview!$E$17=$B$13,'1. Size'!I22="x"),MAX(S17:S20),IF(AND(Overview!$E$17=$B$14,'1. Size'!H22="x"),MAX(S17:S20),0))</f>
        <v>10</v>
      </c>
      <c r="V17" s="45" t="s">
        <v>43</v>
      </c>
      <c r="W17" s="420">
        <v>3</v>
      </c>
      <c r="X17" s="420"/>
      <c r="Y17" s="421"/>
    </row>
    <row r="18" spans="2:25" ht="12" thickBot="1">
      <c r="F18" s="354"/>
      <c r="K18" s="256" t="s">
        <v>59</v>
      </c>
      <c r="L18" s="47" t="str">
        <f t="shared" si="0"/>
        <v>Project Team</v>
      </c>
      <c r="M18" s="47" t="str">
        <f>M17</f>
        <v>1.C.1</v>
      </c>
      <c r="N18" s="47" t="s">
        <v>42</v>
      </c>
      <c r="O18" s="47">
        <v>2</v>
      </c>
      <c r="P18" s="47">
        <v>1</v>
      </c>
      <c r="Q18" s="47">
        <v>5</v>
      </c>
      <c r="R18" s="48" t="str">
        <f t="shared" si="1"/>
        <v>1.C.12</v>
      </c>
      <c r="S18" s="49">
        <f t="shared" si="7"/>
        <v>5</v>
      </c>
      <c r="T18" s="258"/>
      <c r="V18" s="45" t="s">
        <v>44</v>
      </c>
      <c r="W18" s="420">
        <v>4</v>
      </c>
      <c r="X18" s="420"/>
      <c r="Y18" s="421"/>
    </row>
    <row r="19" spans="2:25" ht="12" thickBot="1">
      <c r="B19" s="151" t="s">
        <v>119</v>
      </c>
      <c r="E19" s="63"/>
      <c r="F19" s="354"/>
      <c r="G19" s="63"/>
      <c r="H19" s="63"/>
      <c r="I19" s="196"/>
      <c r="K19" s="256" t="s">
        <v>59</v>
      </c>
      <c r="L19" s="47" t="str">
        <f t="shared" si="0"/>
        <v>Project Team</v>
      </c>
      <c r="M19" s="47" t="str">
        <f>M17</f>
        <v>1.C.1</v>
      </c>
      <c r="N19" s="47" t="s">
        <v>43</v>
      </c>
      <c r="O19" s="47">
        <v>3</v>
      </c>
      <c r="P19" s="47">
        <v>2</v>
      </c>
      <c r="Q19" s="47">
        <v>5</v>
      </c>
      <c r="R19" s="48" t="str">
        <f t="shared" si="1"/>
        <v>1.C.13</v>
      </c>
      <c r="S19" s="49">
        <f t="shared" si="7"/>
        <v>10</v>
      </c>
      <c r="T19" s="258"/>
      <c r="V19" s="55" t="s">
        <v>45</v>
      </c>
      <c r="W19" s="437">
        <v>5</v>
      </c>
      <c r="X19" s="437"/>
      <c r="Y19" s="438"/>
    </row>
    <row r="20" spans="2:25" ht="12" thickBot="1">
      <c r="B20" s="165" t="s">
        <v>120</v>
      </c>
      <c r="F20" s="354"/>
      <c r="I20" s="196"/>
      <c r="K20" s="257" t="s">
        <v>59</v>
      </c>
      <c r="L20" s="56" t="str">
        <f t="shared" si="0"/>
        <v>Project Team</v>
      </c>
      <c r="M20" s="173" t="str">
        <f>M17</f>
        <v>1.C.1</v>
      </c>
      <c r="N20" s="173" t="s">
        <v>44</v>
      </c>
      <c r="O20" s="173">
        <v>4</v>
      </c>
      <c r="P20" s="173">
        <v>0</v>
      </c>
      <c r="Q20" s="173">
        <v>5</v>
      </c>
      <c r="R20" s="174" t="str">
        <f t="shared" si="1"/>
        <v>1.C.14</v>
      </c>
      <c r="S20" s="175">
        <f t="shared" si="7"/>
        <v>0</v>
      </c>
      <c r="T20" s="259"/>
      <c r="U20" s="266" t="s">
        <v>30</v>
      </c>
      <c r="V20" s="63"/>
      <c r="W20" s="63"/>
      <c r="X20" s="63"/>
      <c r="Y20" s="63"/>
    </row>
    <row r="21" spans="2:25" ht="12" thickBot="1">
      <c r="B21" s="153" t="s">
        <v>121</v>
      </c>
      <c r="F21" s="354"/>
      <c r="I21" s="196"/>
      <c r="K21" s="251" t="s">
        <v>59</v>
      </c>
      <c r="L21" s="39" t="str">
        <f t="shared" si="0"/>
        <v>Project Team</v>
      </c>
      <c r="M21" s="253" t="s">
        <v>61</v>
      </c>
      <c r="N21" s="39" t="s">
        <v>41</v>
      </c>
      <c r="O21" s="39">
        <v>1</v>
      </c>
      <c r="P21" s="39">
        <v>0</v>
      </c>
      <c r="Q21" s="39">
        <v>5</v>
      </c>
      <c r="R21" s="40" t="str">
        <f>M21&amp;O21</f>
        <v>1.C.21</v>
      </c>
      <c r="S21" s="41">
        <f>P21*Q21</f>
        <v>0</v>
      </c>
      <c r="T21" s="273">
        <f>IF(AND(Overview!$E$17=$B$13,'1. Size'!I22="x"),MAX(S21:S22),IF(AND(Overview!$E$17=$B$14,'1. Size'!H22="x"),MAX(S21:S22),0))</f>
        <v>5</v>
      </c>
      <c r="V21" s="63"/>
      <c r="W21" s="63"/>
      <c r="X21" s="63"/>
      <c r="Y21" s="63"/>
    </row>
    <row r="22" spans="2:25" ht="12" thickBot="1">
      <c r="F22" s="417"/>
      <c r="I22" s="196"/>
      <c r="K22" s="252" t="s">
        <v>59</v>
      </c>
      <c r="L22" s="47" t="str">
        <f t="shared" si="0"/>
        <v>Project Team</v>
      </c>
      <c r="M22" s="47" t="str">
        <f>M21</f>
        <v>1.C.2</v>
      </c>
      <c r="N22" s="47" t="s">
        <v>42</v>
      </c>
      <c r="O22" s="47">
        <v>2</v>
      </c>
      <c r="P22" s="47">
        <v>1</v>
      </c>
      <c r="Q22" s="47">
        <v>5</v>
      </c>
      <c r="R22" s="48" t="str">
        <f>M22&amp;O22</f>
        <v>1.C.22</v>
      </c>
      <c r="S22" s="49">
        <f>P22*Q22</f>
        <v>5</v>
      </c>
      <c r="T22" s="258"/>
      <c r="V22" s="63"/>
      <c r="W22" s="63"/>
      <c r="X22" s="318" t="s">
        <v>208</v>
      </c>
      <c r="Y22" s="63"/>
    </row>
    <row r="23" spans="2:25" ht="12" thickBot="1">
      <c r="B23" s="411" t="s">
        <v>201</v>
      </c>
      <c r="C23" s="412"/>
      <c r="D23" s="412"/>
      <c r="E23" s="413"/>
      <c r="F23" s="417"/>
      <c r="I23" s="196"/>
      <c r="K23" s="251" t="s">
        <v>59</v>
      </c>
      <c r="L23" s="39" t="str">
        <f t="shared" si="0"/>
        <v>Project Team</v>
      </c>
      <c r="M23" s="253" t="s">
        <v>159</v>
      </c>
      <c r="N23" s="39" t="s">
        <v>41</v>
      </c>
      <c r="O23" s="39">
        <v>1</v>
      </c>
      <c r="P23" s="39">
        <v>0</v>
      </c>
      <c r="Q23" s="39">
        <v>5</v>
      </c>
      <c r="R23" s="40" t="str">
        <f t="shared" ref="R23:R44" si="8">M23&amp;O23</f>
        <v>1.C.31</v>
      </c>
      <c r="S23" s="41">
        <f t="shared" ref="S23:S31" si="9">P23*Q23</f>
        <v>0</v>
      </c>
      <c r="T23" s="273">
        <f>IF(AND(Overview!$E$17=$B$13,'1. Size'!I24="x"),MAX(S23:S25),IF(AND(Overview!$E$17=$B$14,'1. Size'!H24="x"),MAX(S23:S25),0))</f>
        <v>10</v>
      </c>
      <c r="V23" s="63"/>
      <c r="W23" s="63"/>
      <c r="X23" s="319" t="s">
        <v>10</v>
      </c>
      <c r="Y23" s="63"/>
    </row>
    <row r="24" spans="2:25" ht="12" thickBot="1">
      <c r="B24" s="38" t="str">
        <f>'1. Size'!A3&amp;" "&amp; '1. Size'!B3</f>
        <v>1.A Project Estimation</v>
      </c>
      <c r="C24" s="39">
        <v>2</v>
      </c>
      <c r="D24" s="39">
        <f>COUNTBLANK('1. Size'!E4)+COUNTBLANK('1. Size'!E8)</f>
        <v>0</v>
      </c>
      <c r="E24" s="291" t="str">
        <f>IF(D24&lt;&gt;0,"No","Yes")</f>
        <v>Yes</v>
      </c>
      <c r="F24" s="417"/>
      <c r="I24" s="196"/>
      <c r="K24" s="252" t="s">
        <v>59</v>
      </c>
      <c r="L24" s="47" t="str">
        <f t="shared" si="0"/>
        <v>Project Team</v>
      </c>
      <c r="M24" s="47" t="str">
        <f>M23</f>
        <v>1.C.3</v>
      </c>
      <c r="N24" s="47" t="s">
        <v>42</v>
      </c>
      <c r="O24" s="47">
        <v>2</v>
      </c>
      <c r="P24" s="47">
        <v>1</v>
      </c>
      <c r="Q24" s="47">
        <v>5</v>
      </c>
      <c r="R24" s="48" t="str">
        <f t="shared" si="8"/>
        <v>1.C.32</v>
      </c>
      <c r="S24" s="49">
        <f t="shared" si="9"/>
        <v>5</v>
      </c>
      <c r="T24" s="258"/>
      <c r="V24" s="63"/>
      <c r="W24" s="63"/>
      <c r="X24" s="320" t="s">
        <v>9</v>
      </c>
      <c r="Y24" s="63"/>
    </row>
    <row r="25" spans="2:25" ht="12" thickBot="1">
      <c r="B25" s="45" t="str">
        <f>'1. Size'!A12&amp;" "&amp; '1. Size'!B12</f>
        <v>1.B Project Type</v>
      </c>
      <c r="C25" s="47">
        <v>1</v>
      </c>
      <c r="D25" s="47">
        <f>COUNTBLANK('1. Size'!E13)</f>
        <v>0</v>
      </c>
      <c r="E25" s="292" t="str">
        <f t="shared" ref="E25:E31" si="10">IF(D25&lt;&gt;0,"No","Yes")</f>
        <v>Yes</v>
      </c>
      <c r="F25" s="417"/>
      <c r="K25" s="252" t="s">
        <v>59</v>
      </c>
      <c r="L25" s="47" t="str">
        <f t="shared" si="0"/>
        <v>Project Team</v>
      </c>
      <c r="M25" s="47" t="str">
        <f>M23</f>
        <v>1.C.3</v>
      </c>
      <c r="N25" s="47" t="s">
        <v>43</v>
      </c>
      <c r="O25" s="47">
        <v>3</v>
      </c>
      <c r="P25" s="47">
        <v>2</v>
      </c>
      <c r="Q25" s="47">
        <v>5</v>
      </c>
      <c r="R25" s="48" t="str">
        <f t="shared" si="8"/>
        <v>1.C.33</v>
      </c>
      <c r="S25" s="49">
        <f t="shared" si="9"/>
        <v>10</v>
      </c>
      <c r="T25" s="259"/>
      <c r="V25" s="63"/>
      <c r="W25" s="63"/>
      <c r="X25" s="63"/>
      <c r="Y25" s="63"/>
    </row>
    <row r="26" spans="2:25" ht="12" customHeight="1" thickBot="1">
      <c r="B26" s="64" t="str">
        <f>'1. Size'!A17&amp;" "&amp; '1. Size'!B17</f>
        <v>1.C Project Team</v>
      </c>
      <c r="C26" s="65">
        <v>4</v>
      </c>
      <c r="D26" s="65">
        <f>COUNTBLANK('1. Size'!E18)+COUNTBLANK('1. Size'!E22)+COUNTBLANK('1. Size'!E24)+COUNTBLANK('1. Size'!E27)</f>
        <v>0</v>
      </c>
      <c r="E26" s="293" t="str">
        <f t="shared" si="10"/>
        <v>Yes</v>
      </c>
      <c r="F26" s="417"/>
      <c r="K26" s="255" t="s">
        <v>59</v>
      </c>
      <c r="L26" s="39" t="str">
        <f t="shared" si="0"/>
        <v>Project Team</v>
      </c>
      <c r="M26" s="40" t="s">
        <v>189</v>
      </c>
      <c r="N26" s="39" t="s">
        <v>41</v>
      </c>
      <c r="O26" s="39">
        <v>1</v>
      </c>
      <c r="P26" s="39">
        <v>0</v>
      </c>
      <c r="Q26" s="39">
        <v>5</v>
      </c>
      <c r="R26" s="39" t="str">
        <f>M26&amp;O26</f>
        <v>1.C.41</v>
      </c>
      <c r="S26" s="70">
        <f t="shared" si="9"/>
        <v>0</v>
      </c>
      <c r="T26" s="273">
        <f>IF(AND(Overview!$E$17=$B$13,'1. Size'!I27="x"),MAX(S26:S28),IF(AND(Overview!$E$17=$B$14,'1. Size'!H27="x"),MAX(S26:S28),0))</f>
        <v>10</v>
      </c>
      <c r="V26" s="63"/>
      <c r="W26" s="63"/>
      <c r="X26" s="63"/>
      <c r="Y26" s="63"/>
    </row>
    <row r="27" spans="2:25">
      <c r="B27" s="38" t="str">
        <f>'2. Structure'!A3&amp;" "&amp; '2. Structure'!B3</f>
        <v>2.A Administration and Control</v>
      </c>
      <c r="C27" s="39">
        <v>2</v>
      </c>
      <c r="D27" s="39">
        <f>COUNTBLANK('2. Structure'!E4)+COUNTBLANK('2. Structure'!E7)</f>
        <v>0</v>
      </c>
      <c r="E27" s="291" t="str">
        <f t="shared" si="10"/>
        <v>Yes</v>
      </c>
      <c r="F27" s="417"/>
      <c r="K27" s="45" t="s">
        <v>59</v>
      </c>
      <c r="L27" s="47" t="str">
        <f t="shared" si="0"/>
        <v>Project Team</v>
      </c>
      <c r="M27" s="47" t="str">
        <f>M26</f>
        <v>1.C.4</v>
      </c>
      <c r="N27" s="47" t="s">
        <v>42</v>
      </c>
      <c r="O27" s="47">
        <v>2</v>
      </c>
      <c r="P27" s="47">
        <v>1</v>
      </c>
      <c r="Q27" s="47">
        <v>5</v>
      </c>
      <c r="R27" s="47" t="str">
        <f>M27&amp;O27</f>
        <v>1.C.42</v>
      </c>
      <c r="S27" s="69">
        <f t="shared" si="9"/>
        <v>5</v>
      </c>
      <c r="T27" s="258"/>
      <c r="V27" s="63"/>
      <c r="W27" s="63"/>
      <c r="X27" s="63"/>
      <c r="Y27" s="63"/>
    </row>
    <row r="28" spans="2:25" ht="12" thickBot="1">
      <c r="B28" s="45" t="str">
        <f>'2. Structure'!A10&amp;" "&amp; '2. Structure'!B10</f>
        <v>2.B Project Team</v>
      </c>
      <c r="C28" s="47">
        <v>6</v>
      </c>
      <c r="D28" s="47">
        <f>COUNTBLANK('2. Structure'!E11)+COUNTBLANK('2. Structure'!E13)+COUNTBLANK('2. Structure'!E15)+COUNTBLANK('2. Structure'!E17)+COUNTBLANK('2. Structure'!E21)+COUNTBLANK('2. Structure'!E25)</f>
        <v>0</v>
      </c>
      <c r="E28" s="292" t="str">
        <f t="shared" si="10"/>
        <v>Yes</v>
      </c>
      <c r="F28" s="417"/>
      <c r="K28" s="55" t="s">
        <v>59</v>
      </c>
      <c r="L28" s="56" t="str">
        <f t="shared" si="0"/>
        <v>Project Team</v>
      </c>
      <c r="M28" s="56" t="str">
        <f>M26</f>
        <v>1.C.4</v>
      </c>
      <c r="N28" s="56" t="s">
        <v>43</v>
      </c>
      <c r="O28" s="56">
        <v>3</v>
      </c>
      <c r="P28" s="56">
        <v>2</v>
      </c>
      <c r="Q28" s="56">
        <v>5</v>
      </c>
      <c r="R28" s="56" t="str">
        <f>M28&amp;O28</f>
        <v>1.C.43</v>
      </c>
      <c r="S28" s="260">
        <f t="shared" si="9"/>
        <v>10</v>
      </c>
      <c r="T28" s="259"/>
      <c r="V28" s="63"/>
      <c r="W28" s="63"/>
      <c r="X28" s="63"/>
      <c r="Y28" s="63"/>
    </row>
    <row r="29" spans="2:25" ht="12" thickBot="1">
      <c r="B29" s="64" t="str">
        <f>'2. Structure'!A28&amp;" "&amp; '2. Structure'!B28</f>
        <v>2.C Business Requirements</v>
      </c>
      <c r="C29" s="65">
        <v>4</v>
      </c>
      <c r="D29" s="65">
        <f>COUNTBLANK('2. Structure'!E29)+COUNTBLANK('2. Structure'!E32)+COUNTBLANK('2. Structure'!E35)+COUNTBLANK('2. Structure'!E38)</f>
        <v>0</v>
      </c>
      <c r="E29" s="293" t="str">
        <f t="shared" si="10"/>
        <v>Yes</v>
      </c>
      <c r="F29" s="417"/>
      <c r="K29" s="261" t="s">
        <v>65</v>
      </c>
      <c r="L29" s="205" t="str">
        <f t="shared" si="0"/>
        <v>Administration and Control</v>
      </c>
      <c r="M29" s="205" t="s">
        <v>73</v>
      </c>
      <c r="N29" s="205" t="s">
        <v>41</v>
      </c>
      <c r="O29" s="205">
        <v>1</v>
      </c>
      <c r="P29" s="205">
        <v>0</v>
      </c>
      <c r="Q29" s="205">
        <v>5</v>
      </c>
      <c r="R29" s="206" t="str">
        <f t="shared" si="8"/>
        <v>2.A.11</v>
      </c>
      <c r="S29" s="262">
        <f t="shared" si="9"/>
        <v>0</v>
      </c>
      <c r="T29" s="427">
        <f>IF(AND(Overview!$E$17=$B$13,'2. Structure'!I4="x"),MAX(S29:S31),IF(AND(Overview!$E$17=$B$14,'2. Structure'!H4="x"),MAX(S29:S31),0))</f>
        <v>10</v>
      </c>
      <c r="V29" s="63"/>
      <c r="W29" s="63"/>
      <c r="X29" s="63"/>
      <c r="Y29" s="63"/>
    </row>
    <row r="30" spans="2:25">
      <c r="B30" s="38" t="str">
        <f>'3. Technology'!A3&amp;" "&amp; '3. Technology'!B3</f>
        <v>3.A Technical Requirements</v>
      </c>
      <c r="C30" s="39">
        <v>5</v>
      </c>
      <c r="D30" s="39">
        <f>COUNTBLANK('3. Technology'!E4)+COUNTBLANK('3. Technology'!E7)+COUNTBLANK('3. Technology'!E11)+COUNTBLANK('3. Technology'!E15)+COUNTBLANK('3. Technology'!E18)</f>
        <v>0</v>
      </c>
      <c r="E30" s="291" t="str">
        <f t="shared" si="10"/>
        <v>Yes</v>
      </c>
      <c r="F30" s="417"/>
      <c r="K30" s="45" t="s">
        <v>65</v>
      </c>
      <c r="L30" s="47" t="str">
        <f t="shared" si="0"/>
        <v>Administration and Control</v>
      </c>
      <c r="M30" s="47" t="str">
        <f>M29</f>
        <v>2.A.1</v>
      </c>
      <c r="N30" s="47" t="s">
        <v>42</v>
      </c>
      <c r="O30" s="47">
        <v>2</v>
      </c>
      <c r="P30" s="47">
        <v>1</v>
      </c>
      <c r="Q30" s="47">
        <v>5</v>
      </c>
      <c r="R30" s="48" t="str">
        <f t="shared" si="8"/>
        <v>2.A.12</v>
      </c>
      <c r="S30" s="69">
        <f t="shared" si="9"/>
        <v>5</v>
      </c>
      <c r="T30" s="426" t="s">
        <v>134</v>
      </c>
      <c r="V30" s="63"/>
      <c r="W30" s="63"/>
      <c r="X30" s="63"/>
      <c r="Y30" s="63"/>
    </row>
    <row r="31" spans="2:25" ht="12" thickBot="1">
      <c r="B31" s="55" t="str">
        <f>'3. Technology'!A21&amp;" "&amp; '3. Technology'!B21</f>
        <v>3.B Security</v>
      </c>
      <c r="C31" s="56">
        <v>2</v>
      </c>
      <c r="D31" s="56">
        <f>COUNTBLANK('3. Technology'!E22)+COUNTBLANK('3. Technology'!E25)</f>
        <v>0</v>
      </c>
      <c r="E31" s="294" t="str">
        <f t="shared" si="10"/>
        <v>Yes</v>
      </c>
      <c r="F31" s="417"/>
      <c r="K31" s="64" t="s">
        <v>65</v>
      </c>
      <c r="L31" s="65" t="str">
        <f t="shared" si="0"/>
        <v>Administration and Control</v>
      </c>
      <c r="M31" s="65" t="str">
        <f>M29</f>
        <v>2.A.1</v>
      </c>
      <c r="N31" s="65" t="s">
        <v>43</v>
      </c>
      <c r="O31" s="65">
        <v>3</v>
      </c>
      <c r="P31" s="65">
        <v>2</v>
      </c>
      <c r="Q31" s="65">
        <v>5</v>
      </c>
      <c r="R31" s="66" t="str">
        <f t="shared" si="8"/>
        <v>2.A.13</v>
      </c>
      <c r="S31" s="263">
        <f t="shared" si="9"/>
        <v>10</v>
      </c>
      <c r="T31" s="428" t="s">
        <v>134</v>
      </c>
      <c r="V31" s="63"/>
      <c r="W31" s="63"/>
      <c r="X31" s="63"/>
      <c r="Y31" s="63"/>
    </row>
    <row r="32" spans="2:25" ht="11.25" customHeight="1">
      <c r="B32" s="63" t="str">
        <f>'1. Size'!A11&amp;" "&amp; '1. Size'!B11</f>
        <v xml:space="preserve"> </v>
      </c>
      <c r="F32" s="417"/>
      <c r="K32" s="38" t="s">
        <v>65</v>
      </c>
      <c r="L32" s="39" t="str">
        <f t="shared" si="0"/>
        <v>Administration and Control</v>
      </c>
      <c r="M32" s="40" t="s">
        <v>74</v>
      </c>
      <c r="N32" s="39" t="s">
        <v>41</v>
      </c>
      <c r="O32" s="39">
        <v>1</v>
      </c>
      <c r="P32" s="39">
        <v>0</v>
      </c>
      <c r="Q32" s="39">
        <v>5</v>
      </c>
      <c r="R32" s="40" t="str">
        <f t="shared" si="8"/>
        <v>2.A.21</v>
      </c>
      <c r="S32" s="70">
        <f t="shared" ref="S32:S47" si="11">P32*Q32</f>
        <v>0</v>
      </c>
      <c r="T32" s="425">
        <f>IF(AND(Overview!$E$17=$B$13,'2. Structure'!I7="x"),MAX(S32:S34),IF(AND(Overview!$E$17=$B$14,'2. Structure'!H7="x"),MAX(S32:S34),0))</f>
        <v>10</v>
      </c>
      <c r="V32" s="63"/>
      <c r="W32" s="63"/>
      <c r="X32" s="63"/>
      <c r="Y32" s="63"/>
    </row>
    <row r="33" spans="2:25">
      <c r="B33" s="63"/>
      <c r="F33" s="417"/>
      <c r="K33" s="45" t="s">
        <v>65</v>
      </c>
      <c r="L33" s="47" t="str">
        <f t="shared" si="0"/>
        <v>Administration and Control</v>
      </c>
      <c r="M33" s="47" t="str">
        <f>M32</f>
        <v>2.A.2</v>
      </c>
      <c r="N33" s="47" t="s">
        <v>42</v>
      </c>
      <c r="O33" s="47">
        <v>2</v>
      </c>
      <c r="P33" s="47">
        <v>1</v>
      </c>
      <c r="Q33" s="47">
        <v>5</v>
      </c>
      <c r="R33" s="48" t="str">
        <f t="shared" si="8"/>
        <v>2.A.22</v>
      </c>
      <c r="S33" s="69">
        <f t="shared" si="11"/>
        <v>5</v>
      </c>
      <c r="T33" s="426" t="s">
        <v>134</v>
      </c>
      <c r="V33" s="63"/>
      <c r="W33" s="63"/>
      <c r="X33" s="63"/>
      <c r="Y33" s="63"/>
    </row>
    <row r="34" spans="2:25" ht="12" thickBot="1">
      <c r="B34" s="63"/>
      <c r="F34" s="417"/>
      <c r="K34" s="55" t="s">
        <v>65</v>
      </c>
      <c r="L34" s="56" t="str">
        <f t="shared" si="0"/>
        <v>Administration and Control</v>
      </c>
      <c r="M34" s="56" t="str">
        <f>M32</f>
        <v>2.A.2</v>
      </c>
      <c r="N34" s="56" t="s">
        <v>43</v>
      </c>
      <c r="O34" s="56">
        <v>3</v>
      </c>
      <c r="P34" s="56">
        <v>2</v>
      </c>
      <c r="Q34" s="56">
        <v>5</v>
      </c>
      <c r="R34" s="57" t="str">
        <f t="shared" si="8"/>
        <v>2.A.23</v>
      </c>
      <c r="S34" s="260">
        <f t="shared" si="11"/>
        <v>10</v>
      </c>
      <c r="T34" s="429" t="s">
        <v>134</v>
      </c>
      <c r="V34" s="63"/>
      <c r="W34" s="63"/>
      <c r="X34" s="63"/>
      <c r="Y34" s="63"/>
    </row>
    <row r="35" spans="2:25">
      <c r="B35" s="63" t="str">
        <f>'1. Size'!A14&amp;" "&amp; '1. Size'!B14</f>
        <v xml:space="preserve"> </v>
      </c>
      <c r="K35" s="251" t="s">
        <v>66</v>
      </c>
      <c r="L35" s="39" t="str">
        <f t="shared" si="0"/>
        <v>Project Team</v>
      </c>
      <c r="M35" s="253" t="s">
        <v>75</v>
      </c>
      <c r="N35" s="39" t="s">
        <v>41</v>
      </c>
      <c r="O35" s="39">
        <v>1</v>
      </c>
      <c r="P35" s="39">
        <v>0</v>
      </c>
      <c r="Q35" s="39">
        <v>5</v>
      </c>
      <c r="R35" s="40" t="str">
        <f t="shared" ref="R35:R40" si="12">M35&amp;O35</f>
        <v>2.B.11</v>
      </c>
      <c r="S35" s="41">
        <f t="shared" ref="S35:S40" si="13">P35*Q35</f>
        <v>0</v>
      </c>
      <c r="T35" s="273">
        <f>IF(AND(Overview!$E$17=$B$13,'2. Structure'!I7="x"),MAX(S35:S36),IF(AND(Overview!$E$17=$B$14,'2. Structure'!H7="x"),MAX(S35:S36),0))</f>
        <v>5</v>
      </c>
      <c r="V35" s="63"/>
      <c r="W35" s="63"/>
      <c r="X35" s="63"/>
      <c r="Y35" s="63"/>
    </row>
    <row r="36" spans="2:25" ht="12" thickBot="1">
      <c r="B36" s="63"/>
      <c r="K36" s="257" t="s">
        <v>66</v>
      </c>
      <c r="L36" s="56" t="str">
        <f t="shared" si="0"/>
        <v>Project Team</v>
      </c>
      <c r="M36" s="56" t="str">
        <f>M35</f>
        <v>2.B.1</v>
      </c>
      <c r="N36" s="56" t="s">
        <v>42</v>
      </c>
      <c r="O36" s="56">
        <v>2</v>
      </c>
      <c r="P36" s="56">
        <v>1</v>
      </c>
      <c r="Q36" s="56">
        <v>5</v>
      </c>
      <c r="R36" s="57" t="str">
        <f t="shared" si="12"/>
        <v>2.B.12</v>
      </c>
      <c r="S36" s="58">
        <f t="shared" si="13"/>
        <v>5</v>
      </c>
      <c r="T36" s="259"/>
      <c r="V36" s="63"/>
      <c r="W36" s="63"/>
      <c r="X36" s="63"/>
      <c r="Y36" s="63"/>
    </row>
    <row r="37" spans="2:25" ht="12" customHeight="1">
      <c r="B37" s="63"/>
      <c r="K37" s="251" t="s">
        <v>66</v>
      </c>
      <c r="L37" s="39" t="str">
        <f t="shared" ref="L37:L68" si="14">VLOOKUP(K37,$F$6:$G$31,2)</f>
        <v>Project Team</v>
      </c>
      <c r="M37" s="253" t="s">
        <v>192</v>
      </c>
      <c r="N37" s="39" t="s">
        <v>41</v>
      </c>
      <c r="O37" s="39">
        <v>1</v>
      </c>
      <c r="P37" s="39">
        <v>0</v>
      </c>
      <c r="Q37" s="39">
        <v>5</v>
      </c>
      <c r="R37" s="40" t="str">
        <f t="shared" si="12"/>
        <v>2.B.21</v>
      </c>
      <c r="S37" s="41">
        <f t="shared" si="13"/>
        <v>0</v>
      </c>
      <c r="T37" s="273">
        <f>IF(AND(Overview!$E$17=$B$13,'2. Structure'!I9="x"),MAX(S37:S38),IF(AND(Overview!$E$17=$B$14,'2. Structure'!H9="x"),MAX(S37:S38),0))</f>
        <v>5</v>
      </c>
      <c r="V37" s="63"/>
      <c r="W37" s="63"/>
      <c r="X37" s="63"/>
      <c r="Y37" s="63"/>
    </row>
    <row r="38" spans="2:25" ht="12" thickBot="1">
      <c r="B38" s="63"/>
      <c r="K38" s="257" t="s">
        <v>66</v>
      </c>
      <c r="L38" s="56" t="str">
        <f t="shared" si="14"/>
        <v>Project Team</v>
      </c>
      <c r="M38" s="56" t="str">
        <f>M37</f>
        <v>2.B.2</v>
      </c>
      <c r="N38" s="56" t="s">
        <v>42</v>
      </c>
      <c r="O38" s="56">
        <v>2</v>
      </c>
      <c r="P38" s="56">
        <v>1</v>
      </c>
      <c r="Q38" s="56">
        <v>5</v>
      </c>
      <c r="R38" s="57" t="str">
        <f t="shared" si="12"/>
        <v>2.B.22</v>
      </c>
      <c r="S38" s="58">
        <f t="shared" si="13"/>
        <v>5</v>
      </c>
      <c r="T38" s="259"/>
      <c r="V38" s="63"/>
      <c r="W38" s="63"/>
      <c r="X38" s="63"/>
      <c r="Y38" s="63"/>
    </row>
    <row r="39" spans="2:25">
      <c r="B39" s="63"/>
      <c r="K39" s="264" t="s">
        <v>66</v>
      </c>
      <c r="L39" s="205" t="str">
        <f t="shared" si="14"/>
        <v>Project Team</v>
      </c>
      <c r="M39" s="265" t="s">
        <v>76</v>
      </c>
      <c r="N39" s="205" t="s">
        <v>41</v>
      </c>
      <c r="O39" s="205">
        <v>1</v>
      </c>
      <c r="P39" s="205">
        <v>0</v>
      </c>
      <c r="Q39" s="205">
        <v>5</v>
      </c>
      <c r="R39" s="206" t="str">
        <f t="shared" si="12"/>
        <v>2.B.31</v>
      </c>
      <c r="S39" s="68">
        <f t="shared" si="13"/>
        <v>0</v>
      </c>
      <c r="T39" s="258">
        <f>IF(AND(Overview!$E$17=$B$13,'2. Structure'!I11="x"),MAX(S39:S40),IF(AND(Overview!$E$17=$B$14,'2. Structure'!H11="x"),MAX(S39:S40),0))</f>
        <v>5</v>
      </c>
      <c r="V39" s="63"/>
      <c r="W39" s="63"/>
      <c r="X39" s="63"/>
      <c r="Y39" s="63"/>
    </row>
    <row r="40" spans="2:25" ht="12" thickBot="1">
      <c r="B40" s="63"/>
      <c r="K40" s="252" t="s">
        <v>66</v>
      </c>
      <c r="L40" s="47" t="str">
        <f t="shared" si="14"/>
        <v>Project Team</v>
      </c>
      <c r="M40" s="47" t="str">
        <f>M39</f>
        <v>2.B.3</v>
      </c>
      <c r="N40" s="47" t="s">
        <v>42</v>
      </c>
      <c r="O40" s="47">
        <v>2</v>
      </c>
      <c r="P40" s="47">
        <v>1</v>
      </c>
      <c r="Q40" s="47">
        <v>5</v>
      </c>
      <c r="R40" s="48" t="str">
        <f t="shared" si="12"/>
        <v>2.B.32</v>
      </c>
      <c r="S40" s="49">
        <f t="shared" si="13"/>
        <v>5</v>
      </c>
      <c r="T40" s="258"/>
    </row>
    <row r="41" spans="2:25">
      <c r="B41" s="63"/>
      <c r="K41" s="38" t="s">
        <v>66</v>
      </c>
      <c r="L41" s="39" t="str">
        <f t="shared" si="14"/>
        <v>Project Team</v>
      </c>
      <c r="M41" s="40" t="s">
        <v>77</v>
      </c>
      <c r="N41" s="39" t="s">
        <v>41</v>
      </c>
      <c r="O41" s="39">
        <v>1</v>
      </c>
      <c r="P41" s="39">
        <v>0</v>
      </c>
      <c r="Q41" s="39">
        <v>5</v>
      </c>
      <c r="R41" s="40" t="str">
        <f t="shared" si="8"/>
        <v>2.B.41</v>
      </c>
      <c r="S41" s="41">
        <f t="shared" si="11"/>
        <v>0</v>
      </c>
      <c r="T41" s="430">
        <f>IF(AND(Overview!$E$17=$B$13,'1. Size'!I19="x"),MAX(S41:S44),IF(AND(Overview!$E$17=$B$14,'1. Size'!H19="x"),MAX(S41:S44),0))</f>
        <v>15</v>
      </c>
    </row>
    <row r="42" spans="2:25">
      <c r="K42" s="45" t="s">
        <v>66</v>
      </c>
      <c r="L42" s="47" t="str">
        <f t="shared" si="14"/>
        <v>Project Team</v>
      </c>
      <c r="M42" s="47" t="str">
        <f>M41</f>
        <v>2.B.4</v>
      </c>
      <c r="N42" s="47" t="s">
        <v>42</v>
      </c>
      <c r="O42" s="47">
        <v>2</v>
      </c>
      <c r="P42" s="47">
        <v>1</v>
      </c>
      <c r="Q42" s="47">
        <v>5</v>
      </c>
      <c r="R42" s="48" t="str">
        <f t="shared" si="8"/>
        <v>2.B.42</v>
      </c>
      <c r="S42" s="49">
        <f t="shared" si="11"/>
        <v>5</v>
      </c>
      <c r="T42" s="431"/>
    </row>
    <row r="43" spans="2:25">
      <c r="K43" s="45" t="s">
        <v>66</v>
      </c>
      <c r="L43" s="47" t="str">
        <f t="shared" si="14"/>
        <v>Project Team</v>
      </c>
      <c r="M43" s="47" t="str">
        <f>M41</f>
        <v>2.B.4</v>
      </c>
      <c r="N43" s="47" t="s">
        <v>43</v>
      </c>
      <c r="O43" s="47">
        <v>3</v>
      </c>
      <c r="P43" s="47">
        <v>2</v>
      </c>
      <c r="Q43" s="47">
        <v>5</v>
      </c>
      <c r="R43" s="48" t="str">
        <f t="shared" si="8"/>
        <v>2.B.43</v>
      </c>
      <c r="S43" s="49">
        <f t="shared" si="11"/>
        <v>10</v>
      </c>
      <c r="T43" s="431"/>
    </row>
    <row r="44" spans="2:25" ht="12" thickBot="1">
      <c r="K44" s="55" t="s">
        <v>66</v>
      </c>
      <c r="L44" s="56" t="str">
        <f t="shared" si="14"/>
        <v>Project Team</v>
      </c>
      <c r="M44" s="47" t="str">
        <f>M41</f>
        <v>2.B.4</v>
      </c>
      <c r="N44" s="47" t="s">
        <v>44</v>
      </c>
      <c r="O44" s="47">
        <v>4</v>
      </c>
      <c r="P44" s="47">
        <v>3</v>
      </c>
      <c r="Q44" s="47">
        <v>5</v>
      </c>
      <c r="R44" s="48" t="str">
        <f t="shared" si="8"/>
        <v>2.B.44</v>
      </c>
      <c r="S44" s="49">
        <f t="shared" si="11"/>
        <v>15</v>
      </c>
      <c r="T44" s="432"/>
      <c r="U44" s="266"/>
    </row>
    <row r="45" spans="2:25">
      <c r="K45" s="38" t="s">
        <v>66</v>
      </c>
      <c r="L45" s="39" t="str">
        <f t="shared" si="14"/>
        <v>Project Team</v>
      </c>
      <c r="M45" s="253" t="s">
        <v>193</v>
      </c>
      <c r="N45" s="39" t="s">
        <v>41</v>
      </c>
      <c r="O45" s="39">
        <v>1</v>
      </c>
      <c r="P45" s="39">
        <v>0</v>
      </c>
      <c r="Q45" s="39">
        <v>5</v>
      </c>
      <c r="R45" s="40" t="str">
        <f t="shared" ref="R45:R59" si="15">M45&amp;O45</f>
        <v>2.B.51</v>
      </c>
      <c r="S45" s="70">
        <f t="shared" si="11"/>
        <v>0</v>
      </c>
      <c r="T45" s="430">
        <f>IF(AND(Overview!$E$17=$B$13,'1. Size'!I23="x"),MAX(S45:S48),IF(AND(Overview!$E$17=$B$14,'1. Size'!H23="x"),MAX(S45:S48),0))</f>
        <v>15</v>
      </c>
    </row>
    <row r="46" spans="2:25">
      <c r="K46" s="45" t="s">
        <v>66</v>
      </c>
      <c r="L46" s="47" t="str">
        <f t="shared" si="14"/>
        <v>Project Team</v>
      </c>
      <c r="M46" s="47" t="str">
        <f>M45</f>
        <v>2.B.5</v>
      </c>
      <c r="N46" s="47" t="s">
        <v>42</v>
      </c>
      <c r="O46" s="47">
        <v>2</v>
      </c>
      <c r="P46" s="47">
        <v>1</v>
      </c>
      <c r="Q46" s="47">
        <v>5</v>
      </c>
      <c r="R46" s="48" t="str">
        <f t="shared" si="15"/>
        <v>2.B.52</v>
      </c>
      <c r="S46" s="69">
        <f t="shared" si="11"/>
        <v>5</v>
      </c>
      <c r="T46" s="431"/>
    </row>
    <row r="47" spans="2:25">
      <c r="K47" s="45" t="s">
        <v>66</v>
      </c>
      <c r="L47" s="47" t="str">
        <f t="shared" si="14"/>
        <v>Project Team</v>
      </c>
      <c r="M47" s="47" t="str">
        <f>M45</f>
        <v>2.B.5</v>
      </c>
      <c r="N47" s="47" t="s">
        <v>43</v>
      </c>
      <c r="O47" s="47">
        <v>3</v>
      </c>
      <c r="P47" s="47">
        <v>2</v>
      </c>
      <c r="Q47" s="47">
        <v>5</v>
      </c>
      <c r="R47" s="48" t="str">
        <f t="shared" si="15"/>
        <v>2.B.53</v>
      </c>
      <c r="S47" s="69">
        <f t="shared" si="11"/>
        <v>10</v>
      </c>
      <c r="T47" s="431"/>
    </row>
    <row r="48" spans="2:25" ht="12" thickBot="1">
      <c r="K48" s="257" t="s">
        <v>66</v>
      </c>
      <c r="L48" s="56" t="str">
        <f t="shared" si="14"/>
        <v>Project Team</v>
      </c>
      <c r="M48" s="47" t="str">
        <f>M45</f>
        <v>2.B.5</v>
      </c>
      <c r="N48" s="47" t="s">
        <v>44</v>
      </c>
      <c r="O48" s="47">
        <v>4</v>
      </c>
      <c r="P48" s="47">
        <v>3</v>
      </c>
      <c r="Q48" s="47">
        <v>5</v>
      </c>
      <c r="R48" s="48" t="str">
        <f t="shared" si="15"/>
        <v>2.B.54</v>
      </c>
      <c r="S48" s="49">
        <f>P48*Q48</f>
        <v>15</v>
      </c>
      <c r="T48" s="432"/>
      <c r="U48" s="266"/>
    </row>
    <row r="49" spans="11:25">
      <c r="K49" s="255" t="s">
        <v>66</v>
      </c>
      <c r="L49" s="39" t="str">
        <f t="shared" si="14"/>
        <v>Project Team</v>
      </c>
      <c r="M49" s="40" t="s">
        <v>194</v>
      </c>
      <c r="N49" s="39" t="s">
        <v>41</v>
      </c>
      <c r="O49" s="39">
        <v>1</v>
      </c>
      <c r="P49" s="39">
        <v>0</v>
      </c>
      <c r="Q49" s="39">
        <v>5</v>
      </c>
      <c r="R49" s="40" t="str">
        <f>M49&amp;O49</f>
        <v>2.B.61</v>
      </c>
      <c r="S49" s="70">
        <f>P49*Q49</f>
        <v>0</v>
      </c>
      <c r="T49" s="425">
        <f>IF(AND(Overview!$E$17=$B$13,'2. Structure'!I26="x"),MAX(S49:S51),IF(AND(Overview!$E$17=$B$14,'2. Structure'!H26="x"),MAX(S49:S51),0))</f>
        <v>10</v>
      </c>
    </row>
    <row r="50" spans="11:25">
      <c r="K50" s="256" t="s">
        <v>66</v>
      </c>
      <c r="L50" s="47" t="str">
        <f t="shared" si="14"/>
        <v>Project Team</v>
      </c>
      <c r="M50" s="47" t="str">
        <f>M49</f>
        <v>2.B.6</v>
      </c>
      <c r="N50" s="47" t="s">
        <v>42</v>
      </c>
      <c r="O50" s="47">
        <v>2</v>
      </c>
      <c r="P50" s="47">
        <v>1</v>
      </c>
      <c r="Q50" s="47">
        <v>5</v>
      </c>
      <c r="R50" s="48" t="str">
        <f>M50&amp;O50</f>
        <v>2.B.62</v>
      </c>
      <c r="S50" s="69">
        <f>P50*Q50</f>
        <v>5</v>
      </c>
      <c r="T50" s="426" t="s">
        <v>134</v>
      </c>
    </row>
    <row r="51" spans="11:25" ht="12" thickBot="1">
      <c r="K51" s="256" t="s">
        <v>66</v>
      </c>
      <c r="L51" s="47" t="str">
        <f t="shared" si="14"/>
        <v>Project Team</v>
      </c>
      <c r="M51" s="47" t="str">
        <f>M49</f>
        <v>2.B.6</v>
      </c>
      <c r="N51" s="47" t="s">
        <v>43</v>
      </c>
      <c r="O51" s="47">
        <v>3</v>
      </c>
      <c r="P51" s="47">
        <v>2</v>
      </c>
      <c r="Q51" s="47">
        <v>5</v>
      </c>
      <c r="R51" s="48" t="str">
        <f>M51&amp;O51</f>
        <v>2.B.63</v>
      </c>
      <c r="S51" s="69">
        <f>P51*Q51</f>
        <v>10</v>
      </c>
      <c r="T51" s="426" t="s">
        <v>134</v>
      </c>
    </row>
    <row r="52" spans="11:25">
      <c r="K52" s="255" t="s">
        <v>67</v>
      </c>
      <c r="L52" s="39" t="str">
        <f t="shared" si="14"/>
        <v>Business Requirements</v>
      </c>
      <c r="M52" s="40" t="s">
        <v>78</v>
      </c>
      <c r="N52" s="39" t="s">
        <v>41</v>
      </c>
      <c r="O52" s="39">
        <v>1</v>
      </c>
      <c r="P52" s="39">
        <v>0</v>
      </c>
      <c r="Q52" s="39">
        <v>5</v>
      </c>
      <c r="R52" s="40" t="str">
        <f t="shared" si="15"/>
        <v>2.C.11</v>
      </c>
      <c r="S52" s="70">
        <f t="shared" ref="S52:S63" si="16">P52*Q52</f>
        <v>0</v>
      </c>
      <c r="T52" s="425">
        <f>IF(AND(Overview!$E$17=$B$13,'2. Structure'!I29="x"),MAX(S52:S54),IF(AND(Overview!$E$17=$B$14,'2. Structure'!H29="x"),MAX(S52:S54),0))</f>
        <v>10</v>
      </c>
    </row>
    <row r="53" spans="11:25">
      <c r="K53" s="256" t="s">
        <v>67</v>
      </c>
      <c r="L53" s="47" t="str">
        <f t="shared" si="14"/>
        <v>Business Requirements</v>
      </c>
      <c r="M53" s="47" t="str">
        <f>M52</f>
        <v>2.C.1</v>
      </c>
      <c r="N53" s="47" t="s">
        <v>42</v>
      </c>
      <c r="O53" s="47">
        <v>2</v>
      </c>
      <c r="P53" s="47">
        <v>1</v>
      </c>
      <c r="Q53" s="47">
        <v>5</v>
      </c>
      <c r="R53" s="48" t="str">
        <f t="shared" si="15"/>
        <v>2.C.12</v>
      </c>
      <c r="S53" s="69">
        <f t="shared" si="16"/>
        <v>5</v>
      </c>
      <c r="T53" s="426" t="s">
        <v>134</v>
      </c>
    </row>
    <row r="54" spans="11:25" ht="12" thickBot="1">
      <c r="K54" s="256" t="s">
        <v>67</v>
      </c>
      <c r="L54" s="47" t="str">
        <f t="shared" si="14"/>
        <v>Business Requirements</v>
      </c>
      <c r="M54" s="47" t="str">
        <f>M52</f>
        <v>2.C.1</v>
      </c>
      <c r="N54" s="47" t="s">
        <v>43</v>
      </c>
      <c r="O54" s="47">
        <v>3</v>
      </c>
      <c r="P54" s="47">
        <v>2</v>
      </c>
      <c r="Q54" s="47">
        <v>5</v>
      </c>
      <c r="R54" s="48" t="str">
        <f t="shared" si="15"/>
        <v>2.C.13</v>
      </c>
      <c r="S54" s="69">
        <f t="shared" si="16"/>
        <v>10</v>
      </c>
      <c r="T54" s="426" t="s">
        <v>134</v>
      </c>
    </row>
    <row r="55" spans="11:25">
      <c r="K55" s="255" t="s">
        <v>67</v>
      </c>
      <c r="L55" s="39" t="str">
        <f t="shared" si="14"/>
        <v>Business Requirements</v>
      </c>
      <c r="M55" s="40" t="s">
        <v>151</v>
      </c>
      <c r="N55" s="39" t="s">
        <v>41</v>
      </c>
      <c r="O55" s="39">
        <v>1</v>
      </c>
      <c r="P55" s="39">
        <v>0</v>
      </c>
      <c r="Q55" s="39">
        <v>5</v>
      </c>
      <c r="R55" s="40" t="str">
        <f t="shared" si="15"/>
        <v>2.C.21</v>
      </c>
      <c r="S55" s="70">
        <f t="shared" si="16"/>
        <v>0</v>
      </c>
      <c r="T55" s="425">
        <f>IF(AND(Overview!$E$17=$B$13,'2. Structure'!I32="x"),MAX(S55:S57),IF(AND(Overview!$E$17=$B$14,'2. Structure'!H32="x"),MAX(S55:S57),0))</f>
        <v>10</v>
      </c>
    </row>
    <row r="56" spans="11:25">
      <c r="K56" s="256" t="s">
        <v>67</v>
      </c>
      <c r="L56" s="47" t="str">
        <f t="shared" si="14"/>
        <v>Business Requirements</v>
      </c>
      <c r="M56" s="47" t="str">
        <f>M55</f>
        <v>2.C.2</v>
      </c>
      <c r="N56" s="47" t="s">
        <v>42</v>
      </c>
      <c r="O56" s="47">
        <v>2</v>
      </c>
      <c r="P56" s="47">
        <v>1</v>
      </c>
      <c r="Q56" s="47">
        <v>5</v>
      </c>
      <c r="R56" s="48" t="str">
        <f t="shared" si="15"/>
        <v>2.C.22</v>
      </c>
      <c r="S56" s="69">
        <f t="shared" si="16"/>
        <v>5</v>
      </c>
      <c r="T56" s="426" t="s">
        <v>134</v>
      </c>
    </row>
    <row r="57" spans="11:25" ht="12" thickBot="1">
      <c r="K57" s="256" t="s">
        <v>67</v>
      </c>
      <c r="L57" s="47" t="str">
        <f t="shared" si="14"/>
        <v>Business Requirements</v>
      </c>
      <c r="M57" s="47" t="str">
        <f>M55</f>
        <v>2.C.2</v>
      </c>
      <c r="N57" s="47" t="s">
        <v>43</v>
      </c>
      <c r="O57" s="47">
        <v>3</v>
      </c>
      <c r="P57" s="47">
        <v>2</v>
      </c>
      <c r="Q57" s="47">
        <v>5</v>
      </c>
      <c r="R57" s="48" t="str">
        <f t="shared" si="15"/>
        <v>2.C.23</v>
      </c>
      <c r="S57" s="69">
        <f t="shared" si="16"/>
        <v>10</v>
      </c>
      <c r="T57" s="426" t="s">
        <v>134</v>
      </c>
    </row>
    <row r="58" spans="11:25">
      <c r="K58" s="255" t="s">
        <v>67</v>
      </c>
      <c r="L58" s="39" t="str">
        <f t="shared" si="14"/>
        <v>Business Requirements</v>
      </c>
      <c r="M58" s="40" t="s">
        <v>150</v>
      </c>
      <c r="N58" s="39" t="s">
        <v>41</v>
      </c>
      <c r="O58" s="39">
        <v>1</v>
      </c>
      <c r="P58" s="39">
        <v>0</v>
      </c>
      <c r="Q58" s="39">
        <v>5</v>
      </c>
      <c r="R58" s="40" t="str">
        <f t="shared" si="15"/>
        <v>2.C.31</v>
      </c>
      <c r="S58" s="70">
        <f t="shared" si="16"/>
        <v>0</v>
      </c>
      <c r="T58" s="425">
        <f>IF(AND(Overview!$E$17=$B$13,'2. Structure'!I35="x"),MAX(S58:S60),IF(AND(Overview!$E$17=$B$14,'2. Structure'!H35="x"),MAX(S58:S60),0))</f>
        <v>10</v>
      </c>
    </row>
    <row r="59" spans="11:25">
      <c r="K59" s="256" t="s">
        <v>67</v>
      </c>
      <c r="L59" s="47" t="str">
        <f t="shared" si="14"/>
        <v>Business Requirements</v>
      </c>
      <c r="M59" s="47" t="str">
        <f>M58</f>
        <v>2.C.3</v>
      </c>
      <c r="N59" s="47" t="s">
        <v>42</v>
      </c>
      <c r="O59" s="47">
        <v>2</v>
      </c>
      <c r="P59" s="47">
        <v>1</v>
      </c>
      <c r="Q59" s="47">
        <v>5</v>
      </c>
      <c r="R59" s="48" t="str">
        <f t="shared" si="15"/>
        <v>2.C.32</v>
      </c>
      <c r="S59" s="69">
        <f t="shared" si="16"/>
        <v>5</v>
      </c>
      <c r="T59" s="426" t="s">
        <v>134</v>
      </c>
    </row>
    <row r="60" spans="11:25" ht="12" thickBot="1">
      <c r="K60" s="256" t="s">
        <v>67</v>
      </c>
      <c r="L60" s="47" t="str">
        <f t="shared" si="14"/>
        <v>Business Requirements</v>
      </c>
      <c r="M60" s="47" t="str">
        <f>M58</f>
        <v>2.C.3</v>
      </c>
      <c r="N60" s="47" t="s">
        <v>43</v>
      </c>
      <c r="O60" s="47">
        <v>3</v>
      </c>
      <c r="P60" s="47">
        <v>2</v>
      </c>
      <c r="Q60" s="47">
        <v>5</v>
      </c>
      <c r="R60" s="48" t="str">
        <f t="shared" ref="R60:R66" si="17">M60&amp;O60</f>
        <v>2.C.33</v>
      </c>
      <c r="S60" s="69">
        <f t="shared" si="16"/>
        <v>10</v>
      </c>
      <c r="T60" s="426" t="s">
        <v>134</v>
      </c>
    </row>
    <row r="61" spans="11:25">
      <c r="K61" s="255" t="s">
        <v>67</v>
      </c>
      <c r="L61" s="39" t="str">
        <f t="shared" si="14"/>
        <v>Business Requirements</v>
      </c>
      <c r="M61" s="40" t="s">
        <v>200</v>
      </c>
      <c r="N61" s="39" t="s">
        <v>41</v>
      </c>
      <c r="O61" s="39">
        <v>1</v>
      </c>
      <c r="P61" s="39">
        <v>0</v>
      </c>
      <c r="Q61" s="39">
        <v>5</v>
      </c>
      <c r="R61" s="40" t="str">
        <f t="shared" si="17"/>
        <v>2.C.41</v>
      </c>
      <c r="S61" s="70">
        <f t="shared" si="16"/>
        <v>0</v>
      </c>
      <c r="T61" s="425">
        <f>IF(AND(Overview!$E$17=$B$13,'2. Structure'!I35="x"),MAX(S61:S63),IF(AND(Overview!$E$17=$B$14,'2. Structure'!H35="x"),MAX(S61:S63),0))</f>
        <v>10</v>
      </c>
    </row>
    <row r="62" spans="11:25">
      <c r="K62" s="256" t="s">
        <v>67</v>
      </c>
      <c r="L62" s="47" t="str">
        <f t="shared" si="14"/>
        <v>Business Requirements</v>
      </c>
      <c r="M62" s="47" t="str">
        <f>M61</f>
        <v>2.C.4</v>
      </c>
      <c r="N62" s="47" t="s">
        <v>42</v>
      </c>
      <c r="O62" s="47">
        <v>2</v>
      </c>
      <c r="P62" s="47">
        <v>1</v>
      </c>
      <c r="Q62" s="47">
        <v>5</v>
      </c>
      <c r="R62" s="48" t="str">
        <f t="shared" si="17"/>
        <v>2.C.42</v>
      </c>
      <c r="S62" s="69">
        <f t="shared" si="16"/>
        <v>5</v>
      </c>
      <c r="T62" s="426" t="s">
        <v>134</v>
      </c>
    </row>
    <row r="63" spans="11:25" ht="12" thickBot="1">
      <c r="K63" s="256" t="s">
        <v>67</v>
      </c>
      <c r="L63" s="47" t="str">
        <f t="shared" si="14"/>
        <v>Business Requirements</v>
      </c>
      <c r="M63" s="47" t="str">
        <f>M61</f>
        <v>2.C.4</v>
      </c>
      <c r="N63" s="47" t="s">
        <v>43</v>
      </c>
      <c r="O63" s="47">
        <v>3</v>
      </c>
      <c r="P63" s="47">
        <v>2</v>
      </c>
      <c r="Q63" s="47">
        <v>5</v>
      </c>
      <c r="R63" s="48" t="str">
        <f t="shared" si="17"/>
        <v>2.C.43</v>
      </c>
      <c r="S63" s="69">
        <f t="shared" si="16"/>
        <v>10</v>
      </c>
      <c r="T63" s="426" t="s">
        <v>134</v>
      </c>
    </row>
    <row r="64" spans="11:25">
      <c r="K64" s="255" t="s">
        <v>68</v>
      </c>
      <c r="L64" s="39" t="str">
        <f t="shared" si="14"/>
        <v>Technical Requirements</v>
      </c>
      <c r="M64" s="39" t="s">
        <v>154</v>
      </c>
      <c r="N64" s="39" t="s">
        <v>41</v>
      </c>
      <c r="O64" s="39">
        <v>1</v>
      </c>
      <c r="P64" s="39">
        <v>0</v>
      </c>
      <c r="Q64" s="39">
        <v>5</v>
      </c>
      <c r="R64" s="40" t="str">
        <f t="shared" si="17"/>
        <v>3.A.11</v>
      </c>
      <c r="S64" s="70">
        <f t="shared" ref="S64:S71" si="18">P64*Q64</f>
        <v>0</v>
      </c>
      <c r="T64" s="425">
        <f>IF(AND(Overview!$E$17=$B$13,'3. Technology'!I4="x"),MAX(S64:S66),IF(AND(Overview!$E$17=$B$14,'3. Technology'!H4="x"),MAX(S64:S66),0))</f>
        <v>10</v>
      </c>
      <c r="Y64" s="417">
        <f>T64</f>
        <v>10</v>
      </c>
    </row>
    <row r="65" spans="11:26">
      <c r="K65" s="45" t="s">
        <v>68</v>
      </c>
      <c r="L65" s="47" t="str">
        <f t="shared" si="14"/>
        <v>Technical Requirements</v>
      </c>
      <c r="M65" s="47" t="str">
        <f>M64</f>
        <v>3.A.1</v>
      </c>
      <c r="N65" s="47" t="s">
        <v>42</v>
      </c>
      <c r="O65" s="47">
        <v>2</v>
      </c>
      <c r="P65" s="47">
        <v>1</v>
      </c>
      <c r="Q65" s="47">
        <v>5</v>
      </c>
      <c r="R65" s="48" t="str">
        <f t="shared" si="17"/>
        <v>3.A.12</v>
      </c>
      <c r="S65" s="69">
        <f t="shared" si="18"/>
        <v>5</v>
      </c>
      <c r="T65" s="426" t="s">
        <v>134</v>
      </c>
      <c r="Y65" s="417"/>
    </row>
    <row r="66" spans="11:26" ht="12" thickBot="1">
      <c r="K66" s="45" t="s">
        <v>68</v>
      </c>
      <c r="L66" s="47" t="str">
        <f t="shared" si="14"/>
        <v>Technical Requirements</v>
      </c>
      <c r="M66" s="47" t="str">
        <f>M64</f>
        <v>3.A.1</v>
      </c>
      <c r="N66" s="47" t="s">
        <v>43</v>
      </c>
      <c r="O66" s="47">
        <v>3</v>
      </c>
      <c r="P66" s="47">
        <v>2</v>
      </c>
      <c r="Q66" s="47">
        <v>5</v>
      </c>
      <c r="R66" s="48" t="str">
        <f t="shared" si="17"/>
        <v>3.A.13</v>
      </c>
      <c r="S66" s="69">
        <f t="shared" si="18"/>
        <v>10</v>
      </c>
      <c r="T66" s="426" t="s">
        <v>134</v>
      </c>
      <c r="Y66" s="417"/>
    </row>
    <row r="67" spans="11:26">
      <c r="K67" s="255" t="s">
        <v>68</v>
      </c>
      <c r="L67" s="39" t="str">
        <f t="shared" si="14"/>
        <v>Technical Requirements</v>
      </c>
      <c r="M67" s="40" t="s">
        <v>195</v>
      </c>
      <c r="N67" s="39" t="s">
        <v>41</v>
      </c>
      <c r="O67" s="39">
        <v>1</v>
      </c>
      <c r="P67" s="39">
        <v>0</v>
      </c>
      <c r="Q67" s="39">
        <v>5</v>
      </c>
      <c r="R67" s="40" t="str">
        <f t="shared" ref="R67:R76" si="19">M67&amp;O67</f>
        <v>3.A.21</v>
      </c>
      <c r="S67" s="70">
        <f t="shared" si="18"/>
        <v>0</v>
      </c>
      <c r="T67" s="430">
        <f>IF(AND(Overview!$E$17=$B$13,'3. Technology'!I7="x"),MAX(S67:S69),IF(AND(Overview!$E$17=$B$14,'3. Technology'!H7="x"),MAX(S67:S69),0))</f>
        <v>10</v>
      </c>
      <c r="Y67" s="417">
        <f>IF('3. Technology'!E7="D",0,1)*T67</f>
        <v>10</v>
      </c>
    </row>
    <row r="68" spans="11:26">
      <c r="K68" s="256" t="s">
        <v>68</v>
      </c>
      <c r="L68" s="47" t="str">
        <f t="shared" si="14"/>
        <v>Technical Requirements</v>
      </c>
      <c r="M68" s="47" t="str">
        <f>M67</f>
        <v>3.A.2</v>
      </c>
      <c r="N68" s="47" t="s">
        <v>42</v>
      </c>
      <c r="O68" s="47">
        <v>2</v>
      </c>
      <c r="P68" s="47">
        <v>1</v>
      </c>
      <c r="Q68" s="47">
        <v>5</v>
      </c>
      <c r="R68" s="48" t="str">
        <f t="shared" si="19"/>
        <v>3.A.22</v>
      </c>
      <c r="S68" s="69">
        <f t="shared" si="18"/>
        <v>5</v>
      </c>
      <c r="T68" s="431"/>
      <c r="Y68" s="417"/>
    </row>
    <row r="69" spans="11:26">
      <c r="K69" s="256" t="s">
        <v>68</v>
      </c>
      <c r="L69" s="47" t="str">
        <f t="shared" ref="L69:L88" si="20">VLOOKUP(K69,$F$6:$G$31,2)</f>
        <v>Technical Requirements</v>
      </c>
      <c r="M69" s="47" t="str">
        <f>M67</f>
        <v>3.A.2</v>
      </c>
      <c r="N69" s="47" t="s">
        <v>43</v>
      </c>
      <c r="O69" s="47">
        <v>3</v>
      </c>
      <c r="P69" s="47">
        <v>2</v>
      </c>
      <c r="Q69" s="47">
        <v>5</v>
      </c>
      <c r="R69" s="48" t="str">
        <f t="shared" si="19"/>
        <v>3.A.23</v>
      </c>
      <c r="S69" s="69">
        <f t="shared" si="18"/>
        <v>10</v>
      </c>
      <c r="T69" s="431"/>
      <c r="Y69" s="417"/>
    </row>
    <row r="70" spans="11:26" ht="12" thickBot="1">
      <c r="K70" s="256" t="s">
        <v>68</v>
      </c>
      <c r="L70" s="47" t="str">
        <f t="shared" si="20"/>
        <v>Technical Requirements</v>
      </c>
      <c r="M70" s="173" t="str">
        <f>M69</f>
        <v>3.A.2</v>
      </c>
      <c r="N70" s="173" t="s">
        <v>44</v>
      </c>
      <c r="O70" s="173">
        <v>4</v>
      </c>
      <c r="P70" s="173">
        <v>0</v>
      </c>
      <c r="Q70" s="173">
        <v>5</v>
      </c>
      <c r="R70" s="174" t="str">
        <f t="shared" si="19"/>
        <v>3.A.24</v>
      </c>
      <c r="S70" s="175">
        <f t="shared" si="18"/>
        <v>0</v>
      </c>
      <c r="T70" s="432"/>
      <c r="U70" s="33" t="s">
        <v>30</v>
      </c>
      <c r="Y70" s="417"/>
    </row>
    <row r="71" spans="11:26">
      <c r="K71" s="255" t="s">
        <v>68</v>
      </c>
      <c r="L71" s="39" t="str">
        <f t="shared" si="20"/>
        <v>Technical Requirements</v>
      </c>
      <c r="M71" s="40" t="s">
        <v>196</v>
      </c>
      <c r="N71" s="39" t="s">
        <v>41</v>
      </c>
      <c r="O71" s="39">
        <v>1</v>
      </c>
      <c r="P71" s="39">
        <v>0</v>
      </c>
      <c r="Q71" s="39">
        <v>5</v>
      </c>
      <c r="R71" s="40" t="str">
        <f t="shared" si="19"/>
        <v>3.A.31</v>
      </c>
      <c r="S71" s="70">
        <f t="shared" si="18"/>
        <v>0</v>
      </c>
      <c r="T71" s="425">
        <f>IF(AND(Overview!$E$17=$B$13,'3. Technology'!I11="x"),MAX(S71:S74),IF(AND(Overview!$E$17=$B$14,'3. Technology'!H11="x"),MAX(S71:S74),0))</f>
        <v>15</v>
      </c>
      <c r="Y71" s="417">
        <f>T71</f>
        <v>15</v>
      </c>
    </row>
    <row r="72" spans="11:26">
      <c r="K72" s="256" t="s">
        <v>68</v>
      </c>
      <c r="L72" s="47" t="str">
        <f t="shared" si="20"/>
        <v>Technical Requirements</v>
      </c>
      <c r="M72" s="47" t="str">
        <f>M71</f>
        <v>3.A.3</v>
      </c>
      <c r="N72" s="47" t="s">
        <v>42</v>
      </c>
      <c r="O72" s="47">
        <v>2</v>
      </c>
      <c r="P72" s="47">
        <v>1</v>
      </c>
      <c r="Q72" s="47">
        <v>5</v>
      </c>
      <c r="R72" s="48" t="str">
        <f t="shared" si="19"/>
        <v>3.A.32</v>
      </c>
      <c r="S72" s="69">
        <f t="shared" ref="S72:S87" si="21">P72*Q72</f>
        <v>5</v>
      </c>
      <c r="T72" s="426" t="s">
        <v>134</v>
      </c>
      <c r="Y72" s="417"/>
    </row>
    <row r="73" spans="11:26">
      <c r="K73" s="256" t="s">
        <v>68</v>
      </c>
      <c r="L73" s="47" t="str">
        <f t="shared" si="20"/>
        <v>Technical Requirements</v>
      </c>
      <c r="M73" s="47" t="str">
        <f>M71</f>
        <v>3.A.3</v>
      </c>
      <c r="N73" s="47" t="s">
        <v>43</v>
      </c>
      <c r="O73" s="47">
        <v>3</v>
      </c>
      <c r="P73" s="47">
        <v>2</v>
      </c>
      <c r="Q73" s="47">
        <v>5</v>
      </c>
      <c r="R73" s="48" t="str">
        <f t="shared" si="19"/>
        <v>3.A.33</v>
      </c>
      <c r="S73" s="69">
        <f t="shared" si="21"/>
        <v>10</v>
      </c>
      <c r="T73" s="426" t="s">
        <v>134</v>
      </c>
      <c r="Y73" s="417"/>
    </row>
    <row r="74" spans="11:26" ht="12" thickBot="1">
      <c r="K74" s="256" t="s">
        <v>68</v>
      </c>
      <c r="L74" s="47" t="str">
        <f t="shared" si="20"/>
        <v>Technical Requirements</v>
      </c>
      <c r="M74" s="47" t="str">
        <f>M71</f>
        <v>3.A.3</v>
      </c>
      <c r="N74" s="47" t="s">
        <v>44</v>
      </c>
      <c r="O74" s="47">
        <v>4</v>
      </c>
      <c r="P74" s="47">
        <v>3</v>
      </c>
      <c r="Q74" s="47">
        <v>5</v>
      </c>
      <c r="R74" s="48" t="str">
        <f t="shared" si="19"/>
        <v>3.A.34</v>
      </c>
      <c r="S74" s="69">
        <f t="shared" si="21"/>
        <v>15</v>
      </c>
      <c r="T74" s="426" t="s">
        <v>134</v>
      </c>
      <c r="Y74" s="417"/>
    </row>
    <row r="75" spans="11:26">
      <c r="K75" s="255" t="s">
        <v>68</v>
      </c>
      <c r="L75" s="39" t="str">
        <f t="shared" si="20"/>
        <v>Technical Requirements</v>
      </c>
      <c r="M75" s="40" t="s">
        <v>197</v>
      </c>
      <c r="N75" s="39" t="s">
        <v>41</v>
      </c>
      <c r="O75" s="39">
        <v>1</v>
      </c>
      <c r="P75" s="39">
        <v>0</v>
      </c>
      <c r="Q75" s="39">
        <v>5</v>
      </c>
      <c r="R75" s="40" t="str">
        <f t="shared" si="19"/>
        <v>3.A.41</v>
      </c>
      <c r="S75" s="70">
        <f t="shared" si="21"/>
        <v>0</v>
      </c>
      <c r="T75" s="430">
        <f>IF(AND(Overview!$E$17=$B$13,'3. Technology'!I15="x"),MAX(S75:S76),IF(AND(Overview!$E$17=$B$14,'3. Technology'!H15="x"),MAX(S75:S76),0))</f>
        <v>5</v>
      </c>
      <c r="Y75" s="417">
        <f>IF('3. Technology'!E15="C",0,1)*T75</f>
        <v>5</v>
      </c>
    </row>
    <row r="76" spans="11:26" ht="12" customHeight="1">
      <c r="K76" s="256" t="s">
        <v>68</v>
      </c>
      <c r="L76" s="47" t="str">
        <f t="shared" si="20"/>
        <v>Technical Requirements</v>
      </c>
      <c r="M76" s="47" t="str">
        <f>M75</f>
        <v>3.A.4</v>
      </c>
      <c r="N76" s="47" t="s">
        <v>42</v>
      </c>
      <c r="O76" s="47">
        <v>2</v>
      </c>
      <c r="P76" s="47">
        <v>1</v>
      </c>
      <c r="Q76" s="47">
        <v>5</v>
      </c>
      <c r="R76" s="48" t="str">
        <f t="shared" si="19"/>
        <v>3.A.42</v>
      </c>
      <c r="S76" s="69">
        <f t="shared" si="21"/>
        <v>5</v>
      </c>
      <c r="T76" s="431"/>
      <c r="Y76" s="417"/>
    </row>
    <row r="77" spans="11:26" ht="12" customHeight="1" thickBot="1">
      <c r="K77" s="256" t="s">
        <v>68</v>
      </c>
      <c r="L77" s="47" t="str">
        <f t="shared" si="20"/>
        <v>Technical Requirements</v>
      </c>
      <c r="M77" s="173" t="str">
        <f>M76</f>
        <v>3.A.4</v>
      </c>
      <c r="N77" s="173" t="s">
        <v>44</v>
      </c>
      <c r="O77" s="173">
        <v>3</v>
      </c>
      <c r="P77" s="173">
        <v>0</v>
      </c>
      <c r="Q77" s="173">
        <v>5</v>
      </c>
      <c r="R77" s="174" t="str">
        <f>M77&amp;O77</f>
        <v>3.A.43</v>
      </c>
      <c r="S77" s="175">
        <f t="shared" si="21"/>
        <v>0</v>
      </c>
      <c r="T77" s="432"/>
      <c r="U77" s="33" t="s">
        <v>30</v>
      </c>
      <c r="Y77" s="417"/>
    </row>
    <row r="78" spans="11:26" ht="12" customHeight="1">
      <c r="K78" s="255" t="s">
        <v>68</v>
      </c>
      <c r="L78" s="39" t="str">
        <f t="shared" si="20"/>
        <v>Technical Requirements</v>
      </c>
      <c r="M78" s="40" t="s">
        <v>198</v>
      </c>
      <c r="N78" s="39" t="s">
        <v>41</v>
      </c>
      <c r="O78" s="39">
        <v>1</v>
      </c>
      <c r="P78" s="39">
        <v>0</v>
      </c>
      <c r="Q78" s="39">
        <v>5</v>
      </c>
      <c r="R78" s="40" t="str">
        <f t="shared" ref="R78:R88" si="22">M78&amp;O78</f>
        <v>3.A.51</v>
      </c>
      <c r="S78" s="70">
        <f t="shared" si="21"/>
        <v>0</v>
      </c>
      <c r="T78" s="430">
        <f>IF(AND(Overview!$E$17=$B$13,'3. Technology'!I18="x"),MAX(S78:S80),IF(AND(Overview!$E$17=$B$14,'3. Technology'!H18="x"),MAX(S78:S80),0))</f>
        <v>10</v>
      </c>
      <c r="Y78" s="417">
        <f>T78</f>
        <v>10</v>
      </c>
    </row>
    <row r="79" spans="11:26" ht="12" customHeight="1">
      <c r="K79" s="256" t="s">
        <v>68</v>
      </c>
      <c r="L79" s="47" t="str">
        <f t="shared" si="20"/>
        <v>Technical Requirements</v>
      </c>
      <c r="M79" s="47" t="str">
        <f>M78</f>
        <v>3.A.5</v>
      </c>
      <c r="N79" s="47" t="s">
        <v>42</v>
      </c>
      <c r="O79" s="47">
        <v>2</v>
      </c>
      <c r="P79" s="47">
        <v>1</v>
      </c>
      <c r="Q79" s="47">
        <v>5</v>
      </c>
      <c r="R79" s="48" t="str">
        <f t="shared" si="22"/>
        <v>3.A.52</v>
      </c>
      <c r="S79" s="69">
        <f t="shared" si="21"/>
        <v>5</v>
      </c>
      <c r="T79" s="431"/>
      <c r="Y79" s="417"/>
      <c r="Z79" s="33">
        <f>SUM(Y64:Y80)</f>
        <v>50</v>
      </c>
    </row>
    <row r="80" spans="11:26" ht="12" thickBot="1">
      <c r="K80" s="256" t="s">
        <v>68</v>
      </c>
      <c r="L80" s="47" t="str">
        <f t="shared" si="20"/>
        <v>Technical Requirements</v>
      </c>
      <c r="M80" s="47" t="str">
        <f>M78</f>
        <v>3.A.5</v>
      </c>
      <c r="N80" s="47" t="s">
        <v>43</v>
      </c>
      <c r="O80" s="47">
        <v>3</v>
      </c>
      <c r="P80" s="47">
        <v>2</v>
      </c>
      <c r="Q80" s="47">
        <v>5</v>
      </c>
      <c r="R80" s="48" t="str">
        <f t="shared" si="22"/>
        <v>3.A.53</v>
      </c>
      <c r="S80" s="69">
        <f t="shared" si="21"/>
        <v>10</v>
      </c>
      <c r="T80" s="432"/>
      <c r="Y80" s="417"/>
    </row>
    <row r="81" spans="11:21">
      <c r="K81" s="255" t="s">
        <v>69</v>
      </c>
      <c r="L81" s="39" t="str">
        <f t="shared" si="20"/>
        <v>Security</v>
      </c>
      <c r="M81" s="40" t="s">
        <v>155</v>
      </c>
      <c r="N81" s="39" t="s">
        <v>41</v>
      </c>
      <c r="O81" s="39">
        <v>1</v>
      </c>
      <c r="P81" s="39">
        <v>0</v>
      </c>
      <c r="Q81" s="39">
        <v>5</v>
      </c>
      <c r="R81" s="40" t="str">
        <f t="shared" si="22"/>
        <v>3.B.11</v>
      </c>
      <c r="S81" s="70">
        <f t="shared" si="21"/>
        <v>0</v>
      </c>
      <c r="T81" s="425">
        <f>IF(AND(Overview!$E$17=$B$13,'3. Technology'!I22="x"),MAX(S81:S83),IF(AND(Overview!$E$17=$B$14,'3. Technology'!H22="x"),MAX(S81:S83),0))</f>
        <v>10</v>
      </c>
    </row>
    <row r="82" spans="11:21">
      <c r="K82" s="256" t="s">
        <v>69</v>
      </c>
      <c r="L82" s="47" t="str">
        <f t="shared" si="20"/>
        <v>Security</v>
      </c>
      <c r="M82" s="47" t="str">
        <f>M81</f>
        <v>3.B.1</v>
      </c>
      <c r="N82" s="47" t="s">
        <v>42</v>
      </c>
      <c r="O82" s="47">
        <v>2</v>
      </c>
      <c r="P82" s="47">
        <v>1</v>
      </c>
      <c r="Q82" s="47">
        <v>5</v>
      </c>
      <c r="R82" s="48" t="str">
        <f t="shared" si="22"/>
        <v>3.B.12</v>
      </c>
      <c r="S82" s="69">
        <f t="shared" si="21"/>
        <v>5</v>
      </c>
      <c r="T82" s="426" t="s">
        <v>134</v>
      </c>
    </row>
    <row r="83" spans="11:21" ht="12" thickBot="1">
      <c r="K83" s="256" t="s">
        <v>69</v>
      </c>
      <c r="L83" s="47" t="str">
        <f t="shared" si="20"/>
        <v>Security</v>
      </c>
      <c r="M83" s="47" t="str">
        <f>M81</f>
        <v>3.B.1</v>
      </c>
      <c r="N83" s="47" t="s">
        <v>43</v>
      </c>
      <c r="O83" s="47">
        <v>3</v>
      </c>
      <c r="P83" s="47">
        <v>2</v>
      </c>
      <c r="Q83" s="47">
        <v>5</v>
      </c>
      <c r="R83" s="48" t="str">
        <f t="shared" si="22"/>
        <v>3.B.13</v>
      </c>
      <c r="S83" s="69">
        <f t="shared" si="21"/>
        <v>10</v>
      </c>
      <c r="T83" s="426" t="s">
        <v>134</v>
      </c>
    </row>
    <row r="84" spans="11:21">
      <c r="K84" s="255" t="s">
        <v>69</v>
      </c>
      <c r="L84" s="39" t="str">
        <f t="shared" si="20"/>
        <v>Security</v>
      </c>
      <c r="M84" s="40" t="s">
        <v>199</v>
      </c>
      <c r="N84" s="39" t="s">
        <v>41</v>
      </c>
      <c r="O84" s="39">
        <v>1</v>
      </c>
      <c r="P84" s="39">
        <v>0</v>
      </c>
      <c r="Q84" s="39">
        <v>5</v>
      </c>
      <c r="R84" s="40" t="str">
        <f t="shared" si="22"/>
        <v>3.B.21</v>
      </c>
      <c r="S84" s="271">
        <f t="shared" si="21"/>
        <v>0</v>
      </c>
      <c r="T84" s="430">
        <f>IF(AND(Overview!$E$17=$B$13,'3. Technology'!I25="x"),MAX(S84:S87),IF(AND(Overview!$E$17=$B$14,'3. Technology'!H25="x"),MAX(S84:S87),0))</f>
        <v>15</v>
      </c>
    </row>
    <row r="85" spans="11:21">
      <c r="K85" s="256" t="s">
        <v>69</v>
      </c>
      <c r="L85" s="47" t="str">
        <f t="shared" si="20"/>
        <v>Security</v>
      </c>
      <c r="M85" s="47" t="str">
        <f>M84</f>
        <v>3.B.2</v>
      </c>
      <c r="N85" s="47" t="s">
        <v>42</v>
      </c>
      <c r="O85" s="47">
        <v>2</v>
      </c>
      <c r="P85" s="47">
        <v>1</v>
      </c>
      <c r="Q85" s="47">
        <v>5</v>
      </c>
      <c r="R85" s="48" t="str">
        <f t="shared" si="22"/>
        <v>3.B.22</v>
      </c>
      <c r="S85" s="69">
        <f t="shared" si="21"/>
        <v>5</v>
      </c>
      <c r="T85" s="431"/>
    </row>
    <row r="86" spans="11:21">
      <c r="K86" s="256" t="s">
        <v>69</v>
      </c>
      <c r="L86" s="47" t="str">
        <f t="shared" si="20"/>
        <v>Security</v>
      </c>
      <c r="M86" s="47" t="str">
        <f>M84</f>
        <v>3.B.2</v>
      </c>
      <c r="N86" s="47" t="s">
        <v>43</v>
      </c>
      <c r="O86" s="47">
        <v>3</v>
      </c>
      <c r="P86" s="47">
        <v>2</v>
      </c>
      <c r="Q86" s="47">
        <v>5</v>
      </c>
      <c r="R86" s="48" t="str">
        <f t="shared" si="22"/>
        <v>3.B.23</v>
      </c>
      <c r="S86" s="69">
        <f t="shared" si="21"/>
        <v>10</v>
      </c>
      <c r="T86" s="431"/>
    </row>
    <row r="87" spans="11:21">
      <c r="K87" s="256" t="s">
        <v>69</v>
      </c>
      <c r="L87" s="47" t="str">
        <f t="shared" si="20"/>
        <v>Security</v>
      </c>
      <c r="M87" s="47" t="str">
        <f>M84</f>
        <v>3.B.2</v>
      </c>
      <c r="N87" s="47" t="s">
        <v>44</v>
      </c>
      <c r="O87" s="47">
        <v>4</v>
      </c>
      <c r="P87" s="47">
        <v>3</v>
      </c>
      <c r="Q87" s="47">
        <v>5</v>
      </c>
      <c r="R87" s="48" t="str">
        <f t="shared" si="22"/>
        <v>3.B.24</v>
      </c>
      <c r="S87" s="262">
        <f t="shared" si="21"/>
        <v>15</v>
      </c>
      <c r="T87" s="431"/>
    </row>
    <row r="88" spans="11:21" ht="12" thickBot="1">
      <c r="K88" s="257" t="s">
        <v>69</v>
      </c>
      <c r="L88" s="56" t="str">
        <f t="shared" si="20"/>
        <v>Security</v>
      </c>
      <c r="M88" s="173" t="str">
        <f>M85</f>
        <v>3.B.2</v>
      </c>
      <c r="N88" s="173" t="s">
        <v>45</v>
      </c>
      <c r="O88" s="268">
        <v>5</v>
      </c>
      <c r="P88" s="268">
        <v>0</v>
      </c>
      <c r="Q88" s="173">
        <v>5</v>
      </c>
      <c r="R88" s="269" t="str">
        <f t="shared" si="22"/>
        <v>3.B.25</v>
      </c>
      <c r="S88" s="270">
        <v>0</v>
      </c>
      <c r="T88" s="432"/>
      <c r="U88" s="33" t="s">
        <v>30</v>
      </c>
    </row>
    <row r="172" ht="12" customHeight="1"/>
    <row r="176" ht="12" customHeight="1"/>
    <row r="181" ht="12" customHeight="1"/>
    <row r="191" ht="12" customHeight="1"/>
  </sheetData>
  <sheetProtection algorithmName="SHA-1" hashValue="fH0unboeqYKnLiUitTTQ1epeX5U=" saltValue="hUZMfwQIciYZO+8PKU+10g==" spinCount="100000" sheet="1" selectLockedCells="1" selectUnlockedCells="1"/>
  <mergeCells count="38">
    <mergeCell ref="T84:T88"/>
    <mergeCell ref="Y75:Y77"/>
    <mergeCell ref="Y78:Y80"/>
    <mergeCell ref="T78:T80"/>
    <mergeCell ref="T81:T83"/>
    <mergeCell ref="AL5:AL6"/>
    <mergeCell ref="AJ5:AJ6"/>
    <mergeCell ref="T75:T77"/>
    <mergeCell ref="W19:Y19"/>
    <mergeCell ref="V13:Y13"/>
    <mergeCell ref="AK5:AK6"/>
    <mergeCell ref="T58:T60"/>
    <mergeCell ref="T61:T63"/>
    <mergeCell ref="T67:T70"/>
    <mergeCell ref="Y64:Y66"/>
    <mergeCell ref="Y67:Y70"/>
    <mergeCell ref="Y71:Y74"/>
    <mergeCell ref="T71:T74"/>
    <mergeCell ref="AA4:AI4"/>
    <mergeCell ref="F30:F34"/>
    <mergeCell ref="T64:T66"/>
    <mergeCell ref="T29:T31"/>
    <mergeCell ref="T55:T57"/>
    <mergeCell ref="T32:T34"/>
    <mergeCell ref="T52:T54"/>
    <mergeCell ref="T49:T51"/>
    <mergeCell ref="T45:T48"/>
    <mergeCell ref="T41:T44"/>
    <mergeCell ref="B23:E23"/>
    <mergeCell ref="E4:I4"/>
    <mergeCell ref="F15:F21"/>
    <mergeCell ref="F22:F29"/>
    <mergeCell ref="W14:Y14"/>
    <mergeCell ref="W15:Y15"/>
    <mergeCell ref="W16:Y16"/>
    <mergeCell ref="V4:Y4"/>
    <mergeCell ref="W17:Y17"/>
    <mergeCell ref="W18:Y18"/>
  </mergeCells>
  <phoneticPr fontId="10" type="noConversion"/>
  <conditionalFormatting sqref="E13 E8 E11 C9">
    <cfRule type="cellIs" dxfId="4" priority="7" stopIfTrue="1" operator="notEqual">
      <formula>1</formula>
    </cfRule>
  </conditionalFormatting>
  <conditionalFormatting sqref="AK5:AK12">
    <cfRule type="cellIs" dxfId="3" priority="5" stopIfTrue="1" operator="equal">
      <formula>FALSE</formula>
    </cfRule>
    <cfRule type="cellIs" dxfId="2" priority="6" stopIfTrue="1" operator="equal">
      <formula>TRUE</formula>
    </cfRule>
  </conditionalFormatting>
  <conditionalFormatting sqref="AJ5:AJ12 AL5:AL12">
    <cfRule type="cellIs" dxfId="1" priority="3" stopIfTrue="1" operator="equal">
      <formula>0</formula>
    </cfRule>
    <cfRule type="cellIs" dxfId="0" priority="4" stopIfTrue="1" operator="equal">
      <formula>1</formula>
    </cfRule>
  </conditionalFormatting>
  <printOptions horizontalCentered="1"/>
  <pageMargins left="0.19685039370078741" right="0.11811023622047245" top="0.74803149606299213" bottom="0.78740157480314965" header="0.51181102362204722" footer="0.51181102362204722"/>
  <pageSetup paperSize="9" scale="81" orientation="portrait" r:id="rId1"/>
  <headerFooter alignWithMargins="0">
    <oddHeader>&amp;LProject Initial Risks Assessment&amp;C&amp;A&amp;R&amp;D</oddHeader>
    <oddFooter>&amp;L&amp;F&amp;R&amp;P / &amp;N</oddFooter>
  </headerFooter>
  <ignoredErrors>
    <ignoredError sqref="I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Overview</vt:lpstr>
      <vt:lpstr>1. Size</vt:lpstr>
      <vt:lpstr>2. Structure</vt:lpstr>
      <vt:lpstr>3. Technology</vt:lpstr>
      <vt:lpstr>Scrum_Pre-requisites</vt:lpstr>
      <vt:lpstr>DB</vt:lpstr>
      <vt:lpstr>Cycle</vt:lpstr>
      <vt:lpstr>DB!GroupsWeights</vt:lpstr>
      <vt:lpstr>GroupsWeights</vt:lpstr>
      <vt:lpstr>macroRange_2</vt:lpstr>
      <vt:lpstr>macroRange_3</vt:lpstr>
      <vt:lpstr>macroRange_4</vt:lpstr>
      <vt:lpstr>DB!Option2</vt:lpstr>
      <vt:lpstr>Option2</vt:lpstr>
      <vt:lpstr>DB!Option3</vt:lpstr>
      <vt:lpstr>Option3</vt:lpstr>
      <vt:lpstr>DB!Option4</vt:lpstr>
      <vt:lpstr>Option4</vt:lpstr>
      <vt:lpstr>Option5</vt:lpstr>
      <vt:lpstr>overviewRange</vt:lpstr>
      <vt:lpstr>phase</vt:lpstr>
      <vt:lpstr>'1. Size'!Print_Area</vt:lpstr>
      <vt:lpstr>'2. Structure'!Print_Area</vt:lpstr>
      <vt:lpstr>'3. Technology'!Print_Area</vt:lpstr>
      <vt:lpstr>DB!Print_Area</vt:lpstr>
      <vt:lpstr>Overview!Print_Area</vt:lpstr>
      <vt:lpstr>'1. Size'!Print_Titles</vt:lpstr>
      <vt:lpstr>'2. Structure'!Print_Titles</vt:lpstr>
      <vt:lpstr>ProjectCode</vt:lpstr>
      <vt:lpstr>ProjectName</vt:lpstr>
      <vt:lpstr>SubgroupsWeights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Initial Risk Assessment</dc:title>
  <dc:creator>KOUKLAKIS Georgios</dc:creator>
  <cp:lastModifiedBy>ALARI Gianluigi</cp:lastModifiedBy>
  <cp:lastPrinted>2013-03-19T09:51:35Z</cp:lastPrinted>
  <dcterms:created xsi:type="dcterms:W3CDTF">2001-10-16T08:07:47Z</dcterms:created>
  <dcterms:modified xsi:type="dcterms:W3CDTF">2016-08-05T09:21:17Z</dcterms:modified>
</cp:coreProperties>
</file>