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amples-projectwerk\power_consumption\"/>
    </mc:Choice>
  </mc:AlternateContent>
  <xr:revisionPtr revIDLastSave="0" documentId="8_{2509ECA4-BA76-4896-8B10-1768097AE1BE}" xr6:coauthVersionLast="45" xr6:coauthVersionMax="45" xr10:uidLastSave="{00000000-0000-0000-0000-000000000000}"/>
  <bookViews>
    <workbookView xWindow="-120" yWindow="330" windowWidth="29040" windowHeight="15990" activeTab="2" xr2:uid="{5FA7FB70-5BD4-954A-B58E-A59FE7F8B958}"/>
  </bookViews>
  <sheets>
    <sheet name="Blad1" sheetId="1" r:id="rId1"/>
    <sheet name="Blad2" sheetId="2" r:id="rId2"/>
    <sheet name="Blad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4" i="3" l="1"/>
  <c r="E54" i="3" s="1"/>
  <c r="D58" i="3"/>
  <c r="E58" i="3" s="1"/>
  <c r="D57" i="3"/>
  <c r="E57" i="3" s="1"/>
  <c r="D61" i="3"/>
  <c r="E61" i="3" s="1"/>
  <c r="D60" i="3"/>
  <c r="E60" i="3" s="1"/>
  <c r="D59" i="3"/>
  <c r="E59" i="3" s="1"/>
  <c r="D56" i="3"/>
  <c r="E56" i="3" s="1"/>
  <c r="D55" i="3"/>
  <c r="E55" i="3" s="1"/>
  <c r="D33" i="3" l="1"/>
  <c r="E33" i="3" s="1"/>
  <c r="D34" i="3"/>
  <c r="E34" i="3" s="1"/>
  <c r="D35" i="3"/>
  <c r="F35" i="3" s="1"/>
  <c r="D36" i="3"/>
  <c r="F36" i="3" s="1"/>
  <c r="D37" i="3"/>
  <c r="E37" i="3" s="1"/>
  <c r="D38" i="3"/>
  <c r="F38" i="3" s="1"/>
  <c r="E36" i="3" l="1"/>
  <c r="G36" i="3" s="1"/>
  <c r="E35" i="3"/>
  <c r="G35" i="3" s="1"/>
  <c r="F37" i="3"/>
  <c r="G37" i="3" s="1"/>
  <c r="F33" i="3"/>
  <c r="G33" i="3" s="1"/>
  <c r="F34" i="3"/>
  <c r="G34" i="3" s="1"/>
  <c r="E38" i="3"/>
  <c r="G38" i="3" s="1"/>
  <c r="B20" i="3"/>
  <c r="B28" i="3"/>
  <c r="C38" i="3" l="1"/>
  <c r="B38" i="3"/>
  <c r="C37" i="3"/>
  <c r="B37" i="3"/>
  <c r="C36" i="3"/>
  <c r="B36" i="3"/>
  <c r="B32" i="3"/>
  <c r="B33" i="3"/>
  <c r="C32" i="3"/>
  <c r="C33" i="3"/>
  <c r="E9" i="3"/>
  <c r="F9" i="3" s="1"/>
  <c r="E11" i="3"/>
  <c r="F11" i="3" s="1"/>
  <c r="E17" i="3"/>
  <c r="F17" i="3" s="1"/>
  <c r="E18" i="3"/>
  <c r="F18" i="3" s="1"/>
  <c r="E5" i="3"/>
  <c r="F5" i="3" s="1"/>
  <c r="C34" i="3"/>
  <c r="D32" i="3"/>
  <c r="F32" i="3" s="1"/>
  <c r="B35" i="3"/>
  <c r="C35" i="3"/>
  <c r="B34" i="3"/>
  <c r="E14" i="3"/>
  <c r="F14" i="3" s="1"/>
  <c r="E7" i="3"/>
  <c r="F7" i="3" s="1"/>
  <c r="E19" i="3"/>
  <c r="F19" i="3" s="1"/>
  <c r="E13" i="3"/>
  <c r="F13" i="3" s="1"/>
  <c r="E6" i="3"/>
  <c r="F6" i="3" s="1"/>
  <c r="E15" i="3"/>
  <c r="F15" i="3" s="1"/>
  <c r="E10" i="3"/>
  <c r="F10" i="3" s="1"/>
  <c r="E16" i="3"/>
  <c r="F16" i="3" s="1"/>
  <c r="E12" i="3"/>
  <c r="F12" i="3" s="1"/>
  <c r="E8" i="3"/>
  <c r="F8" i="3" s="1"/>
  <c r="E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4" i="3"/>
  <c r="E20" i="3" l="1"/>
  <c r="F4" i="3"/>
  <c r="F20" i="3" s="1"/>
  <c r="D2" i="2"/>
  <c r="C50" i="3" l="1" a="1"/>
  <c r="C50" i="3" s="1"/>
  <c r="C48" i="3" a="1"/>
  <c r="C48" i="3" s="1"/>
  <c r="C44" i="3" a="1"/>
  <c r="C44" i="3" s="1"/>
  <c r="C47" i="3" a="1"/>
  <c r="C47" i="3" s="1"/>
  <c r="C49" i="3" a="1"/>
  <c r="C49" i="3" s="1"/>
  <c r="C46" i="3" a="1"/>
  <c r="C46" i="3" s="1"/>
  <c r="C45" i="3" a="1"/>
  <c r="C45" i="3" s="1"/>
  <c r="C43" i="3" a="1"/>
  <c r="C43" i="3" s="1"/>
  <c r="B48" i="3"/>
  <c r="B45" i="3"/>
  <c r="B49" i="3"/>
  <c r="D49" i="3" s="1"/>
  <c r="E49" i="3" s="1"/>
  <c r="B46" i="3"/>
  <c r="B50" i="3"/>
  <c r="D50" i="3" s="1"/>
  <c r="E50" i="3" s="1"/>
  <c r="B47" i="3"/>
  <c r="D47" i="3" s="1"/>
  <c r="E47" i="3" s="1"/>
  <c r="E32" i="3"/>
  <c r="G32" i="3" l="1"/>
  <c r="B44" i="3" s="1"/>
  <c r="D44" i="3" s="1"/>
  <c r="E44" i="3" s="1"/>
  <c r="D45" i="3"/>
  <c r="E45" i="3" s="1"/>
  <c r="D48" i="3"/>
  <c r="E48" i="3" s="1"/>
  <c r="D46" i="3"/>
  <c r="E46" i="3" s="1"/>
  <c r="D43" i="3"/>
  <c r="E43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<sst xmlns="http://schemas.openxmlformats.org/spreadsheetml/2006/main" count="68" uniqueCount="60">
  <si>
    <t>Minimaal vereiste spanning voor elk component</t>
  </si>
  <si>
    <t>SDS011</t>
  </si>
  <si>
    <t>4,2V</t>
  </si>
  <si>
    <t>BME280</t>
  </si>
  <si>
    <t>1,71V</t>
  </si>
  <si>
    <t>RMF95</t>
  </si>
  <si>
    <t>1,8V</t>
  </si>
  <si>
    <t>Device</t>
  </si>
  <si>
    <t>Description</t>
  </si>
  <si>
    <t>Particle sensor</t>
  </si>
  <si>
    <t xml:space="preserve">Warm up </t>
  </si>
  <si>
    <t xml:space="preserve">Measuring </t>
  </si>
  <si>
    <t>Battery type</t>
  </si>
  <si>
    <t>Capacity [mAh]</t>
  </si>
  <si>
    <t>Usefull capacity (%)</t>
  </si>
  <si>
    <t>Usefull capacity [mAh]</t>
  </si>
  <si>
    <t>BSE Li-on CR 18650 Batterij 3.7V</t>
  </si>
  <si>
    <t>Measure cycle</t>
  </si>
  <si>
    <t>SubProcess</t>
  </si>
  <si>
    <t>SubProcess Timing [ms]</t>
  </si>
  <si>
    <t>Total Power usage [mA]</t>
  </si>
  <si>
    <t>SubProcess Cost [mAh]</t>
  </si>
  <si>
    <t xml:space="preserve"> time of total time [%]</t>
  </si>
  <si>
    <t>Cost [mAh]</t>
  </si>
  <si>
    <t>Wake up particle sensor</t>
  </si>
  <si>
    <t>Warm up particle sensor</t>
  </si>
  <si>
    <t>Read PM values</t>
  </si>
  <si>
    <t>particle sensor going to sleep</t>
  </si>
  <si>
    <t>Checking if tph senor is present</t>
  </si>
  <si>
    <t>Reading TPH values</t>
  </si>
  <si>
    <t>TPH sensor going to sleep</t>
  </si>
  <si>
    <t>Error checking</t>
  </si>
  <si>
    <t>Printing out hardware status</t>
  </si>
  <si>
    <t>Printing out measured temperature</t>
  </si>
  <si>
    <t>Printing out measured humidity</t>
  </si>
  <si>
    <t>Printing out measured pressure</t>
  </si>
  <si>
    <t>Printing out measured PM2.5</t>
  </si>
  <si>
    <t>Printing out measured PM10</t>
  </si>
  <si>
    <t>Preparing transmission</t>
  </si>
  <si>
    <t>Transmitting 10 bytes message</t>
  </si>
  <si>
    <t>Total</t>
  </si>
  <si>
    <t>Device in sleep</t>
  </si>
  <si>
    <t>Total power usage [mA]</t>
  </si>
  <si>
    <t>TPH sensor</t>
  </si>
  <si>
    <t>LoRaWAN shield (RMF95 &amp; Eeprom)</t>
  </si>
  <si>
    <t>CPU</t>
  </si>
  <si>
    <t>Total cycle time [min]</t>
  </si>
  <si>
    <t>Time sleeping [s]</t>
  </si>
  <si>
    <t>Time active [s]</t>
  </si>
  <si>
    <t>active [%]</t>
  </si>
  <si>
    <t>Total cost active [mAh]</t>
  </si>
  <si>
    <t>Total cost sleep [mAh]</t>
  </si>
  <si>
    <t>Total cost in [mAh]</t>
  </si>
  <si>
    <t>Total Cost [mAh]</t>
  </si>
  <si>
    <t>Budget [mAh]</t>
  </si>
  <si>
    <t>Lifespan (hours)</t>
  </si>
  <si>
    <t>Lifespan (days)</t>
  </si>
  <si>
    <t>Total cycle time [s]</t>
  </si>
  <si>
    <t xml:space="preserve">1 Battery </t>
  </si>
  <si>
    <t>2 Batterys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</si>
</sst>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"/>
  </numFmts>
  <fonts count="4">
    <font>
      <sz val="12"/>
      <color theme="1"/>
      <name val="Calibri"/>
      <family val="2"/>
      <scheme val="minor"/>
    </font>
    <font>
      <sz val="11"/>
      <color rgb="FF222222"/>
      <name val="Inherit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/>
    <xf numFmtId="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/>
    <xf numFmtId="166" fontId="0" fillId="0" borderId="0" xfId="0" applyNumberFormat="1" applyAlignment="1">
      <alignment horizontal="center"/>
    </xf>
    <xf numFmtId="166" fontId="0" fillId="0" borderId="0" xfId="0" applyNumberFormat="1"/>
  </cellXfs>
  <cellStyles count="1">
    <cellStyle name="Standaard" xfId="0" builtinId="0"/>
  </cellStyles>
  <dxfs count="32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0.0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0.0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5" formatCode="0.00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4" formatCode="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1914A46-906C-CB49-A5B1-F450D33E2CB3}" name="Tabel3" displayName="Tabel3" ref="A9:B11" totalsRowShown="0">
  <autoFilter ref="A9:B11" xr:uid="{E12D2DB9-901F-3E47-A23D-6E5A195D824C}"/>
  <tableColumns count="2">
    <tableColumn id="1" xr3:uid="{9C30900A-AABC-BF4C-AD94-59DE4B5C9E8D}" name="Device"/>
    <tableColumn id="2" xr3:uid="{7E3F5349-B690-E347-A753-38297D99D047}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75484D5-8F07-4A89-BFBA-2A301B2857A8}" name="Tabel4" displayName="Tabel4" ref="A1:D2" totalsRowShown="0" headerRowDxfId="31" dataDxfId="30">
  <autoFilter ref="A1:D2" xr:uid="{0CE7C3D2-75CA-498D-BC00-41EA471190DD}"/>
  <tableColumns count="4">
    <tableColumn id="1" xr3:uid="{7623185B-251F-43A3-97D4-9CED8108D8DF}" name="Battery type" dataDxfId="29"/>
    <tableColumn id="2" xr3:uid="{ECA3E18D-7512-4A08-8333-34D3C34BE845}" name="Capacity [mAh]" dataDxfId="28"/>
    <tableColumn id="3" xr3:uid="{42BAB2E5-A695-435C-9D9E-36B0BE2EF5CA}" name="Usefull capacity (%)" dataDxfId="27"/>
    <tableColumn id="4" xr3:uid="{4684FC6A-F639-43E1-ABEE-2693F6B251CB}" name="Usefull capacity [mAh]" dataDxfId="26">
      <calculatedColumnFormula>B2*C2/100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0BD212-EB64-44CA-B33F-9A2FE6CE698F}" name="Tabel1" displayName="Tabel1" ref="A3:F20" totalsRowShown="0" headerRowDxfId="25" dataDxfId="24">
  <autoFilter ref="A3:F20" xr:uid="{4D781B9A-8D76-4DCF-803B-AADCE66BCB49}"/>
  <tableColumns count="6">
    <tableColumn id="1" xr3:uid="{EEE0E739-0860-4F7E-BA85-9F9DB744D4E6}" name="SubProcess" dataDxfId="23"/>
    <tableColumn id="2" xr3:uid="{A9BCE930-2443-41BF-983C-09C983E0EC33}" name="SubProcess Timing [ms]" dataDxfId="22"/>
    <tableColumn id="3" xr3:uid="{B32CEE98-BD3B-4B69-9728-AF1E35F6016E}" name="Total Power usage [mA]" dataDxfId="21"/>
    <tableColumn id="4" xr3:uid="{CBB6964B-08CE-4AFE-B9D8-1C21ACBE4E98}" name="SubProcess Cost [mAh]" dataDxfId="20">
      <calculatedColumnFormula>(Tabel1[[#This Row],[Total Power usage '[mA']]]*(Tabel1[[#This Row],[SubProcess Timing '[ms']]]/1000))/3600</calculatedColumnFormula>
    </tableColumn>
    <tableColumn id="7" xr3:uid="{FF20C601-058C-F641-8AD3-7791FC0F1141}" name=" time of total time [%]" dataDxfId="19">
      <calculatedColumnFormula>Tabel1[[#This Row],[SubProcess Timing '[ms']]]*Tabel1[[#This Row],[Total Power usage '[mA']]]</calculatedColumnFormula>
    </tableColumn>
    <tableColumn id="8" xr3:uid="{7ECC8839-3637-FD44-B738-A9F5D0E5546C}" name="Cost [mAh]" dataDxfId="18">
      <calculatedColumnFormula>Tabel1[[#This Row],[Total Power usage '[mA']]]*Tabel1[[#This Row],[ time of total time '[%']]]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7A1B25-739C-4D4A-B073-0EFBC1E73C3F}" name="Tabel2" displayName="Tabel2" ref="A42:E50" totalsRowShown="0" headerRowDxfId="17">
  <autoFilter ref="A42:E50" xr:uid="{11414B8B-0570-42C3-BC12-A2534A4F8216}"/>
  <tableColumns count="5">
    <tableColumn id="5" xr3:uid="{6C170380-841A-D14E-9CD2-53DB7537F10D}" name="Total cycle time [s]" dataDxfId="16"/>
    <tableColumn id="1" xr3:uid="{D335424C-1FB6-4BEB-A322-A5C0DCDCB2C9}" name="Total Cost [mAh]" dataDxfId="15">
      <calculatedColumnFormula>G31</calculatedColumnFormula>
    </tableColumn>
    <tableColumn id="2" xr3:uid="{8357E349-5552-49D9-9A46-0651DB558F4C}" name="Budget [mAh]" dataDxfId="14">
      <calculatedColumnFormula array="1">Tabel4[Usefull capacity '[mAh']]</calculatedColumnFormula>
    </tableColumn>
    <tableColumn id="3" xr3:uid="{E555DD3E-4C75-4CDE-BB82-A9B0FEB28113}" name="Lifespan (hours)" dataDxfId="13">
      <calculatedColumnFormula>C43/B43</calculatedColumnFormula>
    </tableColumn>
    <tableColumn id="4" xr3:uid="{1947BFDE-E6A2-CD4B-A206-6DE8CD952412}" name="Lifespan (days)" dataDxfId="12">
      <calculatedColumnFormula>Tabel2[[#This Row],[Lifespan (hours)]]/24</calculatedColumnFormula>
    </tableColumn>
  </tableColumns>
  <tableStyleInfo name="TableStyleMedium2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0B49D03-17FB-564C-A225-09E7E9F6A51A}" name="Tabel5" displayName="Tabel5" ref="A31:G38" totalsRowShown="0">
  <autoFilter ref="A31:G38" xr:uid="{80DD46EC-D878-7041-BC2A-1EC6E11FBAD0}"/>
  <tableColumns count="7">
    <tableColumn id="1" xr3:uid="{4EE34A72-165A-7246-B085-9DB98D71BA59}" name="Total cycle time [min]"/>
    <tableColumn id="2" xr3:uid="{23435F51-F2FF-0A43-A0B1-64F430EA16EB}" name="Time sleeping [s]" dataDxfId="11">
      <calculatedColumnFormula>60/(Tabel5[[#This Row],[Total cycle time '[min']]]+($B$20/60000))</calculatedColumnFormula>
    </tableColumn>
    <tableColumn id="3" xr3:uid="{34FB58CC-E43E-46C1-B1C1-C93B702DD28D}" name="Time active [s]" dataDxfId="10">
      <calculatedColumnFormula>Tabel5[[#This Row],[Time sleeping '[s']]]*($B$20/1000)/60</calculatedColumnFormula>
    </tableColumn>
    <tableColumn id="7" xr3:uid="{A0FB89D8-70D0-D04E-8C77-269C1795396D}" name="active [%]" dataDxfId="9">
      <calculatedColumnFormula>Tabel5[[#This Row],[Time active '[s']]]/(Tabel5[[#This Row],[Total cycle time '[min']]]*60) *100</calculatedColumnFormula>
    </tableColumn>
    <tableColumn id="4" xr3:uid="{41E329C1-D46D-664B-9C03-DD4A72928EAA}" name="Total cost active [mAh]" dataDxfId="8">
      <calculatedColumnFormula>$F$20 *Tabel5[[#This Row],[active '[%']]]/100</calculatedColumnFormula>
    </tableColumn>
    <tableColumn id="5" xr3:uid="{42F288B8-5E5E-9D4A-8A45-342565B9B401}" name="Total cost sleep [mAh]" dataDxfId="7">
      <calculatedColumnFormula>$B$28 * (100 - Tabel5[[#This Row],[active '[%']]]) / 100</calculatedColumnFormula>
    </tableColumn>
    <tableColumn id="6" xr3:uid="{1286E45F-F605-4A2E-B79F-FE637420D24E}" name="Total cost in [mAh]" dataDxfId="1">
      <calculatedColumnFormula xml:space="preserve"> Tabel5[[#This Row],[Total cost active '[mAh']]] + Tabel5[[#This Row],[Total cost sleep '[mAh']]]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C134BF2-FB6E-C14A-9B4E-3DA1ADD0C294}" name="Tabel6" displayName="Tabel6" ref="A23:B28" totalsRowShown="0">
  <autoFilter ref="A23:B28" xr:uid="{0AF90B8E-32A9-C445-8705-C023F0168D57}"/>
  <tableColumns count="2">
    <tableColumn id="1" xr3:uid="{E3C49ACC-5873-1F42-B5A8-C8801FA40BF5}" name="Device in sleep"/>
    <tableColumn id="2" xr3:uid="{45F4B15F-7096-D24F-9660-6E9A4E42412F}" name="Total power usage [mA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075248C-D841-4878-B0AE-311688EE6390}" name="Tabel28" displayName="Tabel28" ref="A53:E61" totalsRowShown="0" headerRowDxfId="6">
  <autoFilter ref="A53:E61" xr:uid="{4BEA6DAF-0C24-4E3E-A753-F2C6A73F8CDB}"/>
  <tableColumns count="5">
    <tableColumn id="5" xr3:uid="{DDEB10D7-05EB-4367-B830-BA04250B2150}" name="Total cycle time [s]" dataDxfId="5"/>
    <tableColumn id="1" xr3:uid="{014BA597-9C31-454A-8632-8C697A21814E}" name="Total Cost [mAh]" dataDxfId="0"/>
    <tableColumn id="2" xr3:uid="{16B6A169-41CD-49EC-B125-4B14EBF05147}" name="Budget [mAh]" dataDxfId="4">
      <calculatedColumnFormula array="1">Tabel4[Usefull capacity '[mAh']]</calculatedColumnFormula>
    </tableColumn>
    <tableColumn id="3" xr3:uid="{D3DCE467-EB98-46B9-98DE-7BFE1752F227}" name="Lifespan (hours)" dataDxfId="3">
      <calculatedColumnFormula>C54/B54</calculatedColumnFormula>
    </tableColumn>
    <tableColumn id="4" xr3:uid="{244A41F9-77D1-4898-AE87-CC0CA8596E61}" name="Lifespan (days)" dataDxfId="2">
      <calculatedColumnFormula>Tabel28[[#This Row],[Lifespan (hours)]]/24</calculatedColumnFormula>
    </tableColumn>
  </tableColumns>
  <tableStyleInfo name="TableStyleMedium26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15C28-F3A9-BB49-B756-20F6F4D0453E}">
  <dimension ref="A1:B11"/>
  <sheetViews>
    <sheetView workbookViewId="0">
      <selection activeCell="A22" sqref="A22"/>
    </sheetView>
  </sheetViews>
  <sheetFormatPr defaultColWidth="11" defaultRowHeight="15.75"/>
  <cols>
    <col min="1" max="1" width="21.875" customWidth="1"/>
    <col min="2" max="2" width="22" customWidth="1"/>
  </cols>
  <sheetData>
    <row r="1" spans="1:2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6</v>
      </c>
    </row>
    <row r="9" spans="1:2">
      <c r="A9" t="s">
        <v>7</v>
      </c>
      <c r="B9" t="s">
        <v>8</v>
      </c>
    </row>
    <row r="10" spans="1:2">
      <c r="A10" t="s">
        <v>9</v>
      </c>
      <c r="B10" t="s">
        <v>10</v>
      </c>
    </row>
    <row r="11" spans="1:2">
      <c r="A11" t="s">
        <v>9</v>
      </c>
      <c r="B1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9E08B-CC11-4FD8-AE97-7482B9A7D816}">
  <dimension ref="A1:F2"/>
  <sheetViews>
    <sheetView workbookViewId="0">
      <selection activeCell="D15" sqref="D15"/>
    </sheetView>
  </sheetViews>
  <sheetFormatPr defaultColWidth="8.875" defaultRowHeight="15.75"/>
  <cols>
    <col min="1" max="1" width="29.625" customWidth="1"/>
    <col min="2" max="2" width="19.125" customWidth="1"/>
    <col min="3" max="3" width="24.5" customWidth="1"/>
    <col min="4" max="4" width="30.625" customWidth="1"/>
  </cols>
  <sheetData>
    <row r="1" spans="1:6">
      <c r="A1" s="2" t="s">
        <v>12</v>
      </c>
      <c r="B1" s="2" t="s">
        <v>13</v>
      </c>
      <c r="C1" s="2" t="s">
        <v>14</v>
      </c>
      <c r="D1" s="2" t="s">
        <v>15</v>
      </c>
      <c r="F1" s="1"/>
    </row>
    <row r="2" spans="1:6">
      <c r="A2" s="2" t="s">
        <v>16</v>
      </c>
      <c r="B2" s="2">
        <v>2600</v>
      </c>
      <c r="C2" s="7">
        <v>80</v>
      </c>
      <c r="D2" s="2">
        <f>B2*C2/100</f>
        <v>2080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14520-0A93-423C-9E83-12F1D773D57E}">
  <dimension ref="A1:G61"/>
  <sheetViews>
    <sheetView tabSelected="1" topLeftCell="A19" zoomScale="78" zoomScaleNormal="78" workbookViewId="0">
      <selection activeCell="O12" sqref="O12"/>
    </sheetView>
  </sheetViews>
  <sheetFormatPr defaultColWidth="8.875" defaultRowHeight="15.75"/>
  <cols>
    <col min="1" max="1" width="30.875" customWidth="1"/>
    <col min="2" max="3" width="26.125" customWidth="1"/>
    <col min="4" max="4" width="24.375" customWidth="1"/>
    <col min="5" max="5" width="27.375" customWidth="1"/>
    <col min="6" max="7" width="22" customWidth="1"/>
  </cols>
  <sheetData>
    <row r="1" spans="1:6">
      <c r="A1" s="6" t="s">
        <v>17</v>
      </c>
    </row>
    <row r="3" spans="1:6">
      <c r="A3" s="2" t="s">
        <v>18</v>
      </c>
      <c r="B3" s="2" t="s">
        <v>19</v>
      </c>
      <c r="C3" s="8" t="s">
        <v>20</v>
      </c>
      <c r="D3" s="2" t="s">
        <v>21</v>
      </c>
      <c r="E3" s="2" t="s">
        <v>22</v>
      </c>
      <c r="F3" s="2" t="s">
        <v>23</v>
      </c>
    </row>
    <row r="4" spans="1:6">
      <c r="A4" s="2" t="s">
        <v>24</v>
      </c>
      <c r="B4" s="2">
        <v>1174</v>
      </c>
      <c r="C4" s="9">
        <v>35.53</v>
      </c>
      <c r="D4" s="10">
        <f>(Tabel1[[#This Row],[Total Power usage '[mA']]]*(Tabel1[[#This Row],[SubProcess Timing '[ms']]]/1000))/3600</f>
        <v>1.1586727777777778E-2</v>
      </c>
      <c r="E4" s="3">
        <f>Tabel1[[#This Row],[SubProcess Timing '[ms']]]/$B$20 *100</f>
        <v>3.4326481681822165</v>
      </c>
      <c r="F4" s="12">
        <f>Tabel1[[#This Row],[Total Power usage '[mA']]]*Tabel1[[#This Row],[ time of total time '[%']]]/100</f>
        <v>1.2196198941551415</v>
      </c>
    </row>
    <row r="5" spans="1:6">
      <c r="A5" s="2" t="s">
        <v>25</v>
      </c>
      <c r="B5" s="2">
        <v>30000</v>
      </c>
      <c r="C5" s="5">
        <v>72.7</v>
      </c>
      <c r="D5" s="10">
        <f>(Tabel1[[#This Row],[Total Power usage '[mA']]]*(Tabel1[[#This Row],[SubProcess Timing '[ms']]]/1000))/3600</f>
        <v>0.60583333333333333</v>
      </c>
      <c r="E5" s="3">
        <f>Tabel1[[#This Row],[SubProcess Timing '[ms']]]/$B$20 *100</f>
        <v>87.716733428847107</v>
      </c>
      <c r="F5" s="12">
        <f>Tabel1[[#This Row],[Total Power usage '[mA']]]*Tabel1[[#This Row],[ time of total time '[%']]]/100</f>
        <v>63.770065202771846</v>
      </c>
    </row>
    <row r="6" spans="1:6">
      <c r="A6" s="2" t="s">
        <v>26</v>
      </c>
      <c r="B6" s="2">
        <v>346</v>
      </c>
      <c r="C6" s="2">
        <v>78.8</v>
      </c>
      <c r="D6" s="10">
        <f>(Tabel1[[#This Row],[Total Power usage '[mA']]]*(Tabel1[[#This Row],[SubProcess Timing '[ms']]]/1000))/3600</f>
        <v>7.5735555555555547E-3</v>
      </c>
      <c r="E6" s="3">
        <f>Tabel1[[#This Row],[SubProcess Timing '[ms']]]/$B$20 *100</f>
        <v>1.0116663255460365</v>
      </c>
      <c r="F6" s="12">
        <f>Tabel1[[#This Row],[Total Power usage '[mA']]]*Tabel1[[#This Row],[ time of total time '[%']]]/100</f>
        <v>0.79719306453027672</v>
      </c>
    </row>
    <row r="7" spans="1:6">
      <c r="A7" s="2" t="s">
        <v>27</v>
      </c>
      <c r="B7" s="2">
        <v>96</v>
      </c>
      <c r="C7" s="2">
        <v>78.8</v>
      </c>
      <c r="D7" s="10">
        <f>(Tabel1[[#This Row],[Total Power usage '[mA']]]*(Tabel1[[#This Row],[SubProcess Timing '[ms']]]/1000))/3600</f>
        <v>2.1013333333333335E-3</v>
      </c>
      <c r="E7" s="3">
        <f>Tabel1[[#This Row],[SubProcess Timing '[ms']]]/$B$20 *100</f>
        <v>0.28069354697231075</v>
      </c>
      <c r="F7" s="12">
        <f>Tabel1[[#This Row],[Total Power usage '[mA']]]*Tabel1[[#This Row],[ time of total time '[%']]]/100</f>
        <v>0.22118651501418085</v>
      </c>
    </row>
    <row r="8" spans="1:6">
      <c r="A8" s="2" t="s">
        <v>28</v>
      </c>
      <c r="B8" s="2">
        <v>49</v>
      </c>
      <c r="C8" s="2">
        <v>2.8</v>
      </c>
      <c r="D8" s="10">
        <f>(Tabel1[[#This Row],[Total Power usage '[mA']]]*(Tabel1[[#This Row],[SubProcess Timing '[ms']]]/1000))/3600</f>
        <v>3.8111111111111111E-5</v>
      </c>
      <c r="E8" s="3">
        <f>Tabel1[[#This Row],[SubProcess Timing '[ms']]]/$B$20 *100</f>
        <v>0.14327066460045029</v>
      </c>
      <c r="F8" s="12">
        <f>Tabel1[[#This Row],[Total Power usage '[mA']]]*Tabel1[[#This Row],[ time of total time '[%']]]/100</f>
        <v>4.011578608812608E-3</v>
      </c>
    </row>
    <row r="9" spans="1:6">
      <c r="A9" s="2" t="s">
        <v>29</v>
      </c>
      <c r="B9" s="2">
        <v>34</v>
      </c>
      <c r="C9" s="2">
        <v>5.8</v>
      </c>
      <c r="D9" s="10">
        <f>(Tabel1[[#This Row],[Total Power usage '[mA']]]*(Tabel1[[#This Row],[SubProcess Timing '[ms']]]/1000))/3600</f>
        <v>5.4777777777777785E-5</v>
      </c>
      <c r="E9" s="3">
        <f>Tabel1[[#This Row],[SubProcess Timing '[ms']]]/$B$20 *100</f>
        <v>9.9412297886026721E-2</v>
      </c>
      <c r="F9" s="12">
        <f>Tabel1[[#This Row],[Total Power usage '[mA']]]*Tabel1[[#This Row],[ time of total time '[%']]]/100</f>
        <v>5.7659132773895498E-3</v>
      </c>
    </row>
    <row r="10" spans="1:6">
      <c r="A10" s="2" t="s">
        <v>30</v>
      </c>
      <c r="B10" s="2">
        <v>42</v>
      </c>
      <c r="C10" s="2">
        <v>5.6</v>
      </c>
      <c r="D10" s="10">
        <f>(Tabel1[[#This Row],[Total Power usage '[mA']]]*(Tabel1[[#This Row],[SubProcess Timing '[ms']]]/1000))/3600</f>
        <v>6.5333333333333327E-5</v>
      </c>
      <c r="E10" s="3">
        <f>Tabel1[[#This Row],[SubProcess Timing '[ms']]]/$B$20 *100</f>
        <v>0.12280342680038596</v>
      </c>
      <c r="F10" s="12">
        <f>Tabel1[[#This Row],[Total Power usage '[mA']]]*Tabel1[[#This Row],[ time of total time '[%']]]/100</f>
        <v>6.8769919008216133E-3</v>
      </c>
    </row>
    <row r="11" spans="1:6">
      <c r="A11" s="2" t="s">
        <v>31</v>
      </c>
      <c r="B11" s="2">
        <v>45</v>
      </c>
      <c r="C11" s="2">
        <v>5.3</v>
      </c>
      <c r="D11" s="10">
        <f>(Tabel1[[#This Row],[Total Power usage '[mA']]]*(Tabel1[[#This Row],[SubProcess Timing '[ms']]]/1000))/3600</f>
        <v>6.6249999999999998E-5</v>
      </c>
      <c r="E11" s="3">
        <f>Tabel1[[#This Row],[SubProcess Timing '[ms']]]/$B$20 *100</f>
        <v>0.13157510014327065</v>
      </c>
      <c r="F11" s="12">
        <f>Tabel1[[#This Row],[Total Power usage '[mA']]]*Tabel1[[#This Row],[ time of total time '[%']]]/100</f>
        <v>6.9734803075933438E-3</v>
      </c>
    </row>
    <row r="12" spans="1:6">
      <c r="A12" s="2" t="s">
        <v>32</v>
      </c>
      <c r="B12" s="2">
        <v>34</v>
      </c>
      <c r="C12" s="2">
        <v>6.2</v>
      </c>
      <c r="D12" s="10">
        <f>(Tabel1[[#This Row],[Total Power usage '[mA']]]*(Tabel1[[#This Row],[SubProcess Timing '[ms']]]/1000))/3600</f>
        <v>5.8555555555555557E-5</v>
      </c>
      <c r="E12" s="3">
        <f>Tabel1[[#This Row],[SubProcess Timing '[ms']]]/$B$20 *100</f>
        <v>9.9412297886026721E-2</v>
      </c>
      <c r="F12" s="12">
        <f>Tabel1[[#This Row],[Total Power usage '[mA']]]*Tabel1[[#This Row],[ time of total time '[%']]]/100</f>
        <v>6.1635624689336567E-3</v>
      </c>
    </row>
    <row r="13" spans="1:6">
      <c r="A13" s="2" t="s">
        <v>33</v>
      </c>
      <c r="B13" s="2">
        <v>42</v>
      </c>
      <c r="C13" s="2">
        <v>6.2</v>
      </c>
      <c r="D13" s="10">
        <f>(Tabel1[[#This Row],[Total Power usage '[mA']]]*(Tabel1[[#This Row],[SubProcess Timing '[ms']]]/1000))/3600</f>
        <v>7.2333333333333334E-5</v>
      </c>
      <c r="E13" s="3">
        <f>Tabel1[[#This Row],[SubProcess Timing '[ms']]]/$B$20 *100</f>
        <v>0.12280342680038596</v>
      </c>
      <c r="F13" s="12">
        <f>Tabel1[[#This Row],[Total Power usage '[mA']]]*Tabel1[[#This Row],[ time of total time '[%']]]/100</f>
        <v>7.6138124616239302E-3</v>
      </c>
    </row>
    <row r="14" spans="1:6">
      <c r="A14" s="2" t="s">
        <v>34</v>
      </c>
      <c r="B14" s="2">
        <v>48</v>
      </c>
      <c r="C14" s="2">
        <v>6.2</v>
      </c>
      <c r="D14" s="10">
        <f>(Tabel1[[#This Row],[Total Power usage '[mA']]]*(Tabel1[[#This Row],[SubProcess Timing '[ms']]]/1000))/3600</f>
        <v>8.2666666666666679E-5</v>
      </c>
      <c r="E14" s="3">
        <f>Tabel1[[#This Row],[SubProcess Timing '[ms']]]/$B$20 *100</f>
        <v>0.14034677348615537</v>
      </c>
      <c r="F14" s="12">
        <f>Tabel1[[#This Row],[Total Power usage '[mA']]]*Tabel1[[#This Row],[ time of total time '[%']]]/100</f>
        <v>8.7014999561416343E-3</v>
      </c>
    </row>
    <row r="15" spans="1:6">
      <c r="A15" s="2" t="s">
        <v>35</v>
      </c>
      <c r="B15" s="2">
        <v>46</v>
      </c>
      <c r="C15" s="2">
        <v>6.2</v>
      </c>
      <c r="D15" s="10">
        <f>(Tabel1[[#This Row],[Total Power usage '[mA']]]*(Tabel1[[#This Row],[SubProcess Timing '[ms']]]/1000))/3600</f>
        <v>7.9222222222222226E-5</v>
      </c>
      <c r="E15" s="3">
        <f>Tabel1[[#This Row],[SubProcess Timing '[ms']]]/$B$20 *100</f>
        <v>0.13449899125756556</v>
      </c>
      <c r="F15" s="12">
        <f>Tabel1[[#This Row],[Total Power usage '[mA']]]*Tabel1[[#This Row],[ time of total time '[%']]]/100</f>
        <v>8.3389374579690648E-3</v>
      </c>
    </row>
    <row r="16" spans="1:6">
      <c r="A16" s="2" t="s">
        <v>36</v>
      </c>
      <c r="B16" s="2">
        <v>50</v>
      </c>
      <c r="C16" s="2">
        <v>6.2</v>
      </c>
      <c r="D16" s="10">
        <f>(Tabel1[[#This Row],[Total Power usage '[mA']]]*(Tabel1[[#This Row],[SubProcess Timing '[ms']]]/1000))/3600</f>
        <v>8.6111111111111132E-5</v>
      </c>
      <c r="E16" s="3">
        <f>Tabel1[[#This Row],[SubProcess Timing '[ms']]]/$B$20 *100</f>
        <v>0.14619455571474518</v>
      </c>
      <c r="F16" s="12">
        <f>Tabel1[[#This Row],[Total Power usage '[mA']]]*Tabel1[[#This Row],[ time of total time '[%']]]/100</f>
        <v>9.064062454314202E-3</v>
      </c>
    </row>
    <row r="17" spans="1:7">
      <c r="A17" s="2" t="s">
        <v>37</v>
      </c>
      <c r="B17" s="2">
        <v>50</v>
      </c>
      <c r="C17" s="2">
        <v>6.2</v>
      </c>
      <c r="D17" s="10">
        <f>(Tabel1[[#This Row],[Total Power usage '[mA']]]*(Tabel1[[#This Row],[SubProcess Timing '[ms']]]/1000))/3600</f>
        <v>8.6111111111111132E-5</v>
      </c>
      <c r="E17" s="3">
        <f>Tabel1[[#This Row],[SubProcess Timing '[ms']]]/$B$20 *100</f>
        <v>0.14619455571474518</v>
      </c>
      <c r="F17" s="12">
        <f>Tabel1[[#This Row],[Total Power usage '[mA']]]*Tabel1[[#This Row],[ time of total time '[%']]]/100</f>
        <v>9.064062454314202E-3</v>
      </c>
    </row>
    <row r="18" spans="1:7">
      <c r="A18" s="2" t="s">
        <v>38</v>
      </c>
      <c r="B18" s="2">
        <v>51</v>
      </c>
      <c r="C18" s="2">
        <v>50.1</v>
      </c>
      <c r="D18" s="10">
        <f>(Tabel1[[#This Row],[Total Power usage '[mA']]]*(Tabel1[[#This Row],[SubProcess Timing '[ms']]]/1000))/3600</f>
        <v>7.0974999999999999E-4</v>
      </c>
      <c r="E18" s="3">
        <f>Tabel1[[#This Row],[SubProcess Timing '[ms']]]/$B$20 *100</f>
        <v>0.14911844682904007</v>
      </c>
      <c r="F18" s="12">
        <f>Tabel1[[#This Row],[Total Power usage '[mA']]]*Tabel1[[#This Row],[ time of total time '[%']]]/100</f>
        <v>7.4708341861349087E-2</v>
      </c>
    </row>
    <row r="19" spans="1:7">
      <c r="A19" s="2" t="s">
        <v>39</v>
      </c>
      <c r="B19" s="2">
        <v>2094</v>
      </c>
      <c r="C19" s="2">
        <v>1.54</v>
      </c>
      <c r="D19" s="10">
        <f>(Tabel1[[#This Row],[Total Power usage '[mA']]]*(Tabel1[[#This Row],[SubProcess Timing '[ms']]]/1000))/3600</f>
        <v>8.9576666666666663E-4</v>
      </c>
      <c r="E19" s="3">
        <f>Tabel1[[#This Row],[SubProcess Timing '[ms']]]/$B$20 *100</f>
        <v>6.1226279933335288</v>
      </c>
      <c r="F19" s="12">
        <f>Tabel1[[#This Row],[Total Power usage '[mA']]]*Tabel1[[#This Row],[ time of total time '[%']]]/100</f>
        <v>9.4288471097336346E-2</v>
      </c>
    </row>
    <row r="20" spans="1:7">
      <c r="A20" s="2" t="s">
        <v>40</v>
      </c>
      <c r="B20" s="2">
        <f>SUM(B4:B19)</f>
        <v>34201</v>
      </c>
      <c r="C20" s="2"/>
      <c r="D20" s="10"/>
      <c r="E20" s="3">
        <f>SUM(E4:E19)</f>
        <v>99.999999999999986</v>
      </c>
      <c r="F20" s="12">
        <f>SUM(F4:F19)</f>
        <v>66.249635390778053</v>
      </c>
    </row>
    <row r="23" spans="1:7">
      <c r="A23" t="s">
        <v>41</v>
      </c>
      <c r="B23" t="s">
        <v>42</v>
      </c>
    </row>
    <row r="24" spans="1:7">
      <c r="A24" t="s">
        <v>9</v>
      </c>
      <c r="B24">
        <v>5.17</v>
      </c>
    </row>
    <row r="25" spans="1:7">
      <c r="A25" t="s">
        <v>43</v>
      </c>
      <c r="B25">
        <v>0.41799999999999998</v>
      </c>
    </row>
    <row r="26" spans="1:7">
      <c r="A26" t="s">
        <v>44</v>
      </c>
      <c r="B26">
        <v>7.0000000000000007E-2</v>
      </c>
    </row>
    <row r="27" spans="1:7">
      <c r="A27" t="s">
        <v>45</v>
      </c>
      <c r="B27">
        <v>0.1</v>
      </c>
    </row>
    <row r="28" spans="1:7">
      <c r="A28" t="s">
        <v>40</v>
      </c>
      <c r="B28">
        <f>SUM(B24:B27)</f>
        <v>5.758</v>
      </c>
    </row>
    <row r="31" spans="1:7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</row>
    <row r="32" spans="1:7">
      <c r="A32">
        <v>1</v>
      </c>
      <c r="B32" s="11">
        <f xml:space="preserve"> (Tabel5[[#This Row],[Total cycle time '[min']]] *60000 - $B$20) /1000</f>
        <v>25.798999999999999</v>
      </c>
      <c r="C32" s="11">
        <f>$B$20/1000</f>
        <v>34.201000000000001</v>
      </c>
      <c r="D32" s="11">
        <f>Tabel5[[#This Row],[Time active '[s']]]/(Tabel5[[#This Row],[Total cycle time '[min']]]*60) *100</f>
        <v>57.001666666666672</v>
      </c>
      <c r="E32" s="11">
        <f>$F$20 *Tabel5[[#This Row],[active '[%']]]/100</f>
        <v>37.76339633333334</v>
      </c>
      <c r="F32" s="13">
        <f>$B$28 * (100 - Tabel5[[#This Row],[active '[%']]]) / 100</f>
        <v>2.4758440333333329</v>
      </c>
      <c r="G32" s="11">
        <f xml:space="preserve"> Tabel5[[#This Row],[Total cost active '[mAh']]] + Tabel5[[#This Row],[Total cost sleep '[mAh']]]</f>
        <v>40.239240366666671</v>
      </c>
    </row>
    <row r="33" spans="1:7">
      <c r="A33">
        <v>5</v>
      </c>
      <c r="B33" s="11">
        <f xml:space="preserve"> (Tabel5[[#This Row],[Total cycle time '[min']]] *60000 - $B$20) /1000</f>
        <v>265.79899999999998</v>
      </c>
      <c r="C33" s="11">
        <f>$B$20/1000</f>
        <v>34.201000000000001</v>
      </c>
      <c r="D33" s="11">
        <f>Tabel5[[#This Row],[Time active '[s']]]/(Tabel5[[#This Row],[Total cycle time '[min']]]*60) *100</f>
        <v>11.400333333333332</v>
      </c>
      <c r="E33" s="11">
        <f>$F$20 *Tabel5[[#This Row],[active '[%']]]/100</f>
        <v>7.5526792666666669</v>
      </c>
      <c r="F33" s="13">
        <f>$B$28 * (100 - Tabel5[[#This Row],[active '[%']]]) / 100</f>
        <v>5.1015688066666662</v>
      </c>
      <c r="G33" s="11">
        <f xml:space="preserve"> Tabel5[[#This Row],[Total cost active '[mAh']]] + Tabel5[[#This Row],[Total cost sleep '[mAh']]]</f>
        <v>12.654248073333333</v>
      </c>
    </row>
    <row r="34" spans="1:7">
      <c r="A34">
        <v>10</v>
      </c>
      <c r="B34" s="11">
        <f xml:space="preserve"> (Tabel5[[#This Row],[Total cycle time '[min']]] *60000 - $B$20) /1000</f>
        <v>565.79899999999998</v>
      </c>
      <c r="C34" s="11">
        <f t="shared" ref="C34:C38" si="0">$B$20/1000</f>
        <v>34.201000000000001</v>
      </c>
      <c r="D34" s="11">
        <f>Tabel5[[#This Row],[Time active '[s']]]/(Tabel5[[#This Row],[Total cycle time '[min']]]*60) *100</f>
        <v>5.7001666666666662</v>
      </c>
      <c r="E34" s="11">
        <f>$F$20 *Tabel5[[#This Row],[active '[%']]]/100</f>
        <v>3.7763396333333334</v>
      </c>
      <c r="F34" s="13">
        <f>$B$28 * (100 - Tabel5[[#This Row],[active '[%']]]) / 100</f>
        <v>5.4297844033333345</v>
      </c>
      <c r="G34" s="11">
        <f xml:space="preserve"> Tabel5[[#This Row],[Total cost active '[mAh']]] + Tabel5[[#This Row],[Total cost sleep '[mAh']]]</f>
        <v>9.2061240366666688</v>
      </c>
    </row>
    <row r="35" spans="1:7">
      <c r="A35">
        <v>15</v>
      </c>
      <c r="B35" s="11">
        <f xml:space="preserve"> (Tabel5[[#This Row],[Total cycle time '[min']]] *60000 - $B$20) /1000</f>
        <v>865.79899999999998</v>
      </c>
      <c r="C35" s="11">
        <f t="shared" si="0"/>
        <v>34.201000000000001</v>
      </c>
      <c r="D35" s="11">
        <f>Tabel5[[#This Row],[Time active '[s']]]/(Tabel5[[#This Row],[Total cycle time '[min']]]*60) *100</f>
        <v>3.8001111111111112</v>
      </c>
      <c r="E35" s="11">
        <f>$F$20 *Tabel5[[#This Row],[active '[%']]]/100</f>
        <v>2.5175597555555558</v>
      </c>
      <c r="F35" s="13">
        <f>$B$28 * (100 - Tabel5[[#This Row],[active '[%']]]) / 100</f>
        <v>5.5391896022222227</v>
      </c>
      <c r="G35" s="11">
        <f xml:space="preserve"> Tabel5[[#This Row],[Total cost active '[mAh']]] + Tabel5[[#This Row],[Total cost sleep '[mAh']]]</f>
        <v>8.0567493577777789</v>
      </c>
    </row>
    <row r="36" spans="1:7">
      <c r="A36">
        <v>20</v>
      </c>
      <c r="B36" s="11">
        <f xml:space="preserve"> (Tabel5[[#This Row],[Total cycle time '[min']]] *60000 - $B$20) /1000</f>
        <v>1165.799</v>
      </c>
      <c r="C36" s="11">
        <f t="shared" si="0"/>
        <v>34.201000000000001</v>
      </c>
      <c r="D36" s="11">
        <f>Tabel5[[#This Row],[Time active '[s']]]/(Tabel5[[#This Row],[Total cycle time '[min']]]*60) *100</f>
        <v>2.8500833333333331</v>
      </c>
      <c r="E36" s="11">
        <f>$F$20 *Tabel5[[#This Row],[active '[%']]]/100</f>
        <v>1.8881698166666667</v>
      </c>
      <c r="F36" s="13">
        <f>$B$28 * (100 - Tabel5[[#This Row],[active '[%']]]) / 100</f>
        <v>5.5938922016666659</v>
      </c>
      <c r="G36" s="11">
        <f xml:space="preserve"> Tabel5[[#This Row],[Total cost active '[mAh']]] + Tabel5[[#This Row],[Total cost sleep '[mAh']]]</f>
        <v>7.4820620183333322</v>
      </c>
    </row>
    <row r="37" spans="1:7">
      <c r="A37">
        <v>30</v>
      </c>
      <c r="B37" s="11">
        <f xml:space="preserve"> (Tabel5[[#This Row],[Total cycle time '[min']]] *60000 - $B$20) /1000</f>
        <v>1765.799</v>
      </c>
      <c r="C37" s="11">
        <f t="shared" si="0"/>
        <v>34.201000000000001</v>
      </c>
      <c r="D37" s="11">
        <f>Tabel5[[#This Row],[Time active '[s']]]/(Tabel5[[#This Row],[Total cycle time '[min']]]*60) *100</f>
        <v>1.9000555555555556</v>
      </c>
      <c r="E37" s="11">
        <f>$F$20 *Tabel5[[#This Row],[active '[%']]]/100</f>
        <v>1.2587798777777779</v>
      </c>
      <c r="F37" s="13">
        <f>$B$28 * (100 - Tabel5[[#This Row],[active '[%']]]) / 100</f>
        <v>5.6485948011111109</v>
      </c>
      <c r="G37" s="11">
        <f xml:space="preserve"> Tabel5[[#This Row],[Total cost active '[mAh']]] + Tabel5[[#This Row],[Total cost sleep '[mAh']]]</f>
        <v>6.907374678888889</v>
      </c>
    </row>
    <row r="38" spans="1:7">
      <c r="A38">
        <v>60</v>
      </c>
      <c r="B38" s="11">
        <f xml:space="preserve"> (Tabel5[[#This Row],[Total cycle time '[min']]] *60000 - $B$20) /1000</f>
        <v>3565.799</v>
      </c>
      <c r="C38" s="11">
        <f t="shared" si="0"/>
        <v>34.201000000000001</v>
      </c>
      <c r="D38" s="11">
        <f>Tabel5[[#This Row],[Time active '[s']]]/(Tabel5[[#This Row],[Total cycle time '[min']]]*60) *100</f>
        <v>0.9500277777777778</v>
      </c>
      <c r="E38" s="11">
        <f>$F$20 *Tabel5[[#This Row],[active '[%']]]/100</f>
        <v>0.62938993888888894</v>
      </c>
      <c r="F38" s="13">
        <f>$B$28 * (100 - Tabel5[[#This Row],[active '[%']]]) / 100</f>
        <v>5.7032974005555559</v>
      </c>
      <c r="G38" s="11">
        <f xml:space="preserve"> Tabel5[[#This Row],[Total cost active '[mAh']]] + Tabel5[[#This Row],[Total cost sleep '[mAh']]]</f>
        <v>6.332687339444445</v>
      </c>
    </row>
    <row r="41" spans="1:7">
      <c r="A41" t="s">
        <v>58</v>
      </c>
    </row>
    <row r="42" spans="1:7">
      <c r="A42" s="2" t="s">
        <v>57</v>
      </c>
      <c r="B42" s="2" t="s">
        <v>53</v>
      </c>
      <c r="C42" s="2" t="s">
        <v>54</v>
      </c>
      <c r="D42" s="2" t="s">
        <v>55</v>
      </c>
      <c r="E42" s="2" t="s">
        <v>56</v>
      </c>
    </row>
    <row r="43" spans="1:7">
      <c r="A43" s="3">
        <v>34.200000000000003</v>
      </c>
      <c r="B43" s="3">
        <v>66.25</v>
      </c>
      <c r="C43" s="2" cm="1">
        <f t="array" ref="C43">Tabel4[Usefull capacity '[mAh']]</f>
        <v>2080</v>
      </c>
      <c r="D43" s="4">
        <f t="shared" ref="D43:D50" si="1">C43/B43</f>
        <v>31.39622641509434</v>
      </c>
      <c r="E43" s="4">
        <f>Tabel2[[#This Row],[Lifespan (hours)]]/24</f>
        <v>1.3081761006289307</v>
      </c>
    </row>
    <row r="44" spans="1:7">
      <c r="A44" s="3">
        <v>60</v>
      </c>
      <c r="B44" s="3">
        <f t="shared" ref="B44:B50" si="2">G32</f>
        <v>40.239240366666671</v>
      </c>
      <c r="C44" s="2" cm="1">
        <f t="array" ref="C44">Tabel4[Usefull capacity '[mAh']]</f>
        <v>2080</v>
      </c>
      <c r="D44" s="4">
        <f t="shared" si="1"/>
        <v>51.690836632269722</v>
      </c>
      <c r="E44" s="4">
        <f>Tabel2[[#This Row],[Lifespan (hours)]]/24</f>
        <v>2.1537848596779052</v>
      </c>
    </row>
    <row r="45" spans="1:7">
      <c r="A45" s="3">
        <v>300</v>
      </c>
      <c r="B45" s="3">
        <f t="shared" si="2"/>
        <v>12.654248073333333</v>
      </c>
      <c r="C45" s="2" cm="1">
        <f t="array" ref="C45">Tabel4[Usefull capacity '[mAh']]</f>
        <v>2080</v>
      </c>
      <c r="D45" s="4">
        <f t="shared" si="1"/>
        <v>164.37167881853406</v>
      </c>
      <c r="E45" s="4">
        <f>Tabel2[[#This Row],[Lifespan (hours)]]/24</f>
        <v>6.8488199507722527</v>
      </c>
    </row>
    <row r="46" spans="1:7">
      <c r="A46" s="3">
        <v>600</v>
      </c>
      <c r="B46" s="3">
        <f t="shared" si="2"/>
        <v>9.2061240366666688</v>
      </c>
      <c r="C46" s="2" cm="1">
        <f t="array" ref="C46">Tabel4[Usefull capacity '[mAh']]</f>
        <v>2080</v>
      </c>
      <c r="D46" s="4">
        <f t="shared" si="1"/>
        <v>225.93656045863156</v>
      </c>
      <c r="E46" s="4">
        <f>Tabel2[[#This Row],[Lifespan (hours)]]/24</f>
        <v>9.4140233524429817</v>
      </c>
    </row>
    <row r="47" spans="1:7">
      <c r="A47" s="3">
        <v>900</v>
      </c>
      <c r="B47" s="3">
        <f t="shared" si="2"/>
        <v>8.0567493577777789</v>
      </c>
      <c r="C47" s="2" cm="1">
        <f t="array" ref="C47">Tabel4[Usefull capacity '[mAh']]</f>
        <v>2080</v>
      </c>
      <c r="D47" s="4">
        <f t="shared" si="1"/>
        <v>258.16863695679217</v>
      </c>
      <c r="E47" s="4">
        <f>Tabel2[[#This Row],[Lifespan (hours)]]/24</f>
        <v>10.75702653986634</v>
      </c>
    </row>
    <row r="48" spans="1:7">
      <c r="A48" s="3">
        <v>1200</v>
      </c>
      <c r="B48" s="3">
        <f t="shared" si="2"/>
        <v>7.4820620183333322</v>
      </c>
      <c r="C48" s="2" cm="1">
        <f t="array" ref="C48">Tabel4[Usefull capacity '[mAh']]</f>
        <v>2080</v>
      </c>
      <c r="D48" s="4">
        <f t="shared" si="1"/>
        <v>277.9982302877691</v>
      </c>
      <c r="E48" s="4">
        <f>Tabel2[[#This Row],[Lifespan (hours)]]/24</f>
        <v>11.583259595323712</v>
      </c>
    </row>
    <row r="49" spans="1:5">
      <c r="A49" s="3">
        <v>1800</v>
      </c>
      <c r="B49" s="3">
        <f t="shared" si="2"/>
        <v>6.907374678888889</v>
      </c>
      <c r="C49" s="2" cm="1">
        <f t="array" ref="C49">Tabel4[Usefull capacity '[mAh']]</f>
        <v>2080</v>
      </c>
      <c r="D49" s="4">
        <f t="shared" si="1"/>
        <v>301.12743215698646</v>
      </c>
      <c r="E49" s="4">
        <f>Tabel2[[#This Row],[Lifespan (hours)]]/24</f>
        <v>12.546976339874435</v>
      </c>
    </row>
    <row r="50" spans="1:5">
      <c r="A50" s="3">
        <v>3600</v>
      </c>
      <c r="B50" s="3">
        <f t="shared" si="2"/>
        <v>6.332687339444445</v>
      </c>
      <c r="C50" s="2" cm="1">
        <f t="array" ref="C50">Tabel4[Usefull capacity '[mAh']]</f>
        <v>2080</v>
      </c>
      <c r="D50" s="4">
        <f t="shared" si="1"/>
        <v>328.45455467922636</v>
      </c>
      <c r="E50" s="4">
        <f>Tabel2[[#This Row],[Lifespan (hours)]]/24</f>
        <v>13.685606444967766</v>
      </c>
    </row>
    <row r="52" spans="1:5">
      <c r="A52" t="s">
        <v>59</v>
      </c>
    </row>
    <row r="53" spans="1:5">
      <c r="A53" s="2" t="s">
        <v>57</v>
      </c>
      <c r="B53" s="2" t="s">
        <v>53</v>
      </c>
      <c r="C53" s="2" t="s">
        <v>54</v>
      </c>
      <c r="D53" s="2" t="s">
        <v>55</v>
      </c>
      <c r="E53" s="2" t="s">
        <v>56</v>
      </c>
    </row>
    <row r="54" spans="1:5">
      <c r="A54" s="3">
        <v>34.200000000000003</v>
      </c>
      <c r="B54" s="11">
        <v>66.25</v>
      </c>
      <c r="C54" s="2">
        <v>4160</v>
      </c>
      <c r="D54" s="4">
        <f t="shared" ref="D54:D61" si="3">C54/B54</f>
        <v>62.79245283018868</v>
      </c>
      <c r="E54" s="4">
        <f>Tabel28[[#This Row],[Lifespan (hours)]]/24</f>
        <v>2.6163522012578615</v>
      </c>
    </row>
    <row r="55" spans="1:5">
      <c r="A55" s="3">
        <v>60</v>
      </c>
      <c r="B55" s="11">
        <v>40.24</v>
      </c>
      <c r="C55" s="2">
        <v>4160</v>
      </c>
      <c r="D55" s="4">
        <f t="shared" si="3"/>
        <v>103.37972166998011</v>
      </c>
      <c r="E55" s="4">
        <f>Tabel28[[#This Row],[Lifespan (hours)]]/24</f>
        <v>4.3074884029158378</v>
      </c>
    </row>
    <row r="56" spans="1:5">
      <c r="A56" s="3">
        <v>300</v>
      </c>
      <c r="B56" s="11">
        <v>12.65</v>
      </c>
      <c r="C56" s="2">
        <v>4160</v>
      </c>
      <c r="D56" s="4">
        <f t="shared" si="3"/>
        <v>328.85375494071144</v>
      </c>
      <c r="E56" s="4">
        <f>Tabel28[[#This Row],[Lifespan (hours)]]/24</f>
        <v>13.702239789196311</v>
      </c>
    </row>
    <row r="57" spans="1:5">
      <c r="A57" s="3">
        <v>600</v>
      </c>
      <c r="B57" s="11">
        <v>9.2100000000000009</v>
      </c>
      <c r="C57" s="2">
        <v>4160</v>
      </c>
      <c r="D57" s="4">
        <f t="shared" si="3"/>
        <v>451.68295331161778</v>
      </c>
      <c r="E57" s="4">
        <f>Tabel28[[#This Row],[Lifespan (hours)]]/24</f>
        <v>18.82012305465074</v>
      </c>
    </row>
    <row r="58" spans="1:5">
      <c r="A58" s="3">
        <v>900</v>
      </c>
      <c r="B58" s="11">
        <v>8.06</v>
      </c>
      <c r="C58" s="2">
        <v>4160</v>
      </c>
      <c r="D58" s="4">
        <f t="shared" si="3"/>
        <v>516.12903225806451</v>
      </c>
      <c r="E58" s="4">
        <f>Tabel28[[#This Row],[Lifespan (hours)]]/24</f>
        <v>21.50537634408602</v>
      </c>
    </row>
    <row r="59" spans="1:5">
      <c r="A59" s="3">
        <v>1200</v>
      </c>
      <c r="B59" s="11">
        <v>6.91</v>
      </c>
      <c r="C59" s="2">
        <v>4160</v>
      </c>
      <c r="D59" s="4">
        <f t="shared" si="3"/>
        <v>602.02604920405213</v>
      </c>
      <c r="E59" s="4">
        <f>Tabel28[[#This Row],[Lifespan (hours)]]/24</f>
        <v>25.084418716835504</v>
      </c>
    </row>
    <row r="60" spans="1:5">
      <c r="A60" s="3">
        <v>1800</v>
      </c>
      <c r="B60" s="11">
        <v>6.91</v>
      </c>
      <c r="C60" s="2">
        <v>4160</v>
      </c>
      <c r="D60" s="4">
        <f t="shared" si="3"/>
        <v>602.02604920405213</v>
      </c>
      <c r="E60" s="4">
        <f>Tabel28[[#This Row],[Lifespan (hours)]]/24</f>
        <v>25.084418716835504</v>
      </c>
    </row>
    <row r="61" spans="1:5">
      <c r="A61" s="3">
        <v>3600</v>
      </c>
      <c r="B61" s="11">
        <v>6.33</v>
      </c>
      <c r="C61" s="2">
        <v>4160</v>
      </c>
      <c r="D61" s="4">
        <f t="shared" si="3"/>
        <v>657.18799368088469</v>
      </c>
      <c r="E61" s="4">
        <f>Tabel28[[#This Row],[Lifespan (hours)]]/24</f>
        <v>27.382833070036863</v>
      </c>
    </row>
  </sheetData>
  <pageMargins left="0.7" right="0.7" top="0.75" bottom="0.75" header="0.3" footer="0.3"/>
  <ignoredErrors>
    <ignoredError sqref="C54:C61 B32:C38 E4:F20" calculatedColumn="1"/>
  </ignoredErrors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Goethals Michiel</dc:creator>
  <cp:keywords/>
  <dc:description/>
  <cp:lastModifiedBy>Jonas Loete</cp:lastModifiedBy>
  <cp:revision/>
  <dcterms:created xsi:type="dcterms:W3CDTF">2020-05-06T12:45:28Z</dcterms:created>
  <dcterms:modified xsi:type="dcterms:W3CDTF">2020-05-15T20:31:14Z</dcterms:modified>
  <cp:category/>
  <cp:contentStatus/>
</cp:coreProperties>
</file>