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rsun\Documents\MyPython\PyPHAST\"/>
    </mc:Choice>
  </mc:AlternateContent>
  <xr:revisionPtr revIDLastSave="0" documentId="13_ncr:1_{B9C84ED8-6F2D-4D7E-A30F-312D48FFABB4}" xr6:coauthVersionLast="45" xr6:coauthVersionMax="45" xr10:uidLastSave="{00000000-0000-0000-0000-000000000000}"/>
  <bookViews>
    <workbookView xWindow="2640" yWindow="2640" windowWidth="21600" windowHeight="11385" xr2:uid="{13819909-11E9-4993-88E8-9718048B5B70}"/>
  </bookViews>
  <sheets>
    <sheet name="Isolatable summary" sheetId="1" r:id="rId1"/>
    <sheet name="Sheet1" sheetId="17" r:id="rId2"/>
    <sheet name="To be checked" sheetId="11" r:id="rId3"/>
    <sheet name="Material" sheetId="14" r:id="rId4"/>
    <sheet name="reference" sheetId="13" r:id="rId5"/>
    <sheet name="Part count leak freque" sheetId="9" r:id="rId6"/>
    <sheet name="Condition of 013-05_013-06" sheetId="12" r:id="rId7"/>
    <sheet name="062-01_02" sheetId="10" r:id="rId8"/>
    <sheet name="045_057" sheetId="5" r:id="rId9"/>
    <sheet name="021-01_021-02" sheetId="15" r:id="rId10"/>
    <sheet name="043-03" sheetId="4" r:id="rId11"/>
    <sheet name="Sheet2" sheetId="16" r:id="rId12"/>
  </sheets>
  <definedNames>
    <definedName name="_xlnm._FilterDatabase" localSheetId="0" hidden="1">'Isolatable summary'!$B$2:$AX$7</definedName>
    <definedName name="FH">Sheet1!$G$2</definedName>
    <definedName name="_xlnm.Print_Area" localSheetId="0">'Isolatable summary'!$A$2:$AU$7</definedName>
    <definedName name="_xlnm.Print_Titles" localSheetId="0">'Isolatable summary'!$2:$2</definedName>
    <definedName name="R0_">Sheet1!$I$2</definedName>
    <definedName name="RHigh">Sheet1!$K$2</definedName>
    <definedName name="RLow">Sheet1!$I$2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7" l="1" a="1"/>
  <c r="G4" i="17" s="1"/>
  <c r="J4" i="17" s="1"/>
  <c r="M4" i="17"/>
  <c r="N4" i="17"/>
  <c r="G5" i="17" a="1"/>
  <c r="I5" i="17" s="1"/>
  <c r="L5" i="17" s="1"/>
  <c r="M5" i="17"/>
  <c r="N5" i="17"/>
  <c r="G6" i="17" a="1"/>
  <c r="G6" i="17" s="1"/>
  <c r="J6" i="17" s="1"/>
  <c r="M6" i="17"/>
  <c r="N6" i="17"/>
  <c r="G7" i="17" a="1"/>
  <c r="H7" i="17" s="1"/>
  <c r="K7" i="17" s="1"/>
  <c r="M7" i="17"/>
  <c r="N7" i="17"/>
  <c r="G8" i="17" a="1"/>
  <c r="G8" i="17" s="1"/>
  <c r="J8" i="17" s="1"/>
  <c r="M8" i="17"/>
  <c r="N8" i="17"/>
  <c r="G9" i="17" a="1"/>
  <c r="I9" i="17" s="1"/>
  <c r="L9" i="17" s="1"/>
  <c r="M9" i="17"/>
  <c r="N9" i="17"/>
  <c r="G10" i="17" a="1"/>
  <c r="G10" i="17" s="1"/>
  <c r="J10" i="17" s="1"/>
  <c r="H10" i="17"/>
  <c r="K10" i="17" s="1"/>
  <c r="M10" i="17"/>
  <c r="N10" i="17"/>
  <c r="G11" i="17" a="1"/>
  <c r="H11" i="17" s="1"/>
  <c r="K11" i="17" s="1"/>
  <c r="M11" i="17"/>
  <c r="N11" i="17"/>
  <c r="G12" i="17" a="1"/>
  <c r="G12" i="17" s="1"/>
  <c r="J12" i="17" s="1"/>
  <c r="M12" i="17"/>
  <c r="N12" i="17"/>
  <c r="G13" i="17" a="1"/>
  <c r="I13" i="17" s="1"/>
  <c r="L13" i="17" s="1"/>
  <c r="M13" i="17"/>
  <c r="N13" i="17"/>
  <c r="G14" i="17" a="1"/>
  <c r="G14" i="17" s="1"/>
  <c r="J14" i="17" s="1"/>
  <c r="H14" i="17"/>
  <c r="K14" i="17" s="1"/>
  <c r="M14" i="17"/>
  <c r="N14" i="17"/>
  <c r="G15" i="17" a="1"/>
  <c r="H15" i="17" s="1"/>
  <c r="K15" i="17" s="1"/>
  <c r="M15" i="17"/>
  <c r="N15" i="17"/>
  <c r="G16" i="17" a="1"/>
  <c r="I16" i="17" s="1"/>
  <c r="L16" i="17" s="1"/>
  <c r="G16" i="17"/>
  <c r="J16" i="17" s="1"/>
  <c r="H16" i="17"/>
  <c r="K16" i="17" s="1"/>
  <c r="M16" i="17"/>
  <c r="N16" i="17"/>
  <c r="G17" i="17" a="1"/>
  <c r="I17" i="17" s="1"/>
  <c r="L17" i="17" s="1"/>
  <c r="M17" i="17"/>
  <c r="N17" i="17"/>
  <c r="G18" i="17" a="1"/>
  <c r="G18" i="17" s="1"/>
  <c r="J18" i="17" s="1"/>
  <c r="I18" i="17"/>
  <c r="L18" i="17" s="1"/>
  <c r="M18" i="17"/>
  <c r="N18" i="17"/>
  <c r="G19" i="17" a="1"/>
  <c r="H19" i="17" s="1"/>
  <c r="K19" i="17" s="1"/>
  <c r="M19" i="17"/>
  <c r="N19" i="17"/>
  <c r="G20" i="17" a="1"/>
  <c r="I20" i="17" s="1"/>
  <c r="L20" i="17" s="1"/>
  <c r="H20" i="17"/>
  <c r="K20" i="17" s="1"/>
  <c r="M20" i="17"/>
  <c r="N20" i="17"/>
  <c r="G21" i="17" a="1"/>
  <c r="I21" i="17" s="1"/>
  <c r="L21" i="17" s="1"/>
  <c r="M21" i="17"/>
  <c r="N21" i="17"/>
  <c r="G22" i="17" a="1"/>
  <c r="G22" i="17" s="1"/>
  <c r="J22" i="17" s="1"/>
  <c r="I22" i="17"/>
  <c r="L22" i="17" s="1"/>
  <c r="M22" i="17"/>
  <c r="N22" i="17"/>
  <c r="G23" i="17" a="1"/>
  <c r="H23" i="17" s="1"/>
  <c r="K23" i="17" s="1"/>
  <c r="M23" i="17"/>
  <c r="N23" i="17"/>
  <c r="G24" i="17" a="1"/>
  <c r="G24" i="17" s="1"/>
  <c r="J24" i="17" s="1"/>
  <c r="M24" i="17"/>
  <c r="N24" i="17"/>
  <c r="G25" i="17" a="1"/>
  <c r="I25" i="17" s="1"/>
  <c r="L25" i="17" s="1"/>
  <c r="M25" i="17"/>
  <c r="N25" i="17"/>
  <c r="G26" i="17" a="1"/>
  <c r="G26" i="17" s="1"/>
  <c r="J26" i="17" s="1"/>
  <c r="M26" i="17"/>
  <c r="N26" i="17"/>
  <c r="G27" i="17" a="1"/>
  <c r="H27" i="17" s="1"/>
  <c r="K27" i="17" s="1"/>
  <c r="G27" i="17"/>
  <c r="J27" i="17" s="1"/>
  <c r="M27" i="17"/>
  <c r="N27" i="17"/>
  <c r="G28" i="17" a="1"/>
  <c r="H28" i="17" s="1"/>
  <c r="K28" i="17" s="1"/>
  <c r="G28" i="17"/>
  <c r="I28" i="17"/>
  <c r="L28" i="17" s="1"/>
  <c r="J28" i="17"/>
  <c r="M28" i="17"/>
  <c r="N28" i="17"/>
  <c r="G29" i="17" a="1"/>
  <c r="I29" i="17" s="1"/>
  <c r="L29" i="17" s="1"/>
  <c r="M29" i="17"/>
  <c r="N29" i="17"/>
  <c r="G30" i="17" a="1"/>
  <c r="G30" i="17" s="1"/>
  <c r="J30" i="17" s="1"/>
  <c r="I30" i="17"/>
  <c r="L30" i="17" s="1"/>
  <c r="M30" i="17"/>
  <c r="N30" i="17"/>
  <c r="G31" i="17" a="1"/>
  <c r="H31" i="17" s="1"/>
  <c r="K31" i="17" s="1"/>
  <c r="M31" i="17"/>
  <c r="N31" i="17"/>
  <c r="G32" i="17" a="1"/>
  <c r="I32" i="17" s="1"/>
  <c r="L32" i="17" s="1"/>
  <c r="M32" i="17"/>
  <c r="N32" i="17"/>
  <c r="G33" i="17" a="1"/>
  <c r="I33" i="17" s="1"/>
  <c r="L33" i="17" s="1"/>
  <c r="M33" i="17"/>
  <c r="N33" i="17"/>
  <c r="G34" i="17" a="1"/>
  <c r="G34" i="17" s="1"/>
  <c r="J34" i="17" s="1"/>
  <c r="H34" i="17"/>
  <c r="K34" i="17" s="1"/>
  <c r="I34" i="17"/>
  <c r="L34" i="17" s="1"/>
  <c r="M34" i="17"/>
  <c r="N34" i="17"/>
  <c r="G35" i="17" a="1"/>
  <c r="H35" i="17" s="1"/>
  <c r="K35" i="17" s="1"/>
  <c r="G35" i="17"/>
  <c r="J35" i="17" s="1"/>
  <c r="M35" i="17"/>
  <c r="N35" i="17"/>
  <c r="G36" i="17" a="1"/>
  <c r="G36" i="17" s="1"/>
  <c r="J36" i="17" s="1"/>
  <c r="M36" i="17"/>
  <c r="N36" i="17"/>
  <c r="G37" i="17" a="1"/>
  <c r="I37" i="17" s="1"/>
  <c r="L37" i="17" s="1"/>
  <c r="G37" i="17"/>
  <c r="J37" i="17" s="1"/>
  <c r="M37" i="17"/>
  <c r="N37" i="17"/>
  <c r="G38" i="17" a="1"/>
  <c r="G38" i="17" s="1"/>
  <c r="J38" i="17" s="1"/>
  <c r="M38" i="17"/>
  <c r="N38" i="17"/>
  <c r="G39" i="17" a="1"/>
  <c r="H39" i="17" s="1"/>
  <c r="K39" i="17" s="1"/>
  <c r="M39" i="17"/>
  <c r="N39" i="17"/>
  <c r="G40" i="17" a="1"/>
  <c r="G40" i="17"/>
  <c r="H40" i="17"/>
  <c r="K40" i="17" s="1"/>
  <c r="I40" i="17"/>
  <c r="L40" i="17" s="1"/>
  <c r="J40" i="17"/>
  <c r="M40" i="17"/>
  <c r="N40" i="17"/>
  <c r="G41" i="17" a="1"/>
  <c r="I41" i="17" s="1"/>
  <c r="L41" i="17" s="1"/>
  <c r="G41" i="17"/>
  <c r="J41" i="17" s="1"/>
  <c r="M41" i="17"/>
  <c r="N41" i="17"/>
  <c r="G42" i="17" a="1"/>
  <c r="G42" i="17" s="1"/>
  <c r="J42" i="17" s="1"/>
  <c r="I42" i="17"/>
  <c r="L42" i="17" s="1"/>
  <c r="M42" i="17"/>
  <c r="N42" i="17"/>
  <c r="G43" i="17" a="1"/>
  <c r="H43" i="17" s="1"/>
  <c r="K43" i="17" s="1"/>
  <c r="M43" i="17"/>
  <c r="N43" i="17"/>
  <c r="G44" i="17" a="1"/>
  <c r="I44" i="17" s="1"/>
  <c r="L44" i="17" s="1"/>
  <c r="G44" i="17"/>
  <c r="J44" i="17" s="1"/>
  <c r="M44" i="17"/>
  <c r="N44" i="17"/>
  <c r="G45" i="17" a="1"/>
  <c r="I45" i="17" s="1"/>
  <c r="L45" i="17" s="1"/>
  <c r="M45" i="17"/>
  <c r="N45" i="17"/>
  <c r="G46" i="17" a="1"/>
  <c r="G46" i="17" s="1"/>
  <c r="J46" i="17" s="1"/>
  <c r="H46" i="17"/>
  <c r="K46" i="17" s="1"/>
  <c r="I46" i="17"/>
  <c r="L46" i="17" s="1"/>
  <c r="M46" i="17"/>
  <c r="N46" i="17"/>
  <c r="G47" i="17" a="1"/>
  <c r="H47" i="17" s="1"/>
  <c r="K47" i="17" s="1"/>
  <c r="M47" i="17"/>
  <c r="N47" i="17"/>
  <c r="G48" i="17" a="1"/>
  <c r="G48" i="17" s="1"/>
  <c r="J48" i="17" s="1"/>
  <c r="M48" i="17"/>
  <c r="N48" i="17"/>
  <c r="G49" i="17" a="1"/>
  <c r="I49" i="17" s="1"/>
  <c r="L49" i="17" s="1"/>
  <c r="G49" i="17"/>
  <c r="J49" i="17" s="1"/>
  <c r="M49" i="17"/>
  <c r="N49" i="17"/>
  <c r="G50" i="17" a="1"/>
  <c r="G50" i="17" s="1"/>
  <c r="J50" i="17" s="1"/>
  <c r="M50" i="17"/>
  <c r="N50" i="17"/>
  <c r="G51" i="17" a="1"/>
  <c r="H51" i="17" s="1"/>
  <c r="K51" i="17" s="1"/>
  <c r="G51" i="17"/>
  <c r="J51" i="17" s="1"/>
  <c r="M51" i="17"/>
  <c r="N51" i="17"/>
  <c r="G52" i="17" a="1"/>
  <c r="G52" i="17"/>
  <c r="J52" i="17" s="1"/>
  <c r="H52" i="17"/>
  <c r="K52" i="17" s="1"/>
  <c r="I52" i="17"/>
  <c r="L52" i="17" s="1"/>
  <c r="M52" i="17"/>
  <c r="N52" i="17"/>
  <c r="G53" i="17" a="1"/>
  <c r="I53" i="17" s="1"/>
  <c r="L53" i="17" s="1"/>
  <c r="M53" i="17"/>
  <c r="N53" i="17"/>
  <c r="G54" i="17" a="1"/>
  <c r="G54" i="17" s="1"/>
  <c r="J54" i="17" s="1"/>
  <c r="H54" i="17"/>
  <c r="K54" i="17" s="1"/>
  <c r="I54" i="17"/>
  <c r="L54" i="17" s="1"/>
  <c r="M54" i="17"/>
  <c r="N54" i="17"/>
  <c r="G55" i="17" a="1"/>
  <c r="H55" i="17" s="1"/>
  <c r="K55" i="17" s="1"/>
  <c r="M55" i="17"/>
  <c r="N55" i="17"/>
  <c r="G56" i="17" a="1"/>
  <c r="I56" i="17" s="1"/>
  <c r="L56" i="17" s="1"/>
  <c r="H56" i="17"/>
  <c r="K56" i="17" s="1"/>
  <c r="M56" i="17"/>
  <c r="N56" i="17"/>
  <c r="G57" i="17" a="1"/>
  <c r="I57" i="17" s="1"/>
  <c r="L57" i="17" s="1"/>
  <c r="G57" i="17"/>
  <c r="J57" i="17" s="1"/>
  <c r="M57" i="17"/>
  <c r="N57" i="17"/>
  <c r="G58" i="17" a="1"/>
  <c r="G58" i="17" s="1"/>
  <c r="J58" i="17" s="1"/>
  <c r="H58" i="17"/>
  <c r="K58" i="17" s="1"/>
  <c r="I58" i="17"/>
  <c r="L58" i="17" s="1"/>
  <c r="M58" i="17"/>
  <c r="N58" i="17"/>
  <c r="G59" i="17" a="1"/>
  <c r="H59" i="17" s="1"/>
  <c r="K59" i="17" s="1"/>
  <c r="M59" i="17"/>
  <c r="N59" i="17"/>
  <c r="G60" i="17" a="1"/>
  <c r="G60" i="17" s="1"/>
  <c r="J60" i="17" s="1"/>
  <c r="M60" i="17"/>
  <c r="N60" i="17"/>
  <c r="G61" i="17" a="1"/>
  <c r="I61" i="17" s="1"/>
  <c r="L61" i="17" s="1"/>
  <c r="G61" i="17"/>
  <c r="J61" i="17" s="1"/>
  <c r="M61" i="17"/>
  <c r="N61" i="17"/>
  <c r="G62" i="17" a="1"/>
  <c r="G62" i="17" s="1"/>
  <c r="J62" i="17" s="1"/>
  <c r="H62" i="17"/>
  <c r="K62" i="17" s="1"/>
  <c r="M62" i="17"/>
  <c r="N62" i="17"/>
  <c r="G63" i="17" a="1"/>
  <c r="H63" i="17" s="1"/>
  <c r="K63" i="17" s="1"/>
  <c r="G63" i="17"/>
  <c r="J63" i="17" s="1"/>
  <c r="M63" i="17"/>
  <c r="N63" i="17"/>
  <c r="G64" i="17" a="1"/>
  <c r="G64" i="17"/>
  <c r="J64" i="17" s="1"/>
  <c r="H64" i="17"/>
  <c r="K64" i="17" s="1"/>
  <c r="I64" i="17"/>
  <c r="L64" i="17" s="1"/>
  <c r="M64" i="17"/>
  <c r="N64" i="17"/>
  <c r="G65" i="17" a="1"/>
  <c r="I65" i="17" s="1"/>
  <c r="L65" i="17" s="1"/>
  <c r="G65" i="17"/>
  <c r="J65" i="17" s="1"/>
  <c r="M65" i="17"/>
  <c r="N65" i="17"/>
  <c r="G66" i="17" a="1"/>
  <c r="G66" i="17" s="1"/>
  <c r="J66" i="17" s="1"/>
  <c r="M66" i="17"/>
  <c r="N66" i="17"/>
  <c r="G67" i="17" a="1"/>
  <c r="H67" i="17" s="1"/>
  <c r="K67" i="17" s="1"/>
  <c r="M67" i="17"/>
  <c r="N67" i="17"/>
  <c r="G68" i="17" a="1"/>
  <c r="I68" i="17" s="1"/>
  <c r="L68" i="17" s="1"/>
  <c r="G68" i="17"/>
  <c r="J68" i="17" s="1"/>
  <c r="H68" i="17"/>
  <c r="K68" i="17" s="1"/>
  <c r="M68" i="17"/>
  <c r="N68" i="17"/>
  <c r="G69" i="17" a="1"/>
  <c r="I69" i="17" s="1"/>
  <c r="L69" i="17" s="1"/>
  <c r="M69" i="17"/>
  <c r="N69" i="17"/>
  <c r="G70" i="17" a="1"/>
  <c r="G70" i="17" s="1"/>
  <c r="J70" i="17" s="1"/>
  <c r="H70" i="17"/>
  <c r="K70" i="17" s="1"/>
  <c r="M70" i="17"/>
  <c r="N70" i="17"/>
  <c r="G71" i="17" a="1"/>
  <c r="I71" i="17" s="1"/>
  <c r="L71" i="17" s="1"/>
  <c r="G71" i="17"/>
  <c r="J71" i="17" s="1"/>
  <c r="H71" i="17"/>
  <c r="K71" i="17" s="1"/>
  <c r="M71" i="17"/>
  <c r="N71" i="17"/>
  <c r="G72" i="17" a="1"/>
  <c r="I72" i="17" s="1"/>
  <c r="L72" i="17" s="1"/>
  <c r="G72" i="17"/>
  <c r="J72" i="17" s="1"/>
  <c r="M72" i="17"/>
  <c r="N72" i="17"/>
  <c r="G73" i="17" a="1"/>
  <c r="G73" i="17" s="1"/>
  <c r="J73" i="17" s="1"/>
  <c r="H73" i="17"/>
  <c r="K73" i="17" s="1"/>
  <c r="I73" i="17"/>
  <c r="L73" i="17" s="1"/>
  <c r="M73" i="17"/>
  <c r="N73" i="17"/>
  <c r="G74" i="17" a="1"/>
  <c r="H74" i="17" s="1"/>
  <c r="K74" i="17" s="1"/>
  <c r="M74" i="17"/>
  <c r="N74" i="17"/>
  <c r="G75" i="17" a="1"/>
  <c r="I75" i="17" s="1"/>
  <c r="L75" i="17" s="1"/>
  <c r="M75" i="17"/>
  <c r="N75" i="17"/>
  <c r="G76" i="17" a="1"/>
  <c r="H76" i="17" s="1"/>
  <c r="K76" i="17" s="1"/>
  <c r="M76" i="17"/>
  <c r="N76" i="17"/>
  <c r="G77" i="17" a="1"/>
  <c r="G77" i="17" s="1"/>
  <c r="J77" i="17" s="1"/>
  <c r="I77" i="17"/>
  <c r="L77" i="17" s="1"/>
  <c r="M77" i="17"/>
  <c r="N77" i="17"/>
  <c r="G78" i="17" a="1"/>
  <c r="H78" i="17" s="1"/>
  <c r="K78" i="17" s="1"/>
  <c r="M78" i="17"/>
  <c r="N78" i="17"/>
  <c r="G79" i="17" a="1"/>
  <c r="G79" i="17" s="1"/>
  <c r="J79" i="17" s="1"/>
  <c r="M79" i="17"/>
  <c r="N79" i="17"/>
  <c r="G80" i="17" a="1"/>
  <c r="I80" i="17" s="1"/>
  <c r="L80" i="17" s="1"/>
  <c r="M80" i="17"/>
  <c r="N80" i="17"/>
  <c r="N3" i="17"/>
  <c r="M3" i="17"/>
  <c r="L3" i="17"/>
  <c r="G3" i="17" a="1"/>
  <c r="I3" i="17" s="1"/>
  <c r="H66" i="17" l="1"/>
  <c r="K66" i="17" s="1"/>
  <c r="G32" i="17"/>
  <c r="J32" i="17" s="1"/>
  <c r="G29" i="17"/>
  <c r="J29" i="17" s="1"/>
  <c r="G9" i="17"/>
  <c r="J9" i="17" s="1"/>
  <c r="H6" i="17"/>
  <c r="K6" i="17" s="1"/>
  <c r="G20" i="17"/>
  <c r="J20" i="17" s="1"/>
  <c r="G17" i="17"/>
  <c r="J17" i="17" s="1"/>
  <c r="G11" i="17"/>
  <c r="J11" i="17" s="1"/>
  <c r="H8" i="17"/>
  <c r="K8" i="17" s="1"/>
  <c r="G5" i="17"/>
  <c r="J5" i="17" s="1"/>
  <c r="G78" i="17"/>
  <c r="J78" i="17" s="1"/>
  <c r="H75" i="17"/>
  <c r="K75" i="17" s="1"/>
  <c r="I70" i="17"/>
  <c r="L70" i="17" s="1"/>
  <c r="G59" i="17"/>
  <c r="J59" i="17" s="1"/>
  <c r="H42" i="17"/>
  <c r="K42" i="17" s="1"/>
  <c r="G25" i="17"/>
  <c r="J25" i="17" s="1"/>
  <c r="H22" i="17"/>
  <c r="K22" i="17" s="1"/>
  <c r="G23" i="17"/>
  <c r="J23" i="17" s="1"/>
  <c r="G75" i="17"/>
  <c r="J75" i="17" s="1"/>
  <c r="I10" i="17"/>
  <c r="L10" i="17" s="1"/>
  <c r="G56" i="17"/>
  <c r="J56" i="17" s="1"/>
  <c r="G53" i="17"/>
  <c r="J53" i="17" s="1"/>
  <c r="H30" i="17"/>
  <c r="K30" i="17" s="1"/>
  <c r="G13" i="17"/>
  <c r="J13" i="17" s="1"/>
  <c r="I4" i="17"/>
  <c r="L4" i="17" s="1"/>
  <c r="G47" i="17"/>
  <c r="J47" i="17" s="1"/>
  <c r="H44" i="17"/>
  <c r="K44" i="17" s="1"/>
  <c r="G39" i="17"/>
  <c r="J39" i="17" s="1"/>
  <c r="H4" i="17"/>
  <c r="K4" i="17" s="1"/>
  <c r="H18" i="17"/>
  <c r="K18" i="17" s="1"/>
  <c r="H77" i="17"/>
  <c r="K77" i="17" s="1"/>
  <c r="G69" i="17"/>
  <c r="J69" i="17" s="1"/>
  <c r="I66" i="17"/>
  <c r="L66" i="17" s="1"/>
  <c r="H32" i="17"/>
  <c r="K32" i="17" s="1"/>
  <c r="I6" i="17"/>
  <c r="L6" i="17" s="1"/>
  <c r="G80" i="17"/>
  <c r="J80" i="17" s="1"/>
  <c r="I8" i="17"/>
  <c r="L8" i="17" s="1"/>
  <c r="G15" i="17"/>
  <c r="J15" i="17" s="1"/>
  <c r="I48" i="17"/>
  <c r="L48" i="17" s="1"/>
  <c r="I24" i="17"/>
  <c r="L24" i="17" s="1"/>
  <c r="I36" i="17"/>
  <c r="L36" i="17" s="1"/>
  <c r="I12" i="17"/>
  <c r="L12" i="17" s="1"/>
  <c r="H79" i="17"/>
  <c r="K79" i="17" s="1"/>
  <c r="H60" i="17"/>
  <c r="K60" i="17" s="1"/>
  <c r="H48" i="17"/>
  <c r="K48" i="17" s="1"/>
  <c r="H36" i="17"/>
  <c r="K36" i="17" s="1"/>
  <c r="H24" i="17"/>
  <c r="K24" i="17" s="1"/>
  <c r="H12" i="17"/>
  <c r="K12" i="17" s="1"/>
  <c r="I79" i="17"/>
  <c r="L79" i="17" s="1"/>
  <c r="I60" i="17"/>
  <c r="L60" i="17" s="1"/>
  <c r="G74" i="17"/>
  <c r="J74" i="17" s="1"/>
  <c r="G67" i="17"/>
  <c r="J67" i="17" s="1"/>
  <c r="I62" i="17"/>
  <c r="L62" i="17" s="1"/>
  <c r="G55" i="17"/>
  <c r="J55" i="17" s="1"/>
  <c r="I50" i="17"/>
  <c r="L50" i="17" s="1"/>
  <c r="G43" i="17"/>
  <c r="J43" i="17" s="1"/>
  <c r="I38" i="17"/>
  <c r="L38" i="17" s="1"/>
  <c r="G31" i="17"/>
  <c r="J31" i="17" s="1"/>
  <c r="I26" i="17"/>
  <c r="L26" i="17" s="1"/>
  <c r="G19" i="17"/>
  <c r="J19" i="17" s="1"/>
  <c r="I14" i="17"/>
  <c r="L14" i="17" s="1"/>
  <c r="G7" i="17"/>
  <c r="J7" i="17" s="1"/>
  <c r="H50" i="17"/>
  <c r="K50" i="17" s="1"/>
  <c r="G45" i="17"/>
  <c r="J45" i="17" s="1"/>
  <c r="H38" i="17"/>
  <c r="K38" i="17" s="1"/>
  <c r="G33" i="17"/>
  <c r="J33" i="17" s="1"/>
  <c r="H26" i="17"/>
  <c r="K26" i="17" s="1"/>
  <c r="G21" i="17"/>
  <c r="J21" i="17" s="1"/>
  <c r="G76" i="17"/>
  <c r="J76" i="17" s="1"/>
  <c r="I76" i="17"/>
  <c r="L76" i="17" s="1"/>
  <c r="H80" i="17"/>
  <c r="K80" i="17" s="1"/>
  <c r="H72" i="17"/>
  <c r="K72" i="17" s="1"/>
  <c r="H69" i="17"/>
  <c r="K69" i="17" s="1"/>
  <c r="H65" i="17"/>
  <c r="K65" i="17" s="1"/>
  <c r="H61" i="17"/>
  <c r="K61" i="17" s="1"/>
  <c r="H57" i="17"/>
  <c r="K57" i="17" s="1"/>
  <c r="H53" i="17"/>
  <c r="K53" i="17" s="1"/>
  <c r="H49" i="17"/>
  <c r="K49" i="17" s="1"/>
  <c r="H45" i="17"/>
  <c r="K45" i="17" s="1"/>
  <c r="H41" i="17"/>
  <c r="K41" i="17" s="1"/>
  <c r="H37" i="17"/>
  <c r="K37" i="17" s="1"/>
  <c r="H33" i="17"/>
  <c r="K33" i="17" s="1"/>
  <c r="H29" i="17"/>
  <c r="K29" i="17" s="1"/>
  <c r="H25" i="17"/>
  <c r="K25" i="17" s="1"/>
  <c r="H21" i="17"/>
  <c r="K21" i="17" s="1"/>
  <c r="H17" i="17"/>
  <c r="K17" i="17" s="1"/>
  <c r="H13" i="17"/>
  <c r="K13" i="17" s="1"/>
  <c r="H9" i="17"/>
  <c r="K9" i="17" s="1"/>
  <c r="H5" i="17"/>
  <c r="K5" i="17" s="1"/>
  <c r="I74" i="17"/>
  <c r="L74" i="17" s="1"/>
  <c r="I67" i="17"/>
  <c r="L67" i="17" s="1"/>
  <c r="I55" i="17"/>
  <c r="L55" i="17" s="1"/>
  <c r="I47" i="17"/>
  <c r="L47" i="17" s="1"/>
  <c r="I43" i="17"/>
  <c r="L43" i="17" s="1"/>
  <c r="I39" i="17"/>
  <c r="L39" i="17" s="1"/>
  <c r="I35" i="17"/>
  <c r="L35" i="17" s="1"/>
  <c r="I31" i="17"/>
  <c r="L31" i="17" s="1"/>
  <c r="I27" i="17"/>
  <c r="L27" i="17" s="1"/>
  <c r="I23" i="17"/>
  <c r="L23" i="17" s="1"/>
  <c r="I19" i="17"/>
  <c r="L19" i="17" s="1"/>
  <c r="I15" i="17"/>
  <c r="L15" i="17" s="1"/>
  <c r="I11" i="17"/>
  <c r="L11" i="17" s="1"/>
  <c r="I7" i="17"/>
  <c r="L7" i="17" s="1"/>
  <c r="I78" i="17"/>
  <c r="L78" i="17" s="1"/>
  <c r="I63" i="17"/>
  <c r="L63" i="17" s="1"/>
  <c r="I59" i="17"/>
  <c r="L59" i="17" s="1"/>
  <c r="I51" i="17"/>
  <c r="L51" i="17" s="1"/>
  <c r="H3" i="17"/>
  <c r="K3" i="17" s="1"/>
  <c r="G3" i="17"/>
  <c r="J3" i="17" s="1"/>
  <c r="Q12" i="14" l="1"/>
  <c r="R14" i="14"/>
  <c r="R15" i="14" s="1"/>
  <c r="S14" i="14"/>
  <c r="T14" i="14"/>
  <c r="T15" i="14" s="1"/>
  <c r="U14" i="14"/>
  <c r="U15" i="14" s="1"/>
  <c r="V14" i="14"/>
  <c r="V15" i="14" s="1"/>
  <c r="W14" i="14"/>
  <c r="W15" i="14" s="1"/>
  <c r="S15" i="14"/>
  <c r="Q8" i="14"/>
  <c r="Q7" i="14"/>
  <c r="Q14" i="14" s="1"/>
  <c r="Q15" i="14" s="1"/>
  <c r="P8" i="14" l="1"/>
  <c r="P7" i="14"/>
  <c r="O12" i="14"/>
  <c r="O8" i="14"/>
  <c r="O7" i="14"/>
  <c r="O14" i="14" s="1"/>
  <c r="O15" i="14" s="1"/>
  <c r="N8" i="14"/>
  <c r="N7" i="14"/>
  <c r="N14" i="14" s="1"/>
  <c r="N15" i="14" s="1"/>
  <c r="M12" i="14"/>
  <c r="M8" i="14"/>
  <c r="M7" i="14"/>
  <c r="M14" i="14" s="1"/>
  <c r="M15" i="14" s="1"/>
  <c r="L8" i="14"/>
  <c r="L7" i="14"/>
  <c r="L14" i="14" s="1"/>
  <c r="L15" i="14" s="1"/>
  <c r="K12" i="14"/>
  <c r="K8" i="14"/>
  <c r="K7" i="14"/>
  <c r="P14" i="14" l="1"/>
  <c r="P15" i="14" s="1"/>
  <c r="K14" i="14"/>
  <c r="K15" i="14" s="1"/>
  <c r="J12" i="14"/>
  <c r="J8" i="14"/>
  <c r="J7" i="14"/>
  <c r="J14" i="14" s="1"/>
  <c r="J15" i="14" s="1"/>
  <c r="I12" i="14"/>
  <c r="I8" i="14"/>
  <c r="I7" i="14"/>
  <c r="I14" i="14" s="1"/>
  <c r="I15" i="14" s="1"/>
  <c r="H12" i="14"/>
  <c r="H8" i="14"/>
  <c r="H7" i="14"/>
  <c r="G12" i="14"/>
  <c r="G8" i="14"/>
  <c r="G7" i="14"/>
  <c r="F12" i="14"/>
  <c r="F8" i="14"/>
  <c r="F7" i="14"/>
  <c r="E12" i="14"/>
  <c r="E8" i="14"/>
  <c r="E7" i="14"/>
  <c r="D12" i="14"/>
  <c r="D8" i="14"/>
  <c r="D7" i="14"/>
  <c r="E14" i="14" l="1"/>
  <c r="E15" i="14" s="1"/>
  <c r="H14" i="14"/>
  <c r="H15" i="14" s="1"/>
  <c r="F14" i="14"/>
  <c r="F15" i="14" s="1"/>
  <c r="G14" i="14"/>
  <c r="G15" i="14" s="1"/>
  <c r="F6" i="15" l="1"/>
  <c r="F5" i="15"/>
  <c r="F3" i="15"/>
  <c r="F4" i="15"/>
  <c r="F7" i="15"/>
  <c r="B12" i="14" l="1"/>
  <c r="B8" i="14"/>
  <c r="B7" i="14"/>
  <c r="B14" i="14" l="1"/>
  <c r="B15" i="14" s="1"/>
  <c r="E12" i="12"/>
  <c r="E11" i="12"/>
  <c r="E10" i="12"/>
  <c r="D2" i="12"/>
  <c r="C2" i="12"/>
  <c r="D12" i="12"/>
  <c r="C12" i="12"/>
  <c r="D11" i="12"/>
  <c r="C11" i="12"/>
  <c r="AU4" i="1" l="1"/>
  <c r="AU3" i="1"/>
  <c r="E14" i="5" l="1"/>
  <c r="E24" i="10" l="1"/>
  <c r="E23" i="10" l="1"/>
  <c r="E19" i="10"/>
  <c r="E18" i="10"/>
  <c r="E7" i="10"/>
  <c r="E5" i="10"/>
  <c r="E4" i="10"/>
  <c r="E9" i="5"/>
  <c r="E4" i="5" l="1"/>
  <c r="AR4" i="1" l="1"/>
  <c r="AR3" i="1"/>
  <c r="F5" i="4" l="1"/>
  <c r="F4" i="4"/>
  <c r="F3" i="4"/>
  <c r="F9" i="4" l="1"/>
  <c r="G9" i="4" s="1"/>
  <c r="F10" i="4"/>
  <c r="G10" i="4"/>
  <c r="D10" i="4" s="1"/>
  <c r="F8" i="4"/>
  <c r="G8" i="4" s="1"/>
  <c r="D8" i="4" s="1"/>
  <c r="C9" i="4"/>
  <c r="D9" i="4" l="1"/>
  <c r="D11" i="4" s="1"/>
  <c r="D14" i="14" l="1"/>
  <c r="D1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tc={D1E990B0-C9AA-4954-9956-122C1DF67460}</author>
    <author>tc={496CB7E1-6877-49A5-853D-76394DBE4DAF}</author>
    <author>tc={59060254-ED05-4827-A1A0-F6D8C9E6922F}</author>
  </authors>
  <commentList>
    <comment ref="Z2" authorId="0" shapeId="0" xr:uid="{D1E990B0-C9AA-4954-9956-122C1DF6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-. 5% 마진을 적용하기 전의 volume 임
Colume V 의  volume 은 업데이트 되지 X
(failure case 에 대한 참고용으로 남겨둠)
-. Colume AC 의 volume 은 업데이트 된 것.</t>
      </text>
    </comment>
    <comment ref="AD2" authorId="1" shapeId="0" xr:uid="{496CB7E1-6877-49A5-853D-76394DBE4DAF}">
      <text>
        <t>[Threaded comment]
Your version of Excel allows you to read this threaded comment; however, any edits to it will get removed if the file is opened in a newer version of Excel. Learn more: https://go.microsoft.com/fwlink/?linkid=870924
Comment:
    5% increased</t>
      </text>
    </comment>
    <comment ref="AG2" authorId="2" shapeId="0" xr:uid="{59060254-ED05-4827-A1A0-F6D8C9E692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volume of adjacent section
(considering ESDV/SDV failure case during normal operation)
(ESDV closes)</t>
      </text>
    </comment>
  </commentList>
</comments>
</file>

<file path=xl/sharedStrings.xml><?xml version="1.0" encoding="utf-8"?>
<sst xmlns="http://schemas.openxmlformats.org/spreadsheetml/2006/main" count="426" uniqueCount="294">
  <si>
    <t>Area</t>
  </si>
  <si>
    <t>SCE Cube No.</t>
  </si>
  <si>
    <t xml:space="preserve">Main equipment </t>
  </si>
  <si>
    <t>Most likely leak source</t>
  </si>
  <si>
    <t>Isolation valve-ESDVs/SDVs</t>
  </si>
  <si>
    <t>Piping volume (m3), Ref. [16]</t>
  </si>
  <si>
    <t>Release location and elevation</t>
  </si>
  <si>
    <t>N1</t>
  </si>
  <si>
    <t>Test separator</t>
  </si>
  <si>
    <t>8-1</t>
  </si>
  <si>
    <t>021-01</t>
  </si>
  <si>
    <t>-</t>
  </si>
  <si>
    <t>114A</t>
  </si>
  <si>
    <t>112-1</t>
  </si>
  <si>
    <t>113-5</t>
  </si>
  <si>
    <t>027-02</t>
  </si>
  <si>
    <t>027-UN-001</t>
  </si>
  <si>
    <t>043-03</t>
  </si>
  <si>
    <t>045-01</t>
  </si>
  <si>
    <t>Hull</t>
  </si>
  <si>
    <t>057-01</t>
  </si>
  <si>
    <t>131-01-aftP</t>
  </si>
  <si>
    <t>131-01 fwdS</t>
  </si>
  <si>
    <t>131-01-aftS</t>
  </si>
  <si>
    <t>131-02-aftP</t>
  </si>
  <si>
    <t>131-02 fwdS</t>
  </si>
  <si>
    <t>131-02-aftS</t>
  </si>
  <si>
    <t>Density</t>
  </si>
  <si>
    <t>Yes
3"-BDV-0001</t>
  </si>
  <si>
    <t>Yes
3"-BDV-0002</t>
  </si>
  <si>
    <t>11-2</t>
  </si>
  <si>
    <t>045-03</t>
  </si>
  <si>
    <t>Piping</t>
  </si>
  <si>
    <t>Volume</t>
  </si>
  <si>
    <t>Equipment</t>
  </si>
  <si>
    <t>cooler</t>
  </si>
  <si>
    <t>Blower</t>
  </si>
  <si>
    <t>KO drum</t>
  </si>
  <si>
    <t>Size</t>
  </si>
  <si>
    <t>length</t>
  </si>
  <si>
    <t>1600 * 300</t>
  </si>
  <si>
    <t>1800*600</t>
  </si>
  <si>
    <t>1000*1000</t>
  </si>
  <si>
    <t>volume</t>
  </si>
  <si>
    <t>assumed 2 for total</t>
  </si>
  <si>
    <t>Brief- Max</t>
  </si>
  <si>
    <t>ESDV/SDV Failure case</t>
  </si>
  <si>
    <t>assumed</t>
  </si>
  <si>
    <t>1000*6</t>
  </si>
  <si>
    <t>v</t>
  </si>
  <si>
    <t>assumd 1</t>
  </si>
  <si>
    <t>Note for ESDV/SDV failure case</t>
  </si>
  <si>
    <t>Note for BDV</t>
  </si>
  <si>
    <t>There are two types of blowdown lines provided for each flowline; 1) emergency blowdown line and 2) riser depressurisation line.
1) &amp; 2) are interlocked to prevent simultaneous  openiong.</t>
  </si>
  <si>
    <t>Level</t>
  </si>
  <si>
    <t>Dynamic inventory</t>
  </si>
  <si>
    <t>Mass flow [kg/hr]</t>
  </si>
  <si>
    <t>Mass flow [kg/s]</t>
  </si>
  <si>
    <t>Orifice area
(Flare and blow down report)</t>
  </si>
  <si>
    <t>Description</t>
  </si>
  <si>
    <t>Assumption</t>
  </si>
  <si>
    <t>020-UN-001</t>
  </si>
  <si>
    <t>bellows silencer</t>
  </si>
  <si>
    <t>valve</t>
  </si>
  <si>
    <t>blower</t>
  </si>
  <si>
    <t>2"/4</t>
  </si>
  <si>
    <t>gas</t>
  </si>
  <si>
    <t>assed</t>
  </si>
  <si>
    <t>1000*3</t>
  </si>
  <si>
    <t>062-01</t>
  </si>
  <si>
    <t>Pump</t>
  </si>
  <si>
    <t>1m1m1m 기준</t>
  </si>
  <si>
    <t>GTG</t>
  </si>
  <si>
    <t>Filter</t>
  </si>
  <si>
    <t>console</t>
  </si>
  <si>
    <t xml:space="preserve"> 12"-SDV-0004
</t>
  </si>
  <si>
    <t>Operating Temperature (degC)</t>
  </si>
  <si>
    <t>Automatic
Blow down (Yes/No)</t>
  </si>
  <si>
    <t>shell exchanger</t>
  </si>
  <si>
    <t>045-04</t>
  </si>
  <si>
    <t>4"</t>
  </si>
  <si>
    <t>assumed 1</t>
  </si>
  <si>
    <t>5000*2</t>
  </si>
  <si>
    <t>Note for location</t>
  </si>
  <si>
    <t>013-01-N1-G</t>
  </si>
  <si>
    <t>013-02-N2-G</t>
  </si>
  <si>
    <t>013-03-C1-G</t>
  </si>
  <si>
    <t>013-04-C2-G</t>
  </si>
  <si>
    <t>013-05-L</t>
  </si>
  <si>
    <t>013-06-L</t>
  </si>
  <si>
    <t>020-01-01-G</t>
  </si>
  <si>
    <t>020-01-02-L</t>
  </si>
  <si>
    <t>020-02-01-Li</t>
  </si>
  <si>
    <t>020-02-02-G</t>
  </si>
  <si>
    <t>020-02-03-Lo</t>
  </si>
  <si>
    <t>020-03-01-Li</t>
  </si>
  <si>
    <t>020-03-02-G</t>
  </si>
  <si>
    <t>020-03-03-Lo</t>
  </si>
  <si>
    <t>020-04-01-L</t>
  </si>
  <si>
    <t>020-04-02-G</t>
  </si>
  <si>
    <t>020-05-01-G</t>
  </si>
  <si>
    <t>020-05-02-L</t>
  </si>
  <si>
    <t>023-01-02-L</t>
  </si>
  <si>
    <t>023-02-02-L</t>
  </si>
  <si>
    <t>023-03-02-L</t>
  </si>
  <si>
    <t>023-03-03-L</t>
  </si>
  <si>
    <t>023-04-G</t>
  </si>
  <si>
    <t>024-01-01-G</t>
  </si>
  <si>
    <t>024-01-02-L</t>
  </si>
  <si>
    <t>024-03-01-G</t>
  </si>
  <si>
    <t>024-03-02-L</t>
  </si>
  <si>
    <t>025-01-01-G</t>
  </si>
  <si>
    <t>025-01-02-L</t>
  </si>
  <si>
    <t>025-02-01-G</t>
  </si>
  <si>
    <t>025-02-02-L</t>
  </si>
  <si>
    <t>027-02-G</t>
  </si>
  <si>
    <t>027-03-G</t>
  </si>
  <si>
    <t>043-01-01-G</t>
  </si>
  <si>
    <t>043-01-02-L</t>
  </si>
  <si>
    <t>043-02-01-G</t>
  </si>
  <si>
    <t>043-02-02-L</t>
  </si>
  <si>
    <t>043-03-G</t>
  </si>
  <si>
    <t>045-02-01-G</t>
  </si>
  <si>
    <t>045-02-02-L</t>
  </si>
  <si>
    <t>045-03-G</t>
  </si>
  <si>
    <t>045-04-G</t>
  </si>
  <si>
    <t>046-01-01-L</t>
  </si>
  <si>
    <t>046-01-02-L</t>
  </si>
  <si>
    <t>046-01-03-L</t>
  </si>
  <si>
    <t>046-01-04-L</t>
  </si>
  <si>
    <t>046-02-L</t>
  </si>
  <si>
    <t>046-03-L</t>
  </si>
  <si>
    <t>046-04-L</t>
  </si>
  <si>
    <t>057-01-01-G</t>
  </si>
  <si>
    <t>057-01-02-L</t>
  </si>
  <si>
    <t>Utilisation factor</t>
  </si>
  <si>
    <t>Note for utilisation factor</t>
  </si>
  <si>
    <t>BDV(primary) diameter</t>
  </si>
  <si>
    <t>045-01-G</t>
  </si>
  <si>
    <t>utilisation factor 조정 가능</t>
  </si>
  <si>
    <t>Circulation pump</t>
  </si>
  <si>
    <t>Off spec. pump</t>
  </si>
  <si>
    <t>Reference</t>
  </si>
  <si>
    <t>2001-KGD6-D2-PF-OF-MJ1F-C000-440005618-PRJ-0012_0</t>
  </si>
  <si>
    <t>2001-KGD6-D2-PF-OF-MJ1F-C000-440005618-PRJ-0046_0</t>
  </si>
  <si>
    <t>Case</t>
  </si>
  <si>
    <t>Case2 - High T</t>
  </si>
  <si>
    <t>Case 1 -Stabilized oil recycling</t>
  </si>
  <si>
    <t>Operating Pressure (barg)</t>
  </si>
  <si>
    <t>8.8 (suction)</t>
  </si>
  <si>
    <t>Diff. pressure (bar)</t>
  </si>
  <si>
    <t>Flowrate</t>
  </si>
  <si>
    <t>Gas (kg/h)</t>
  </si>
  <si>
    <t>Oil (kg/h)</t>
  </si>
  <si>
    <t>Water (kg/h)</t>
  </si>
  <si>
    <t>Gas (kg/m3)</t>
  </si>
  <si>
    <t>Oil (kg/m3)</t>
  </si>
  <si>
    <t>Water (kg/m3)</t>
  </si>
  <si>
    <t>Composition (mol fraction)</t>
  </si>
  <si>
    <t>Nitrogen</t>
  </si>
  <si>
    <t>CO2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</si>
  <si>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</si>
  <si>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</si>
  <si>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</si>
  <si>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</si>
  <si>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</si>
  <si>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</si>
  <si>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</si>
  <si>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</si>
  <si>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Benzene</t>
  </si>
  <si>
    <t>C7*</t>
  </si>
  <si>
    <t>Toluene</t>
  </si>
  <si>
    <t>C8*</t>
  </si>
  <si>
    <t>E-Benzene</t>
  </si>
  <si>
    <t>p-Xylene</t>
  </si>
  <si>
    <t>C9*</t>
  </si>
  <si>
    <t>C10*</t>
  </si>
  <si>
    <t>C11*</t>
  </si>
  <si>
    <t>C12*</t>
  </si>
  <si>
    <t>C13*</t>
  </si>
  <si>
    <t>C14*</t>
  </si>
  <si>
    <t>C15*</t>
  </si>
  <si>
    <t>C16-18*</t>
  </si>
  <si>
    <t>C19-22*</t>
  </si>
  <si>
    <t>C23-29*</t>
  </si>
  <si>
    <t>C30+*</t>
  </si>
  <si>
    <t>H2O</t>
  </si>
  <si>
    <t>1. E-mail from Hongmin Kim titled as "[RUBY FPSO] Frequency Analysis Part Count 관련 LR 문의 사항 회신" with attachment "Operating conditions for circulation pump, Offspec pump, Test separator" received in 21 Jan. 2020</t>
  </si>
  <si>
    <t>2001-KGD6-D2-PF-OF-MJ1F-C000-440005618-PRJ-0005_0</t>
  </si>
  <si>
    <t>Case 1 - Case D'</t>
  </si>
  <si>
    <t>Stream no. of HMB</t>
  </si>
  <si>
    <t>2. PDS for HP flare KO drum, RIL DOC NO. 2001-KGD6-D2-PF-OF-MJ1F-C000-440005618-PRJ-0072, Rev. C 10-Sep-2019</t>
  </si>
  <si>
    <t>3. PDS for LP flare KO drum, RIL DOC NO. 2001-KGD6-D2-PF-OF-MJ1F-C000-440005618-PRJ-0073, Rev. C 6-Sep-2019</t>
  </si>
  <si>
    <t>Iso time (t2)</t>
  </si>
  <si>
    <t>Detection time (t1)</t>
  </si>
  <si>
    <t>Vp (m3), Ref. [16]</t>
  </si>
  <si>
    <t>Veq (m3), Ref. [16]</t>
  </si>
  <si>
    <t>Density [kg/m3]</t>
  </si>
  <si>
    <t>Orifice dia
(mm)</t>
  </si>
  <si>
    <t>BD time (t3)</t>
  </si>
  <si>
    <t>Biggest ESDV/ SDV [inch]</t>
  </si>
  <si>
    <t xml:space="preserve">Phase </t>
  </si>
  <si>
    <t>Butane</t>
  </si>
  <si>
    <t>Pentane</t>
  </si>
  <si>
    <t>Hexane</t>
  </si>
  <si>
    <t>Heptane</t>
  </si>
  <si>
    <t>Octane</t>
  </si>
  <si>
    <t>Nonane</t>
  </si>
  <si>
    <t>Total</t>
  </si>
  <si>
    <t>062-01-01-L</t>
  </si>
  <si>
    <t>062-01-02-L</t>
  </si>
  <si>
    <t>Modelling location</t>
  </si>
  <si>
    <t>021-01-02-L</t>
  </si>
  <si>
    <t>021-01-01-L</t>
  </si>
  <si>
    <t>Offloading hose reel</t>
  </si>
  <si>
    <t>Sub-isolatable section
(location)</t>
  </si>
  <si>
    <t>021-02-L</t>
  </si>
  <si>
    <t>131-01-fwdP</t>
  </si>
  <si>
    <t>131-02-fwdP</t>
  </si>
  <si>
    <t>021-02</t>
  </si>
  <si>
    <t>Centrifugal pump</t>
  </si>
  <si>
    <t>Leak freaquncy is taken from **</t>
  </si>
  <si>
    <t>Valve</t>
  </si>
  <si>
    <t>Not included</t>
  </si>
  <si>
    <t>centrifugal pump</t>
  </si>
  <si>
    <t xml:space="preserve">Section </t>
  </si>
  <si>
    <t>S2</t>
  </si>
  <si>
    <t>pipingdia</t>
  </si>
  <si>
    <t>piping length</t>
  </si>
  <si>
    <t>V</t>
  </si>
  <si>
    <t>Note</t>
  </si>
  <si>
    <t>Shi 가 준 내용을 Topside 에 국한됨
021-01-01 은 SHI 내용 사용</t>
  </si>
  <si>
    <t>Assumed 55</t>
  </si>
  <si>
    <t>4. E-mail from DongWook Park titles as "Offloading hose reel 관련 문건 요청"</t>
  </si>
  <si>
    <t>1.총 4군데입니다. 상세위치는 첨부 도면 참고하시기 바랍니다.
-20" Cargo Inlet
-20" Hose reel flange(Hose와 Hose drum 사이 연결부)
-16"Hose end flange(Hose 제일끝쪽)
-4" flushing connection.</t>
  </si>
  <si>
    <t xml:space="preserve">Flange connection of Offloading hose reel </t>
  </si>
  <si>
    <t>Subisolatable section</t>
  </si>
  <si>
    <t>In case isolatable section is divided into sub isolatable sections due to pipine/equipment location,  leak freqeuncy of pipin f</t>
  </si>
  <si>
    <t>021-01-03</t>
  </si>
  <si>
    <t>Offloading</t>
  </si>
  <si>
    <t>Assumed 6</t>
  </si>
  <si>
    <t>Hose reel</t>
  </si>
  <si>
    <t>Assumed 10</t>
  </si>
  <si>
    <t>X</t>
  </si>
  <si>
    <t>Y</t>
  </si>
  <si>
    <t>Z</t>
  </si>
  <si>
    <t>Isolatable section</t>
  </si>
  <si>
    <t>T 
[degC]</t>
  </si>
  <si>
    <t>P 
[bara]</t>
  </si>
  <si>
    <t>Vp&amp;eq [m3]</t>
  </si>
  <si>
    <t xml:space="preserve">023-01-01-G-DB </t>
  </si>
  <si>
    <t>023-01-01-G-DA</t>
  </si>
  <si>
    <t>023-02-01-G-DB</t>
  </si>
  <si>
    <t>023-02-01-G-DA</t>
  </si>
  <si>
    <t>023-03-01-G-DB</t>
  </si>
  <si>
    <t>023-03-01-G-DA</t>
  </si>
  <si>
    <t>024-02-G-DA</t>
  </si>
  <si>
    <t>024-02-G-DB</t>
  </si>
  <si>
    <t>024-02-G-DC</t>
  </si>
  <si>
    <t>027-01-G-DA</t>
  </si>
  <si>
    <t>027-01-G-DB</t>
  </si>
  <si>
    <t>Process Identifier</t>
  </si>
  <si>
    <t>ULF Seg No</t>
  </si>
  <si>
    <t>027-01-G-DC</t>
  </si>
  <si>
    <t>023-03-01-G-DC</t>
  </si>
  <si>
    <t>Leak freq. Dist.
(%)</t>
  </si>
  <si>
    <t>13</t>
  </si>
  <si>
    <t>104</t>
  </si>
  <si>
    <t>102</t>
  </si>
  <si>
    <t>109</t>
  </si>
  <si>
    <t>107</t>
  </si>
  <si>
    <t>318</t>
  </si>
  <si>
    <t>Sub-section</t>
  </si>
  <si>
    <t>Vadj
[m3]</t>
  </si>
  <si>
    <t>Vadj
[kg]</t>
  </si>
  <si>
    <t>SCYL:</t>
  </si>
  <si>
    <t>FH</t>
  </si>
  <si>
    <t>R0_</t>
  </si>
  <si>
    <t>R1_</t>
  </si>
  <si>
    <t>A01</t>
  </si>
  <si>
    <t>A-PRS</t>
  </si>
  <si>
    <t>A-PRS to FG compressor</t>
  </si>
  <si>
    <t>FG compressor</t>
  </si>
  <si>
    <t>BOG boosting compressor to A-PRS</t>
  </si>
  <si>
    <t>BOG return from A-PRS</t>
  </si>
  <si>
    <t>S3</t>
  </si>
  <si>
    <t>S8</t>
  </si>
  <si>
    <t>S9</t>
  </si>
  <si>
    <t>Floor</t>
  </si>
  <si>
    <t>Mez deck?</t>
  </si>
  <si>
    <t>Outlet:13</t>
  </si>
  <si>
    <t>Outlet:151</t>
  </si>
  <si>
    <t>Liq.:394.40Gas: 7.98</t>
  </si>
  <si>
    <t>Liq.: 0.37 Gas: 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</si>
</sst>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"/>
    <numFmt numFmtId="165" formatCode="0.000"/>
    <numFmt numFmtId="166" formatCode="0.0000000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Frutiger LT 65 Bold"/>
      <family val="2"/>
    </font>
    <font>
      <sz val="12"/>
      <color theme="1"/>
      <name val="Calibri"/>
      <family val="2"/>
      <scheme val="minor"/>
    </font>
    <font>
      <sz val="12"/>
      <color rgb="FF414042"/>
      <name val="Frutiger LT 45 Light"/>
      <family val="2"/>
    </font>
    <font>
      <sz val="12"/>
      <name val="Frutiger LT 45 Light"/>
      <family val="2"/>
    </font>
    <font>
      <sz val="12"/>
      <color theme="1"/>
      <name val="Frutiger LT 45 Light"/>
      <family val="2"/>
    </font>
    <font>
      <b/>
      <sz val="12"/>
      <color theme="1"/>
      <name val="Frutiger LT 45 Light"/>
      <family val="2"/>
    </font>
    <font>
      <sz val="12"/>
      <color theme="1"/>
      <name val="Frutiger LT 45 Light"/>
      <family val="2"/>
    </font>
    <font>
      <sz val="12"/>
      <color rgb="FFFFFFFF"/>
      <name val="Frutiger LT 65 Bold"/>
      <family val="2"/>
    </font>
    <font>
      <b/>
      <sz val="12"/>
      <color rgb="FFFF0000"/>
      <name val="Frutiger LT 65 Bold"/>
      <family val="2"/>
    </font>
    <font>
      <sz val="12"/>
      <color theme="1"/>
      <name val="Frutiger LT 45 Light"/>
      <family val="2"/>
    </font>
    <font>
      <b/>
      <sz val="12"/>
      <color rgb="FFFFFFFF"/>
      <name val="Frutiger LT 65 Bold"/>
      <family val="2"/>
    </font>
    <font>
      <b/>
      <sz val="12"/>
      <color theme="0"/>
      <name val="Frutiger LT 65 Bold"/>
      <family val="2"/>
    </font>
    <font>
      <sz val="10"/>
      <color rgb="FF414042"/>
      <name val="Frutiger LT 45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165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wrapText="1"/>
    </xf>
    <xf numFmtId="0" fontId="3" fillId="0" borderId="0" xfId="0" applyFont="1" applyFill="1" applyAlignment="1">
      <alignment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41" fontId="6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0" fillId="0" borderId="0" xfId="0" applyNumberFormat="1"/>
    <xf numFmtId="0" fontId="6" fillId="0" borderId="1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" fontId="6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Jee-A" id="{80960707-181B-4662-9FE1-60635C90EA05}" userId="S::Jee-A.Lee@lr.org::cfea377f-76c6-4135-93bf-a4aa787c4d15" providerId="AD"/>
  <person displayName="Kim, Sung-Hoon" id="{898F68DF-D52F-435B-859E-B47450FB097B}" userId="S::sung-hoon.kim@lr.org::ac53c902-feb7-45e4-8225-5711da062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0-02-26T04:59:35.57" personId="{80960707-181B-4662-9FE1-60635C90EA05}" id="{D1E990B0-C9AA-4954-9956-122C1DF67460}">
    <text>-. 5% 마진을 적용하기 전의 volume 임
Colume V 의  volume 은 업데이트 되지 X
(failure case 에 대한 참고용으로 남겨둠)
-. Colume AC 의 volume 은 업데이트 된 것.</text>
  </threadedComment>
  <threadedComment ref="AD2" dT="2020-02-19T00:01:31.48" personId="{80960707-181B-4662-9FE1-60635C90EA05}" id="{496CB7E1-6877-49A5-853D-76394DBE4DAF}">
    <text>5% increased</text>
  </threadedComment>
  <threadedComment ref="AG2" dT="2020-02-24T01:52:47.45" personId="{898F68DF-D52F-435B-859E-B47450FB097B}" id="{59060254-ED05-4827-A1A0-F6D8C9E6922F}">
    <text>Largest volume of adjacent section
(considering ESDV/SDV failure case during normal operation)
(ESDV closes)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5D41-5741-4F04-ACA4-CA94CA2147AC}">
  <sheetPr codeName="Sheet1">
    <pageSetUpPr fitToPage="1"/>
  </sheetPr>
  <dimension ref="A1:AY8"/>
  <sheetViews>
    <sheetView tabSelected="1" view="pageBreakPreview" zoomScale="70" zoomScaleNormal="85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6" sqref="I16"/>
    </sheetView>
  </sheetViews>
  <sheetFormatPr defaultColWidth="9.140625" defaultRowHeight="15.75" x14ac:dyDescent="0.25"/>
  <cols>
    <col min="1" max="1" width="4.5703125" style="5" customWidth="1"/>
    <col min="2" max="2" width="16" style="6" customWidth="1"/>
    <col min="3" max="3" width="21.28515625" style="5" customWidth="1"/>
    <col min="4" max="4" width="9.7109375" style="5" customWidth="1"/>
    <col min="5" max="5" width="21.28515625" style="5" customWidth="1"/>
    <col min="6" max="6" width="16.28515625" style="18" customWidth="1"/>
    <col min="7" max="7" width="7.28515625" style="5" customWidth="1"/>
    <col min="8" max="8" width="9.42578125" style="5" customWidth="1"/>
    <col min="9" max="9" width="20.7109375" style="18" customWidth="1"/>
    <col min="10" max="10" width="19.7109375" style="34" customWidth="1"/>
    <col min="11" max="11" width="10.140625" style="34" customWidth="1"/>
    <col min="12" max="15" width="6.7109375" style="34" customWidth="1"/>
    <col min="16" max="16" width="9.28515625" style="5" customWidth="1"/>
    <col min="17" max="17" width="10.140625" style="5" customWidth="1"/>
    <col min="18" max="18" width="7.42578125" style="5" customWidth="1"/>
    <col min="19" max="19" width="29.85546875" style="18" customWidth="1"/>
    <col min="20" max="20" width="21" style="18" customWidth="1"/>
    <col min="21" max="21" width="9.42578125" style="7" customWidth="1"/>
    <col min="22" max="22" width="15.28515625" style="5" customWidth="1"/>
    <col min="23" max="23" width="24.28515625" style="5" customWidth="1"/>
    <col min="24" max="24" width="17.28515625" style="5" customWidth="1"/>
    <col min="25" max="25" width="9.7109375" style="5" customWidth="1"/>
    <col min="26" max="26" width="65.28515625" style="18" customWidth="1"/>
    <col min="27" max="28" width="10" style="5" customWidth="1"/>
    <col min="29" max="29" width="14" style="5" customWidth="1"/>
    <col min="30" max="30" width="10.28515625" style="5" customWidth="1"/>
    <col min="31" max="31" width="8.5703125" style="5" customWidth="1"/>
    <col min="32" max="32" width="9.85546875" style="5" customWidth="1"/>
    <col min="33" max="34" width="9.140625" style="9" customWidth="1"/>
    <col min="35" max="35" width="13.42578125" style="5" customWidth="1"/>
    <col min="36" max="36" width="11" style="7" customWidth="1"/>
    <col min="37" max="37" width="8.7109375" style="7" customWidth="1"/>
    <col min="38" max="38" width="8.140625" style="5" customWidth="1"/>
    <col min="39" max="39" width="9.42578125" style="5" customWidth="1"/>
    <col min="40" max="40" width="11.5703125" style="5" customWidth="1"/>
    <col min="41" max="41" width="22.7109375" style="5" customWidth="1"/>
    <col min="42" max="43" width="16" style="5" customWidth="1"/>
    <col min="44" max="44" width="11.7109375" style="8" customWidth="1"/>
    <col min="45" max="45" width="16.42578125" style="5" customWidth="1"/>
    <col min="46" max="46" width="79.140625" style="5" customWidth="1"/>
    <col min="47" max="47" width="10.28515625" style="5" customWidth="1"/>
    <col min="48" max="49" width="14.85546875" style="5" bestFit="1" customWidth="1"/>
    <col min="50" max="16384" width="9.140625" style="5"/>
  </cols>
  <sheetData>
    <row r="1" spans="1:51" x14ac:dyDescent="0.25">
      <c r="AY1" s="5">
        <v>1.05</v>
      </c>
    </row>
    <row r="2" spans="1:51" s="61" customFormat="1" ht="66" x14ac:dyDescent="0.25">
      <c r="A2" s="61" t="s">
        <v>262</v>
      </c>
      <c r="B2" s="62" t="s">
        <v>261</v>
      </c>
      <c r="C2" s="62" t="s">
        <v>246</v>
      </c>
      <c r="D2" s="62" t="s">
        <v>272</v>
      </c>
      <c r="E2" s="70" t="s">
        <v>215</v>
      </c>
      <c r="F2" s="62" t="s">
        <v>59</v>
      </c>
      <c r="G2" s="3" t="s">
        <v>0</v>
      </c>
      <c r="H2" s="3" t="s">
        <v>54</v>
      </c>
      <c r="I2" s="64" t="s">
        <v>83</v>
      </c>
      <c r="J2" s="64" t="s">
        <v>211</v>
      </c>
      <c r="K2" s="31" t="s">
        <v>265</v>
      </c>
      <c r="L2" s="64" t="s">
        <v>243</v>
      </c>
      <c r="M2" s="64" t="s">
        <v>244</v>
      </c>
      <c r="N2" s="64" t="s">
        <v>245</v>
      </c>
      <c r="O2" s="64"/>
      <c r="P2" s="63" t="s">
        <v>1</v>
      </c>
      <c r="Q2" s="63" t="s">
        <v>190</v>
      </c>
      <c r="R2" s="63" t="s">
        <v>201</v>
      </c>
      <c r="S2" s="64" t="s">
        <v>2</v>
      </c>
      <c r="T2" s="65" t="s">
        <v>3</v>
      </c>
      <c r="U2" s="66" t="s">
        <v>135</v>
      </c>
      <c r="V2" s="63" t="s">
        <v>136</v>
      </c>
      <c r="W2" s="63" t="s">
        <v>4</v>
      </c>
      <c r="X2" s="3" t="s">
        <v>46</v>
      </c>
      <c r="Y2" s="67" t="s">
        <v>200</v>
      </c>
      <c r="Z2" s="64" t="s">
        <v>51</v>
      </c>
      <c r="AA2" s="63" t="s">
        <v>194</v>
      </c>
      <c r="AB2" s="63" t="s">
        <v>193</v>
      </c>
      <c r="AC2" s="63" t="s">
        <v>5</v>
      </c>
      <c r="AD2" s="68" t="s">
        <v>195</v>
      </c>
      <c r="AE2" s="63" t="s">
        <v>196</v>
      </c>
      <c r="AF2" s="63" t="s">
        <v>249</v>
      </c>
      <c r="AG2" s="63" t="s">
        <v>273</v>
      </c>
      <c r="AH2" s="63" t="s">
        <v>274</v>
      </c>
      <c r="AI2" s="63" t="s">
        <v>55</v>
      </c>
      <c r="AJ2" s="66" t="s">
        <v>56</v>
      </c>
      <c r="AK2" s="66" t="s">
        <v>57</v>
      </c>
      <c r="AL2" s="63" t="s">
        <v>248</v>
      </c>
      <c r="AM2" s="63" t="s">
        <v>247</v>
      </c>
      <c r="AN2" s="63" t="s">
        <v>197</v>
      </c>
      <c r="AO2" s="63" t="s">
        <v>6</v>
      </c>
      <c r="AP2" s="63" t="s">
        <v>77</v>
      </c>
      <c r="AQ2" s="63" t="s">
        <v>137</v>
      </c>
      <c r="AR2" s="69" t="s">
        <v>198</v>
      </c>
      <c r="AS2" s="63" t="s">
        <v>58</v>
      </c>
      <c r="AT2" s="63" t="s">
        <v>52</v>
      </c>
      <c r="AU2" s="63" t="s">
        <v>199</v>
      </c>
      <c r="AV2" s="63"/>
    </row>
    <row r="3" spans="1:51" ht="66.75" thickBot="1" x14ac:dyDescent="0.3">
      <c r="A3" s="5">
        <v>1</v>
      </c>
      <c r="B3" s="40"/>
      <c r="C3" s="42"/>
      <c r="D3" s="45"/>
      <c r="E3" s="71" t="s">
        <v>226</v>
      </c>
      <c r="F3" s="72" t="s">
        <v>280</v>
      </c>
      <c r="G3" s="12" t="s">
        <v>279</v>
      </c>
      <c r="H3" s="12" t="s">
        <v>288</v>
      </c>
      <c r="I3" s="42"/>
      <c r="J3" s="19"/>
      <c r="K3" s="19">
        <v>1</v>
      </c>
      <c r="L3" s="32"/>
      <c r="M3" s="36"/>
      <c r="N3" s="36"/>
      <c r="O3" s="43"/>
      <c r="P3" s="10"/>
      <c r="Q3" s="13"/>
      <c r="R3" s="13"/>
      <c r="S3" s="29"/>
      <c r="T3" s="39"/>
      <c r="U3" s="20"/>
      <c r="V3" s="16"/>
      <c r="W3" s="13"/>
      <c r="X3" s="13" t="s">
        <v>75</v>
      </c>
      <c r="Y3" s="16">
        <v>12</v>
      </c>
      <c r="Z3" s="38"/>
      <c r="AA3" s="13"/>
      <c r="AB3" s="13"/>
      <c r="AC3" s="13"/>
      <c r="AD3" s="35"/>
      <c r="AE3" s="14"/>
      <c r="AF3" s="73">
        <v>6</v>
      </c>
      <c r="AG3" s="17"/>
      <c r="AH3" s="46"/>
      <c r="AI3" s="13"/>
      <c r="AJ3" s="73">
        <v>1.33</v>
      </c>
      <c r="AK3" s="14"/>
      <c r="AL3" s="73">
        <v>1.05</v>
      </c>
      <c r="AM3" s="73">
        <v>-133.9</v>
      </c>
      <c r="AN3" s="73">
        <v>1.65</v>
      </c>
      <c r="AO3" s="13"/>
      <c r="AP3" s="13" t="s">
        <v>28</v>
      </c>
      <c r="AQ3" s="16">
        <v>3</v>
      </c>
      <c r="AR3" s="15">
        <f>SQRT(AS3/3.14)*2</f>
        <v>13.162386092320499</v>
      </c>
      <c r="AS3" s="13">
        <v>136</v>
      </c>
      <c r="AT3" s="13" t="s">
        <v>53</v>
      </c>
      <c r="AU3" s="13">
        <f>AA3+30+AQ3</f>
        <v>33</v>
      </c>
      <c r="AV3" s="13"/>
    </row>
    <row r="4" spans="1:51" ht="66.75" thickBot="1" x14ac:dyDescent="0.3">
      <c r="A4" s="5">
        <v>2</v>
      </c>
      <c r="B4" s="40"/>
      <c r="C4" s="42"/>
      <c r="D4" s="45"/>
      <c r="E4" s="71" t="s">
        <v>226</v>
      </c>
      <c r="F4" s="72" t="s">
        <v>281</v>
      </c>
      <c r="G4" s="54" t="s">
        <v>279</v>
      </c>
      <c r="H4" s="54" t="s">
        <v>288</v>
      </c>
      <c r="I4" s="42"/>
      <c r="J4" s="19"/>
      <c r="K4" s="19">
        <v>1</v>
      </c>
      <c r="L4" s="32"/>
      <c r="M4" s="36"/>
      <c r="N4" s="36"/>
      <c r="O4" s="43"/>
      <c r="P4" s="10"/>
      <c r="Q4" s="13"/>
      <c r="R4" s="13"/>
      <c r="S4" s="29"/>
      <c r="T4" s="39"/>
      <c r="U4" s="20"/>
      <c r="V4" s="16"/>
      <c r="W4" s="13"/>
      <c r="X4" s="56" t="s">
        <v>75</v>
      </c>
      <c r="Y4" s="16">
        <v>12</v>
      </c>
      <c r="Z4" s="29"/>
      <c r="AA4" s="30"/>
      <c r="AB4" s="16"/>
      <c r="AC4" s="13"/>
      <c r="AD4" s="14"/>
      <c r="AE4" s="14"/>
      <c r="AF4" s="73">
        <v>6</v>
      </c>
      <c r="AG4" s="17"/>
      <c r="AH4" s="46"/>
      <c r="AI4" s="13"/>
      <c r="AJ4" s="73">
        <v>1.33</v>
      </c>
      <c r="AK4" s="14"/>
      <c r="AL4" s="73">
        <v>1.02</v>
      </c>
      <c r="AM4" s="73">
        <v>24.5</v>
      </c>
      <c r="AN4" s="73">
        <v>1.65</v>
      </c>
      <c r="AO4" s="13"/>
      <c r="AP4" s="13" t="s">
        <v>29</v>
      </c>
      <c r="AQ4" s="16">
        <v>3</v>
      </c>
      <c r="AR4" s="15">
        <f t="shared" ref="AR4" si="0">SQRT(AS4/3.14)*2</f>
        <v>13.162386092320499</v>
      </c>
      <c r="AS4" s="13">
        <v>136</v>
      </c>
      <c r="AT4" s="13" t="s">
        <v>53</v>
      </c>
      <c r="AU4" s="16">
        <f>AA4+30+AQ4</f>
        <v>33</v>
      </c>
      <c r="AV4" s="13"/>
    </row>
    <row r="5" spans="1:51" ht="33.75" thickBot="1" x14ac:dyDescent="0.3">
      <c r="A5" s="5">
        <v>3</v>
      </c>
      <c r="B5" s="59"/>
      <c r="C5" s="55"/>
      <c r="D5" s="60"/>
      <c r="E5" s="71" t="s">
        <v>285</v>
      </c>
      <c r="F5" s="72" t="s">
        <v>282</v>
      </c>
      <c r="G5" s="54" t="s">
        <v>279</v>
      </c>
      <c r="H5" s="54" t="s">
        <v>288</v>
      </c>
      <c r="I5" s="55"/>
      <c r="J5" s="60"/>
      <c r="K5" s="60">
        <v>1</v>
      </c>
      <c r="L5" s="55"/>
      <c r="M5" s="55"/>
      <c r="N5" s="55"/>
      <c r="O5" s="55"/>
      <c r="P5" s="53"/>
      <c r="Q5" s="56"/>
      <c r="R5" s="56"/>
      <c r="S5" s="55"/>
      <c r="T5" s="39"/>
      <c r="U5" s="20"/>
      <c r="V5" s="56"/>
      <c r="W5" s="56"/>
      <c r="X5" s="56" t="s">
        <v>75</v>
      </c>
      <c r="Y5" s="56"/>
      <c r="Z5" s="55"/>
      <c r="AA5" s="30"/>
      <c r="AB5" s="56"/>
      <c r="AC5" s="56"/>
      <c r="AD5" s="57"/>
      <c r="AE5" s="57"/>
      <c r="AF5" s="73">
        <v>6.36</v>
      </c>
      <c r="AG5" s="17"/>
      <c r="AH5" s="58"/>
      <c r="AI5" s="56"/>
      <c r="AJ5" s="73">
        <v>1.33</v>
      </c>
      <c r="AK5" s="57"/>
      <c r="AL5" s="73" t="s">
        <v>290</v>
      </c>
      <c r="AM5" s="73">
        <v>43</v>
      </c>
      <c r="AN5" s="73">
        <v>5.55</v>
      </c>
      <c r="AO5" s="56"/>
      <c r="AP5" s="56"/>
      <c r="AQ5" s="56"/>
      <c r="AR5" s="15"/>
      <c r="AS5" s="56"/>
      <c r="AT5" s="56"/>
      <c r="AU5" s="56"/>
      <c r="AV5" s="56"/>
    </row>
    <row r="6" spans="1:51" ht="39" thickBot="1" x14ac:dyDescent="0.3">
      <c r="A6" s="5">
        <v>8</v>
      </c>
      <c r="B6" s="59"/>
      <c r="C6" s="55"/>
      <c r="D6" s="60"/>
      <c r="E6" s="71" t="s">
        <v>286</v>
      </c>
      <c r="F6" s="72" t="s">
        <v>283</v>
      </c>
      <c r="G6" s="54" t="s">
        <v>279</v>
      </c>
      <c r="H6" s="54" t="s">
        <v>288</v>
      </c>
      <c r="I6" s="55" t="s">
        <v>289</v>
      </c>
      <c r="J6" s="60"/>
      <c r="K6" s="60">
        <v>1</v>
      </c>
      <c r="L6" s="55"/>
      <c r="M6" s="55"/>
      <c r="N6" s="55"/>
      <c r="O6" s="55"/>
      <c r="P6" s="53"/>
      <c r="Q6" s="56"/>
      <c r="R6" s="56"/>
      <c r="S6" s="55"/>
      <c r="T6" s="39"/>
      <c r="U6" s="20"/>
      <c r="V6" s="56"/>
      <c r="W6" s="56"/>
      <c r="X6" s="56" t="s">
        <v>75</v>
      </c>
      <c r="Y6" s="56"/>
      <c r="Z6" s="55"/>
      <c r="AA6" s="30"/>
      <c r="AB6" s="56"/>
      <c r="AC6" s="56"/>
      <c r="AD6" s="57"/>
      <c r="AE6" s="57"/>
      <c r="AF6" s="73">
        <v>6.05</v>
      </c>
      <c r="AG6" s="17"/>
      <c r="AH6" s="58"/>
      <c r="AI6" s="56"/>
      <c r="AJ6" s="73">
        <v>0.73</v>
      </c>
      <c r="AK6" s="57"/>
      <c r="AL6" s="73" t="s">
        <v>291</v>
      </c>
      <c r="AM6" s="73">
        <v>43</v>
      </c>
      <c r="AN6" s="73">
        <v>110.78</v>
      </c>
      <c r="AO6" s="56"/>
      <c r="AP6" s="56"/>
      <c r="AQ6" s="56"/>
      <c r="AR6" s="15"/>
      <c r="AS6" s="56"/>
      <c r="AT6" s="56"/>
      <c r="AU6" s="56"/>
      <c r="AV6" s="56"/>
    </row>
    <row r="7" spans="1:51" ht="33.75" thickBot="1" x14ac:dyDescent="0.3">
      <c r="A7" s="5">
        <v>9</v>
      </c>
      <c r="B7" s="59"/>
      <c r="C7" s="55"/>
      <c r="D7" s="60"/>
      <c r="E7" s="71" t="s">
        <v>287</v>
      </c>
      <c r="F7" s="72" t="s">
        <v>284</v>
      </c>
      <c r="G7" s="54" t="s">
        <v>279</v>
      </c>
      <c r="H7" s="54" t="s">
        <v>288</v>
      </c>
      <c r="I7" s="55" t="s">
        <v>289</v>
      </c>
      <c r="J7" s="60"/>
      <c r="K7" s="60">
        <v>1</v>
      </c>
      <c r="L7" s="55"/>
      <c r="M7" s="55"/>
      <c r="N7" s="55"/>
      <c r="O7" s="55"/>
      <c r="P7" s="53"/>
      <c r="Q7" s="56"/>
      <c r="R7" s="56"/>
      <c r="S7" s="55"/>
      <c r="T7" s="39"/>
      <c r="U7" s="20"/>
      <c r="V7" s="56"/>
      <c r="W7" s="56"/>
      <c r="X7" s="56" t="s">
        <v>75</v>
      </c>
      <c r="Y7" s="56"/>
      <c r="Z7" s="55"/>
      <c r="AA7" s="30"/>
      <c r="AB7" s="56"/>
      <c r="AC7" s="56"/>
      <c r="AD7" s="57"/>
      <c r="AE7" s="57"/>
      <c r="AF7" s="73" t="s">
        <v>293</v>
      </c>
      <c r="AG7" s="17"/>
      <c r="AH7" s="58"/>
      <c r="AI7" s="56"/>
      <c r="AJ7" s="73">
        <v>0.46</v>
      </c>
      <c r="AK7" s="57"/>
      <c r="AL7" s="73">
        <v>4.01</v>
      </c>
      <c r="AM7" s="73">
        <v>-147.6</v>
      </c>
      <c r="AN7" s="73" t="s">
        <v>292</v>
      </c>
      <c r="AO7" s="56"/>
      <c r="AP7" s="56"/>
      <c r="AQ7" s="56"/>
      <c r="AR7" s="15"/>
      <c r="AS7" s="56"/>
      <c r="AT7" s="56"/>
      <c r="AU7" s="56"/>
      <c r="AV7" s="56"/>
    </row>
    <row r="8" spans="1:51" ht="16.5" x14ac:dyDescent="0.25">
      <c r="B8" s="11"/>
    </row>
  </sheetData>
  <pageMargins left="0.25" right="0.25" top="0.75" bottom="0.75" header="0.3" footer="0.3"/>
  <pageSetup paperSize="8" scale="28" fitToHeight="0" orientation="landscape" r:id="rId1"/>
  <colBreaks count="1" manualBreakCount="1">
    <brk id="47" max="68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E64-211B-4CFE-9D43-266EA575D982}">
  <dimension ref="A2:N80"/>
  <sheetViews>
    <sheetView workbookViewId="0">
      <selection activeCell="R14" sqref="R14"/>
    </sheetView>
  </sheetViews>
  <sheetFormatPr defaultRowHeight="15.75" x14ac:dyDescent="0.25"/>
  <cols>
    <col min="1" max="1" width="21.28515625" style="5" customWidth="1"/>
    <col min="2" max="4" width="6.7109375" style="34" customWidth="1"/>
  </cols>
  <sheetData>
    <row r="2" spans="1:14" ht="49.5" x14ac:dyDescent="0.25">
      <c r="A2" s="33" t="s">
        <v>215</v>
      </c>
      <c r="B2" s="31" t="s">
        <v>243</v>
      </c>
      <c r="C2" s="31" t="s">
        <v>244</v>
      </c>
      <c r="D2" s="31" t="s">
        <v>245</v>
      </c>
      <c r="F2" s="51" t="s">
        <v>276</v>
      </c>
      <c r="G2">
        <v>1000</v>
      </c>
      <c r="H2" s="52" t="s">
        <v>277</v>
      </c>
      <c r="I2">
        <v>100</v>
      </c>
      <c r="J2" t="s">
        <v>278</v>
      </c>
      <c r="K2">
        <v>1000</v>
      </c>
    </row>
    <row r="3" spans="1:14" ht="16.5" x14ac:dyDescent="0.25">
      <c r="A3" s="49" t="s">
        <v>84</v>
      </c>
      <c r="B3" s="49">
        <v>176.1</v>
      </c>
      <c r="C3" s="49">
        <v>-10.4</v>
      </c>
      <c r="D3" s="49">
        <v>44.8</v>
      </c>
      <c r="F3" t="s">
        <v>275</v>
      </c>
      <c r="G3">
        <f t="array" ref="G3:I3">1000*B3:D3</f>
        <v>176100</v>
      </c>
      <c r="H3">
        <v>-10400</v>
      </c>
      <c r="I3">
        <v>44800</v>
      </c>
      <c r="J3">
        <f>G3</f>
        <v>176100</v>
      </c>
      <c r="K3">
        <f>H3</f>
        <v>-10400</v>
      </c>
      <c r="L3">
        <f t="shared" ref="L3:L34" si="0">I3+FH</f>
        <v>45800</v>
      </c>
      <c r="M3">
        <f t="shared" ref="M3:M34" si="1">RLow</f>
        <v>100</v>
      </c>
      <c r="N3">
        <f t="shared" ref="N3:N34" si="2">RHigh</f>
        <v>1000</v>
      </c>
    </row>
    <row r="4" spans="1:14" ht="16.5" x14ac:dyDescent="0.25">
      <c r="A4" s="49" t="s">
        <v>85</v>
      </c>
      <c r="B4" s="49">
        <v>189.9</v>
      </c>
      <c r="C4" s="49">
        <v>-7</v>
      </c>
      <c r="D4" s="49">
        <v>44.9</v>
      </c>
      <c r="F4" t="s">
        <v>275</v>
      </c>
      <c r="G4">
        <f t="array" ref="G4:I4">1000*B4:D4</f>
        <v>189900</v>
      </c>
      <c r="H4">
        <v>-7000</v>
      </c>
      <c r="I4">
        <v>44900</v>
      </c>
      <c r="J4">
        <f t="shared" ref="J4:J67" si="3">G4</f>
        <v>189900</v>
      </c>
      <c r="K4">
        <f t="shared" ref="K4:K67" si="4">H4</f>
        <v>-7000</v>
      </c>
      <c r="L4">
        <f t="shared" si="0"/>
        <v>45900</v>
      </c>
      <c r="M4">
        <f t="shared" si="1"/>
        <v>100</v>
      </c>
      <c r="N4">
        <f t="shared" si="2"/>
        <v>1000</v>
      </c>
    </row>
    <row r="5" spans="1:14" ht="16.5" x14ac:dyDescent="0.25">
      <c r="A5" s="49" t="s">
        <v>86</v>
      </c>
      <c r="B5" s="49">
        <v>186.6</v>
      </c>
      <c r="C5" s="49">
        <v>-10.8</v>
      </c>
      <c r="D5" s="49">
        <v>45</v>
      </c>
      <c r="F5" t="s">
        <v>275</v>
      </c>
      <c r="G5">
        <f t="array" ref="G5:I5">1000*B5:D5</f>
        <v>186600</v>
      </c>
      <c r="H5">
        <v>-10800</v>
      </c>
      <c r="I5">
        <v>45000</v>
      </c>
      <c r="J5">
        <f t="shared" si="3"/>
        <v>186600</v>
      </c>
      <c r="K5">
        <f t="shared" si="4"/>
        <v>-10800</v>
      </c>
      <c r="L5">
        <f t="shared" si="0"/>
        <v>46000</v>
      </c>
      <c r="M5">
        <f t="shared" si="1"/>
        <v>100</v>
      </c>
      <c r="N5">
        <f t="shared" si="2"/>
        <v>1000</v>
      </c>
    </row>
    <row r="6" spans="1:14" ht="16.5" x14ac:dyDescent="0.25">
      <c r="A6" s="49" t="s">
        <v>87</v>
      </c>
      <c r="B6" s="49">
        <v>176.1</v>
      </c>
      <c r="C6" s="49">
        <v>-10.3</v>
      </c>
      <c r="D6" s="49">
        <v>44.8</v>
      </c>
      <c r="F6" t="s">
        <v>275</v>
      </c>
      <c r="G6">
        <f t="array" ref="G6:I6">1000*B6:D6</f>
        <v>176100</v>
      </c>
      <c r="H6">
        <v>-10300</v>
      </c>
      <c r="I6">
        <v>44800</v>
      </c>
      <c r="J6">
        <f t="shared" si="3"/>
        <v>176100</v>
      </c>
      <c r="K6">
        <f t="shared" si="4"/>
        <v>-10300</v>
      </c>
      <c r="L6">
        <f t="shared" si="0"/>
        <v>45800</v>
      </c>
      <c r="M6">
        <f t="shared" si="1"/>
        <v>100</v>
      </c>
      <c r="N6">
        <f t="shared" si="2"/>
        <v>1000</v>
      </c>
    </row>
    <row r="7" spans="1:14" ht="16.5" x14ac:dyDescent="0.25">
      <c r="A7" s="50" t="s">
        <v>88</v>
      </c>
      <c r="B7" s="50">
        <v>176.9</v>
      </c>
      <c r="C7" s="50">
        <v>20.6</v>
      </c>
      <c r="D7" s="50">
        <v>31.5</v>
      </c>
      <c r="F7" t="s">
        <v>275</v>
      </c>
      <c r="G7">
        <f t="array" ref="G7:I7">1000*B7:D7</f>
        <v>176900</v>
      </c>
      <c r="H7">
        <v>20600</v>
      </c>
      <c r="I7">
        <v>31500</v>
      </c>
      <c r="J7">
        <f t="shared" si="3"/>
        <v>176900</v>
      </c>
      <c r="K7">
        <f t="shared" si="4"/>
        <v>20600</v>
      </c>
      <c r="L7">
        <f t="shared" si="0"/>
        <v>32500</v>
      </c>
      <c r="M7">
        <f t="shared" si="1"/>
        <v>100</v>
      </c>
      <c r="N7">
        <f t="shared" si="2"/>
        <v>1000</v>
      </c>
    </row>
    <row r="8" spans="1:14" ht="16.5" x14ac:dyDescent="0.25">
      <c r="A8" s="50" t="s">
        <v>89</v>
      </c>
      <c r="B8" s="50">
        <v>165.5</v>
      </c>
      <c r="C8" s="50">
        <v>9.5</v>
      </c>
      <c r="D8" s="50">
        <v>30.5</v>
      </c>
      <c r="F8" t="s">
        <v>275</v>
      </c>
      <c r="G8">
        <f t="array" ref="G8:I8">1000*B8:D8</f>
        <v>165500</v>
      </c>
      <c r="H8">
        <v>9500</v>
      </c>
      <c r="I8">
        <v>30500</v>
      </c>
      <c r="J8">
        <f t="shared" si="3"/>
        <v>165500</v>
      </c>
      <c r="K8">
        <f t="shared" si="4"/>
        <v>9500</v>
      </c>
      <c r="L8">
        <f t="shared" si="0"/>
        <v>31500</v>
      </c>
      <c r="M8">
        <f t="shared" si="1"/>
        <v>100</v>
      </c>
      <c r="N8">
        <f t="shared" si="2"/>
        <v>1000</v>
      </c>
    </row>
    <row r="9" spans="1:14" ht="16.5" x14ac:dyDescent="0.25">
      <c r="A9" s="49" t="s">
        <v>90</v>
      </c>
      <c r="B9" s="49">
        <v>185</v>
      </c>
      <c r="C9" s="49">
        <v>-9</v>
      </c>
      <c r="D9" s="49">
        <v>40.5</v>
      </c>
      <c r="F9" t="s">
        <v>275</v>
      </c>
      <c r="G9">
        <f t="array" ref="G9:I9">1000*B9:D9</f>
        <v>185000</v>
      </c>
      <c r="H9">
        <v>-9000</v>
      </c>
      <c r="I9">
        <v>40500</v>
      </c>
      <c r="J9">
        <f t="shared" si="3"/>
        <v>185000</v>
      </c>
      <c r="K9">
        <f t="shared" si="4"/>
        <v>-9000</v>
      </c>
      <c r="L9">
        <f t="shared" si="0"/>
        <v>41500</v>
      </c>
      <c r="M9">
        <f t="shared" si="1"/>
        <v>100</v>
      </c>
      <c r="N9">
        <f t="shared" si="2"/>
        <v>1000</v>
      </c>
    </row>
    <row r="10" spans="1:14" ht="16.5" x14ac:dyDescent="0.25">
      <c r="A10" s="49" t="s">
        <v>91</v>
      </c>
      <c r="B10" s="49">
        <v>172.8</v>
      </c>
      <c r="C10" s="49">
        <v>-8.9</v>
      </c>
      <c r="D10" s="49">
        <v>36.1</v>
      </c>
      <c r="F10" t="s">
        <v>275</v>
      </c>
      <c r="G10">
        <f t="array" ref="G10:I10">1000*B10:D10</f>
        <v>172800</v>
      </c>
      <c r="H10">
        <v>-8900</v>
      </c>
      <c r="I10">
        <v>36100</v>
      </c>
      <c r="J10">
        <f t="shared" si="3"/>
        <v>172800</v>
      </c>
      <c r="K10">
        <f t="shared" si="4"/>
        <v>-8900</v>
      </c>
      <c r="L10">
        <f t="shared" si="0"/>
        <v>37100</v>
      </c>
      <c r="M10">
        <f t="shared" si="1"/>
        <v>100</v>
      </c>
      <c r="N10">
        <f t="shared" si="2"/>
        <v>1000</v>
      </c>
    </row>
    <row r="11" spans="1:14" ht="16.5" x14ac:dyDescent="0.25">
      <c r="A11" s="49" t="s">
        <v>92</v>
      </c>
      <c r="B11" s="50">
        <v>181</v>
      </c>
      <c r="C11" s="50">
        <v>-18</v>
      </c>
      <c r="D11" s="50">
        <v>41</v>
      </c>
      <c r="F11" t="s">
        <v>275</v>
      </c>
      <c r="G11">
        <f t="array" ref="G11:I11">1000*B11:D11</f>
        <v>181000</v>
      </c>
      <c r="H11">
        <v>-18000</v>
      </c>
      <c r="I11">
        <v>41000</v>
      </c>
      <c r="J11">
        <f t="shared" si="3"/>
        <v>181000</v>
      </c>
      <c r="K11">
        <f t="shared" si="4"/>
        <v>-18000</v>
      </c>
      <c r="L11">
        <f t="shared" si="0"/>
        <v>42000</v>
      </c>
      <c r="M11">
        <f t="shared" si="1"/>
        <v>100</v>
      </c>
      <c r="N11">
        <f t="shared" si="2"/>
        <v>1000</v>
      </c>
    </row>
    <row r="12" spans="1:14" ht="16.5" x14ac:dyDescent="0.25">
      <c r="A12" s="49" t="s">
        <v>93</v>
      </c>
      <c r="B12" s="50">
        <v>173</v>
      </c>
      <c r="C12" s="50">
        <v>-18</v>
      </c>
      <c r="D12" s="50">
        <v>41</v>
      </c>
      <c r="F12" t="s">
        <v>275</v>
      </c>
      <c r="G12">
        <f t="array" ref="G12:I12">1000*B12:D12</f>
        <v>173000</v>
      </c>
      <c r="H12">
        <v>-18000</v>
      </c>
      <c r="I12">
        <v>41000</v>
      </c>
      <c r="J12">
        <f t="shared" si="3"/>
        <v>173000</v>
      </c>
      <c r="K12">
        <f t="shared" si="4"/>
        <v>-18000</v>
      </c>
      <c r="L12">
        <f t="shared" si="0"/>
        <v>42000</v>
      </c>
      <c r="M12">
        <f t="shared" si="1"/>
        <v>100</v>
      </c>
      <c r="N12">
        <f t="shared" si="2"/>
        <v>1000</v>
      </c>
    </row>
    <row r="13" spans="1:14" ht="16.5" x14ac:dyDescent="0.25">
      <c r="A13" s="49" t="s">
        <v>94</v>
      </c>
      <c r="B13" s="49">
        <v>174</v>
      </c>
      <c r="C13" s="49">
        <v>-19</v>
      </c>
      <c r="D13" s="49">
        <v>36</v>
      </c>
      <c r="F13" t="s">
        <v>275</v>
      </c>
      <c r="G13">
        <f t="array" ref="G13:I13">1000*B13:D13</f>
        <v>174000</v>
      </c>
      <c r="H13">
        <v>-19000</v>
      </c>
      <c r="I13">
        <v>36000</v>
      </c>
      <c r="J13">
        <f t="shared" si="3"/>
        <v>174000</v>
      </c>
      <c r="K13">
        <f t="shared" si="4"/>
        <v>-19000</v>
      </c>
      <c r="L13">
        <f t="shared" si="0"/>
        <v>37000</v>
      </c>
      <c r="M13">
        <f t="shared" si="1"/>
        <v>100</v>
      </c>
      <c r="N13">
        <f t="shared" si="2"/>
        <v>1000</v>
      </c>
    </row>
    <row r="14" spans="1:14" ht="16.5" x14ac:dyDescent="0.25">
      <c r="A14" s="49" t="s">
        <v>95</v>
      </c>
      <c r="B14" s="49">
        <v>157.9</v>
      </c>
      <c r="C14" s="49">
        <v>-9.3000000000000007</v>
      </c>
      <c r="D14" s="49">
        <v>44.8</v>
      </c>
      <c r="F14" t="s">
        <v>275</v>
      </c>
      <c r="G14">
        <f t="array" ref="G14:I14">1000*B14:D14</f>
        <v>157900</v>
      </c>
      <c r="H14">
        <v>-9300</v>
      </c>
      <c r="I14">
        <v>44800</v>
      </c>
      <c r="J14">
        <f t="shared" si="3"/>
        <v>157900</v>
      </c>
      <c r="K14">
        <f t="shared" si="4"/>
        <v>-9300</v>
      </c>
      <c r="L14">
        <f t="shared" si="0"/>
        <v>45800</v>
      </c>
      <c r="M14">
        <f t="shared" si="1"/>
        <v>100</v>
      </c>
      <c r="N14">
        <f t="shared" si="2"/>
        <v>1000</v>
      </c>
    </row>
    <row r="15" spans="1:14" ht="16.5" x14ac:dyDescent="0.25">
      <c r="A15" s="49" t="s">
        <v>96</v>
      </c>
      <c r="B15" s="49">
        <v>151.9</v>
      </c>
      <c r="C15" s="49">
        <v>-14.4</v>
      </c>
      <c r="D15" s="49">
        <v>49.3</v>
      </c>
      <c r="F15" t="s">
        <v>275</v>
      </c>
      <c r="G15">
        <f t="array" ref="G15:I15">1000*B15:D15</f>
        <v>151900</v>
      </c>
      <c r="H15">
        <v>-14400</v>
      </c>
      <c r="I15">
        <v>49300</v>
      </c>
      <c r="J15">
        <f t="shared" si="3"/>
        <v>151900</v>
      </c>
      <c r="K15">
        <f t="shared" si="4"/>
        <v>-14400</v>
      </c>
      <c r="L15">
        <f t="shared" si="0"/>
        <v>50300</v>
      </c>
      <c r="M15">
        <f t="shared" si="1"/>
        <v>100</v>
      </c>
      <c r="N15">
        <f t="shared" si="2"/>
        <v>1000</v>
      </c>
    </row>
    <row r="16" spans="1:14" ht="16.5" x14ac:dyDescent="0.25">
      <c r="A16" s="49" t="s">
        <v>97</v>
      </c>
      <c r="B16" s="49">
        <v>161</v>
      </c>
      <c r="C16" s="49">
        <v>-18.600000000000001</v>
      </c>
      <c r="D16" s="49">
        <v>39.799999999999997</v>
      </c>
      <c r="F16" t="s">
        <v>275</v>
      </c>
      <c r="G16">
        <f t="array" ref="G16:I16">1000*B16:D16</f>
        <v>161000</v>
      </c>
      <c r="H16">
        <v>-18600</v>
      </c>
      <c r="I16">
        <v>39800</v>
      </c>
      <c r="J16">
        <f t="shared" si="3"/>
        <v>161000</v>
      </c>
      <c r="K16">
        <f t="shared" si="4"/>
        <v>-18600</v>
      </c>
      <c r="L16">
        <f t="shared" si="0"/>
        <v>40800</v>
      </c>
      <c r="M16">
        <f t="shared" si="1"/>
        <v>100</v>
      </c>
      <c r="N16">
        <f t="shared" si="2"/>
        <v>1000</v>
      </c>
    </row>
    <row r="17" spans="1:14" ht="16.5" x14ac:dyDescent="0.25">
      <c r="A17" s="49" t="s">
        <v>98</v>
      </c>
      <c r="B17" s="49">
        <v>159.5</v>
      </c>
      <c r="C17" s="49">
        <v>-7.5</v>
      </c>
      <c r="D17" s="49">
        <v>36.5</v>
      </c>
      <c r="F17" t="s">
        <v>275</v>
      </c>
      <c r="G17">
        <f t="array" ref="G17:I17">1000*B17:D17</f>
        <v>159500</v>
      </c>
      <c r="H17">
        <v>-7500</v>
      </c>
      <c r="I17">
        <v>36500</v>
      </c>
      <c r="J17">
        <f t="shared" si="3"/>
        <v>159500</v>
      </c>
      <c r="K17">
        <f t="shared" si="4"/>
        <v>-7500</v>
      </c>
      <c r="L17">
        <f t="shared" si="0"/>
        <v>37500</v>
      </c>
      <c r="M17">
        <f t="shared" si="1"/>
        <v>100</v>
      </c>
      <c r="N17">
        <f t="shared" si="2"/>
        <v>1000</v>
      </c>
    </row>
    <row r="18" spans="1:14" ht="16.5" x14ac:dyDescent="0.25">
      <c r="A18" s="49" t="s">
        <v>99</v>
      </c>
      <c r="B18" s="49">
        <v>157.69999999999999</v>
      </c>
      <c r="C18" s="49">
        <v>-8.4</v>
      </c>
      <c r="D18" s="49">
        <v>48.9</v>
      </c>
      <c r="F18" t="s">
        <v>275</v>
      </c>
      <c r="G18">
        <f t="array" ref="G18:I18">1000*B18:D18</f>
        <v>157700</v>
      </c>
      <c r="H18">
        <v>-8400</v>
      </c>
      <c r="I18">
        <v>48900</v>
      </c>
      <c r="J18">
        <f t="shared" si="3"/>
        <v>157700</v>
      </c>
      <c r="K18">
        <f t="shared" si="4"/>
        <v>-8400</v>
      </c>
      <c r="L18">
        <f t="shared" si="0"/>
        <v>49900</v>
      </c>
      <c r="M18">
        <f t="shared" si="1"/>
        <v>100</v>
      </c>
      <c r="N18">
        <f t="shared" si="2"/>
        <v>1000</v>
      </c>
    </row>
    <row r="19" spans="1:14" ht="16.5" x14ac:dyDescent="0.25">
      <c r="A19" s="50" t="s">
        <v>100</v>
      </c>
      <c r="B19" s="50">
        <v>188.2</v>
      </c>
      <c r="C19" s="50">
        <v>-19.600000000000001</v>
      </c>
      <c r="D19" s="50">
        <v>40.9</v>
      </c>
      <c r="F19" t="s">
        <v>275</v>
      </c>
      <c r="G19">
        <f t="array" ref="G19:I19">1000*B19:D19</f>
        <v>188200</v>
      </c>
      <c r="H19">
        <v>-19600</v>
      </c>
      <c r="I19">
        <v>40900</v>
      </c>
      <c r="J19">
        <f t="shared" si="3"/>
        <v>188200</v>
      </c>
      <c r="K19">
        <f t="shared" si="4"/>
        <v>-19600</v>
      </c>
      <c r="L19">
        <f t="shared" si="0"/>
        <v>41900</v>
      </c>
      <c r="M19">
        <f t="shared" si="1"/>
        <v>100</v>
      </c>
      <c r="N19">
        <f t="shared" si="2"/>
        <v>1000</v>
      </c>
    </row>
    <row r="20" spans="1:14" ht="16.5" x14ac:dyDescent="0.25">
      <c r="A20" s="50" t="s">
        <v>101</v>
      </c>
      <c r="B20" s="50">
        <v>187.2</v>
      </c>
      <c r="C20" s="50">
        <v>-12.6</v>
      </c>
      <c r="D20" s="50">
        <v>36.299999999999997</v>
      </c>
      <c r="F20" t="s">
        <v>275</v>
      </c>
      <c r="G20">
        <f t="array" ref="G20:I20">1000*B20:D20</f>
        <v>187200</v>
      </c>
      <c r="H20">
        <v>-12600</v>
      </c>
      <c r="I20">
        <v>36300</v>
      </c>
      <c r="J20">
        <f t="shared" si="3"/>
        <v>187200</v>
      </c>
      <c r="K20">
        <f t="shared" si="4"/>
        <v>-12600</v>
      </c>
      <c r="L20">
        <f t="shared" si="0"/>
        <v>37300</v>
      </c>
      <c r="M20">
        <f t="shared" si="1"/>
        <v>100</v>
      </c>
      <c r="N20">
        <f t="shared" si="2"/>
        <v>1000</v>
      </c>
    </row>
    <row r="21" spans="1:14" ht="16.5" x14ac:dyDescent="0.25">
      <c r="A21" s="50" t="s">
        <v>213</v>
      </c>
      <c r="B21" s="49">
        <v>111.5</v>
      </c>
      <c r="C21" s="49">
        <v>-19.600000000000001</v>
      </c>
      <c r="D21" s="49">
        <v>36.6</v>
      </c>
      <c r="F21" t="s">
        <v>275</v>
      </c>
      <c r="G21">
        <f t="array" ref="G21:I21">1000*B21:D21</f>
        <v>111500</v>
      </c>
      <c r="H21">
        <v>-19600</v>
      </c>
      <c r="I21">
        <v>36600</v>
      </c>
      <c r="J21">
        <f t="shared" si="3"/>
        <v>111500</v>
      </c>
      <c r="K21">
        <f t="shared" si="4"/>
        <v>-19600</v>
      </c>
      <c r="L21">
        <f t="shared" si="0"/>
        <v>37600</v>
      </c>
      <c r="M21">
        <f t="shared" si="1"/>
        <v>100</v>
      </c>
      <c r="N21">
        <f t="shared" si="2"/>
        <v>1000</v>
      </c>
    </row>
    <row r="22" spans="1:14" ht="16.5" x14ac:dyDescent="0.25">
      <c r="A22" s="50" t="s">
        <v>212</v>
      </c>
      <c r="B22" s="49">
        <v>46.8</v>
      </c>
      <c r="C22" s="49">
        <v>-20</v>
      </c>
      <c r="D22" s="49">
        <v>32.799999999999997</v>
      </c>
      <c r="F22" t="s">
        <v>275</v>
      </c>
      <c r="G22">
        <f t="array" ref="G22:I22">1000*B22:D22</f>
        <v>46800</v>
      </c>
      <c r="H22">
        <v>-20000</v>
      </c>
      <c r="I22">
        <v>32800</v>
      </c>
      <c r="J22">
        <f t="shared" si="3"/>
        <v>46800</v>
      </c>
      <c r="K22">
        <f t="shared" si="4"/>
        <v>-20000</v>
      </c>
      <c r="L22">
        <f t="shared" si="0"/>
        <v>33800</v>
      </c>
      <c r="M22">
        <f t="shared" si="1"/>
        <v>100</v>
      </c>
      <c r="N22">
        <f t="shared" si="2"/>
        <v>1000</v>
      </c>
    </row>
    <row r="23" spans="1:14" ht="16.5" x14ac:dyDescent="0.25">
      <c r="A23" s="50" t="s">
        <v>216</v>
      </c>
      <c r="B23" s="49">
        <v>-5.6</v>
      </c>
      <c r="C23" s="49">
        <v>-5.8</v>
      </c>
      <c r="D23" s="49">
        <v>38</v>
      </c>
      <c r="F23" t="s">
        <v>275</v>
      </c>
      <c r="G23">
        <f t="array" ref="G23:I23">1000*B23:D23</f>
        <v>-5600</v>
      </c>
      <c r="H23">
        <v>-5800</v>
      </c>
      <c r="I23">
        <v>38000</v>
      </c>
      <c r="J23">
        <f t="shared" si="3"/>
        <v>-5600</v>
      </c>
      <c r="K23">
        <f t="shared" si="4"/>
        <v>-5800</v>
      </c>
      <c r="L23">
        <f t="shared" si="0"/>
        <v>39000</v>
      </c>
      <c r="M23">
        <f t="shared" si="1"/>
        <v>100</v>
      </c>
      <c r="N23">
        <f t="shared" si="2"/>
        <v>1000</v>
      </c>
    </row>
    <row r="24" spans="1:14" ht="16.5" x14ac:dyDescent="0.25">
      <c r="A24" s="50" t="s">
        <v>250</v>
      </c>
      <c r="B24" s="50">
        <v>131.5</v>
      </c>
      <c r="C24" s="50">
        <v>18.8</v>
      </c>
      <c r="D24" s="50">
        <v>47.2</v>
      </c>
      <c r="F24" t="s">
        <v>275</v>
      </c>
      <c r="G24">
        <f t="array" ref="G24:I24">1000*B24:D24</f>
        <v>131500</v>
      </c>
      <c r="H24">
        <v>18800</v>
      </c>
      <c r="I24">
        <v>47200</v>
      </c>
      <c r="J24">
        <f t="shared" si="3"/>
        <v>131500</v>
      </c>
      <c r="K24">
        <f t="shared" si="4"/>
        <v>18800</v>
      </c>
      <c r="L24">
        <f t="shared" si="0"/>
        <v>48200</v>
      </c>
      <c r="M24">
        <f t="shared" si="1"/>
        <v>100</v>
      </c>
      <c r="N24">
        <f t="shared" si="2"/>
        <v>1000</v>
      </c>
    </row>
    <row r="25" spans="1:14" ht="16.5" x14ac:dyDescent="0.25">
      <c r="A25" s="50" t="s">
        <v>251</v>
      </c>
      <c r="B25" s="50">
        <v>130.9</v>
      </c>
      <c r="C25" s="50">
        <v>16.899999999999999</v>
      </c>
      <c r="D25" s="50">
        <v>38.5</v>
      </c>
      <c r="F25" t="s">
        <v>275</v>
      </c>
      <c r="G25">
        <f t="array" ref="G25:I25">1000*B25:D25</f>
        <v>130900</v>
      </c>
      <c r="H25">
        <v>16900</v>
      </c>
      <c r="I25">
        <v>38500</v>
      </c>
      <c r="J25">
        <f t="shared" si="3"/>
        <v>130900</v>
      </c>
      <c r="K25">
        <f t="shared" si="4"/>
        <v>16900</v>
      </c>
      <c r="L25">
        <f t="shared" si="0"/>
        <v>39500</v>
      </c>
      <c r="M25">
        <f t="shared" si="1"/>
        <v>100</v>
      </c>
      <c r="N25">
        <f t="shared" si="2"/>
        <v>1000</v>
      </c>
    </row>
    <row r="26" spans="1:14" ht="16.5" x14ac:dyDescent="0.25">
      <c r="A26" s="50" t="s">
        <v>102</v>
      </c>
      <c r="B26" s="50">
        <v>126.1</v>
      </c>
      <c r="C26" s="50">
        <v>12.4</v>
      </c>
      <c r="D26" s="50">
        <v>35.799999999999997</v>
      </c>
      <c r="F26" t="s">
        <v>275</v>
      </c>
      <c r="G26">
        <f t="array" ref="G26:I26">1000*B26:D26</f>
        <v>126100</v>
      </c>
      <c r="H26">
        <v>12400</v>
      </c>
      <c r="I26">
        <v>35800</v>
      </c>
      <c r="J26">
        <f t="shared" si="3"/>
        <v>126100</v>
      </c>
      <c r="K26">
        <f t="shared" si="4"/>
        <v>12400</v>
      </c>
      <c r="L26">
        <f t="shared" si="0"/>
        <v>36800</v>
      </c>
      <c r="M26">
        <f t="shared" si="1"/>
        <v>100</v>
      </c>
      <c r="N26">
        <f t="shared" si="2"/>
        <v>1000</v>
      </c>
    </row>
    <row r="27" spans="1:14" ht="16.5" x14ac:dyDescent="0.25">
      <c r="A27" s="50" t="s">
        <v>252</v>
      </c>
      <c r="B27" s="49">
        <v>133.30000000000001</v>
      </c>
      <c r="C27" s="49">
        <v>15.3</v>
      </c>
      <c r="D27" s="49">
        <v>47.3</v>
      </c>
      <c r="F27" t="s">
        <v>275</v>
      </c>
      <c r="G27">
        <f t="array" ref="G27:I27">1000*B27:D27</f>
        <v>133300</v>
      </c>
      <c r="H27">
        <v>15300</v>
      </c>
      <c r="I27">
        <v>47300</v>
      </c>
      <c r="J27">
        <f t="shared" si="3"/>
        <v>133300</v>
      </c>
      <c r="K27">
        <f t="shared" si="4"/>
        <v>15300</v>
      </c>
      <c r="L27">
        <f t="shared" si="0"/>
        <v>48300</v>
      </c>
      <c r="M27">
        <f t="shared" si="1"/>
        <v>100</v>
      </c>
      <c r="N27">
        <f t="shared" si="2"/>
        <v>1000</v>
      </c>
    </row>
    <row r="28" spans="1:14" ht="16.5" x14ac:dyDescent="0.25">
      <c r="A28" s="50" t="s">
        <v>253</v>
      </c>
      <c r="B28" s="49">
        <v>131.4</v>
      </c>
      <c r="C28" s="49">
        <v>12.2</v>
      </c>
      <c r="D28" s="49">
        <v>38.6</v>
      </c>
      <c r="F28" t="s">
        <v>275</v>
      </c>
      <c r="G28">
        <f t="array" ref="G28:I28">1000*B28:D28</f>
        <v>131400</v>
      </c>
      <c r="H28">
        <v>12200</v>
      </c>
      <c r="I28">
        <v>38600</v>
      </c>
      <c r="J28">
        <f t="shared" si="3"/>
        <v>131400</v>
      </c>
      <c r="K28">
        <f t="shared" si="4"/>
        <v>12200</v>
      </c>
      <c r="L28">
        <f t="shared" si="0"/>
        <v>39600</v>
      </c>
      <c r="M28">
        <f t="shared" si="1"/>
        <v>100</v>
      </c>
      <c r="N28">
        <f t="shared" si="2"/>
        <v>1000</v>
      </c>
    </row>
    <row r="29" spans="1:14" ht="16.5" x14ac:dyDescent="0.25">
      <c r="A29" s="50" t="s">
        <v>103</v>
      </c>
      <c r="B29" s="49">
        <v>128</v>
      </c>
      <c r="C29" s="49">
        <v>6.2</v>
      </c>
      <c r="D29" s="49">
        <v>41</v>
      </c>
      <c r="F29" t="s">
        <v>275</v>
      </c>
      <c r="G29">
        <f t="array" ref="G29:I29">1000*B29:D29</f>
        <v>128000</v>
      </c>
      <c r="H29">
        <v>6200</v>
      </c>
      <c r="I29">
        <v>41000</v>
      </c>
      <c r="J29">
        <f t="shared" si="3"/>
        <v>128000</v>
      </c>
      <c r="K29">
        <f t="shared" si="4"/>
        <v>6200</v>
      </c>
      <c r="L29">
        <f t="shared" si="0"/>
        <v>42000</v>
      </c>
      <c r="M29">
        <f t="shared" si="1"/>
        <v>100</v>
      </c>
      <c r="N29">
        <f t="shared" si="2"/>
        <v>1000</v>
      </c>
    </row>
    <row r="30" spans="1:14" ht="16.5" x14ac:dyDescent="0.25">
      <c r="A30" s="50" t="s">
        <v>264</v>
      </c>
      <c r="B30" s="49">
        <v>123.2</v>
      </c>
      <c r="C30" s="49">
        <v>-12</v>
      </c>
      <c r="D30" s="49">
        <v>55.6</v>
      </c>
      <c r="F30" t="s">
        <v>275</v>
      </c>
      <c r="G30">
        <f t="array" ref="G30:I30">1000*B30:D30</f>
        <v>123200</v>
      </c>
      <c r="H30">
        <v>-12000</v>
      </c>
      <c r="I30">
        <v>55600</v>
      </c>
      <c r="J30">
        <f t="shared" si="3"/>
        <v>123200</v>
      </c>
      <c r="K30">
        <f t="shared" si="4"/>
        <v>-12000</v>
      </c>
      <c r="L30">
        <f t="shared" si="0"/>
        <v>56600</v>
      </c>
      <c r="M30">
        <f t="shared" si="1"/>
        <v>100</v>
      </c>
      <c r="N30">
        <f t="shared" si="2"/>
        <v>1000</v>
      </c>
    </row>
    <row r="31" spans="1:14" ht="16.5" x14ac:dyDescent="0.25">
      <c r="A31" s="50" t="s">
        <v>254</v>
      </c>
      <c r="B31" s="49">
        <v>124.5</v>
      </c>
      <c r="C31" s="49">
        <v>-9</v>
      </c>
      <c r="D31" s="49">
        <v>47.6</v>
      </c>
      <c r="F31" t="s">
        <v>275</v>
      </c>
      <c r="G31">
        <f t="array" ref="G31:I31">1000*B31:D31</f>
        <v>124500</v>
      </c>
      <c r="H31">
        <v>-9000</v>
      </c>
      <c r="I31">
        <v>47600</v>
      </c>
      <c r="J31">
        <f t="shared" si="3"/>
        <v>124500</v>
      </c>
      <c r="K31">
        <f t="shared" si="4"/>
        <v>-9000</v>
      </c>
      <c r="L31">
        <f t="shared" si="0"/>
        <v>48600</v>
      </c>
      <c r="M31">
        <f t="shared" si="1"/>
        <v>100</v>
      </c>
      <c r="N31">
        <f t="shared" si="2"/>
        <v>1000</v>
      </c>
    </row>
    <row r="32" spans="1:14" ht="16.5" x14ac:dyDescent="0.25">
      <c r="A32" s="50" t="s">
        <v>255</v>
      </c>
      <c r="B32" s="49">
        <v>125.9</v>
      </c>
      <c r="C32" s="49">
        <v>-15.1</v>
      </c>
      <c r="D32" s="49">
        <v>38.700000000000003</v>
      </c>
      <c r="F32" t="s">
        <v>275</v>
      </c>
      <c r="G32">
        <f t="array" ref="G32:I32">1000*B32:D32</f>
        <v>125900</v>
      </c>
      <c r="H32">
        <v>-15100</v>
      </c>
      <c r="I32">
        <v>38700</v>
      </c>
      <c r="J32">
        <f t="shared" si="3"/>
        <v>125900</v>
      </c>
      <c r="K32">
        <f t="shared" si="4"/>
        <v>-15100</v>
      </c>
      <c r="L32">
        <f t="shared" si="0"/>
        <v>39700</v>
      </c>
      <c r="M32">
        <f t="shared" si="1"/>
        <v>100</v>
      </c>
      <c r="N32">
        <f t="shared" si="2"/>
        <v>1000</v>
      </c>
    </row>
    <row r="33" spans="1:14" ht="16.5" x14ac:dyDescent="0.25">
      <c r="A33" s="50" t="s">
        <v>104</v>
      </c>
      <c r="B33" s="49">
        <v>124.1</v>
      </c>
      <c r="C33" s="49">
        <v>-21.6</v>
      </c>
      <c r="D33" s="49">
        <v>41.4</v>
      </c>
      <c r="F33" t="s">
        <v>275</v>
      </c>
      <c r="G33">
        <f t="array" ref="G33:I33">1000*B33:D33</f>
        <v>124100</v>
      </c>
      <c r="H33">
        <v>-21600</v>
      </c>
      <c r="I33">
        <v>41400</v>
      </c>
      <c r="J33">
        <f t="shared" si="3"/>
        <v>124100</v>
      </c>
      <c r="K33">
        <f t="shared" si="4"/>
        <v>-21600</v>
      </c>
      <c r="L33">
        <f t="shared" si="0"/>
        <v>42400</v>
      </c>
      <c r="M33">
        <f t="shared" si="1"/>
        <v>100</v>
      </c>
      <c r="N33">
        <f t="shared" si="2"/>
        <v>1000</v>
      </c>
    </row>
    <row r="34" spans="1:14" ht="16.5" x14ac:dyDescent="0.25">
      <c r="A34" s="50" t="s">
        <v>105</v>
      </c>
      <c r="B34" s="49">
        <v>128.30000000000001</v>
      </c>
      <c r="C34" s="49">
        <v>-21.5</v>
      </c>
      <c r="D34" s="49">
        <v>41.1</v>
      </c>
      <c r="F34" t="s">
        <v>275</v>
      </c>
      <c r="G34">
        <f t="array" ref="G34:I34">1000*B34:D34</f>
        <v>128300.00000000001</v>
      </c>
      <c r="H34">
        <v>-21500</v>
      </c>
      <c r="I34">
        <v>41100</v>
      </c>
      <c r="J34">
        <f t="shared" si="3"/>
        <v>128300.00000000001</v>
      </c>
      <c r="K34">
        <f t="shared" si="4"/>
        <v>-21500</v>
      </c>
      <c r="L34">
        <f t="shared" si="0"/>
        <v>42100</v>
      </c>
      <c r="M34">
        <f t="shared" si="1"/>
        <v>100</v>
      </c>
      <c r="N34">
        <f t="shared" si="2"/>
        <v>1000</v>
      </c>
    </row>
    <row r="35" spans="1:14" ht="16.5" x14ac:dyDescent="0.25">
      <c r="A35" s="50" t="s">
        <v>106</v>
      </c>
      <c r="B35" s="49">
        <v>128.80000000000001</v>
      </c>
      <c r="C35" s="49">
        <v>-6.4</v>
      </c>
      <c r="D35" s="49">
        <v>48</v>
      </c>
      <c r="F35" t="s">
        <v>275</v>
      </c>
      <c r="G35">
        <f t="array" ref="G35:I35">1000*B35:D35</f>
        <v>128800.00000000001</v>
      </c>
      <c r="H35">
        <v>-6400</v>
      </c>
      <c r="I35">
        <v>48000</v>
      </c>
      <c r="J35">
        <f t="shared" si="3"/>
        <v>128800.00000000001</v>
      </c>
      <c r="K35">
        <f t="shared" si="4"/>
        <v>-6400</v>
      </c>
      <c r="L35">
        <f t="shared" ref="L35:L66" si="5">I35+FH</f>
        <v>49000</v>
      </c>
      <c r="M35">
        <f t="shared" ref="M35:M66" si="6">RLow</f>
        <v>100</v>
      </c>
      <c r="N35">
        <f t="shared" ref="N35:N66" si="7">RHigh</f>
        <v>1000</v>
      </c>
    </row>
    <row r="36" spans="1:14" ht="16.5" x14ac:dyDescent="0.25">
      <c r="A36" s="50" t="s">
        <v>107</v>
      </c>
      <c r="B36" s="49">
        <v>136.6</v>
      </c>
      <c r="C36" s="49">
        <v>-16</v>
      </c>
      <c r="D36" s="49">
        <v>51.2</v>
      </c>
      <c r="F36" t="s">
        <v>275</v>
      </c>
      <c r="G36">
        <f t="array" ref="G36:I36">1000*B36:D36</f>
        <v>136600</v>
      </c>
      <c r="H36">
        <v>-16000</v>
      </c>
      <c r="I36">
        <v>51200</v>
      </c>
      <c r="J36">
        <f t="shared" si="3"/>
        <v>136600</v>
      </c>
      <c r="K36">
        <f t="shared" si="4"/>
        <v>-16000</v>
      </c>
      <c r="L36">
        <f t="shared" si="5"/>
        <v>52200</v>
      </c>
      <c r="M36">
        <f t="shared" si="6"/>
        <v>100</v>
      </c>
      <c r="N36">
        <f t="shared" si="7"/>
        <v>1000</v>
      </c>
    </row>
    <row r="37" spans="1:14" ht="16.5" x14ac:dyDescent="0.25">
      <c r="A37" s="50" t="s">
        <v>108</v>
      </c>
      <c r="B37" s="49">
        <v>144.6</v>
      </c>
      <c r="C37" s="49">
        <v>7.5</v>
      </c>
      <c r="D37" s="49">
        <v>38.4</v>
      </c>
      <c r="F37" t="s">
        <v>275</v>
      </c>
      <c r="G37">
        <f t="array" ref="G37:I37">1000*B37:D37</f>
        <v>144600</v>
      </c>
      <c r="H37">
        <v>7500</v>
      </c>
      <c r="I37">
        <v>38400</v>
      </c>
      <c r="J37">
        <f t="shared" si="3"/>
        <v>144600</v>
      </c>
      <c r="K37">
        <f t="shared" si="4"/>
        <v>7500</v>
      </c>
      <c r="L37">
        <f t="shared" si="5"/>
        <v>39400</v>
      </c>
      <c r="M37">
        <f t="shared" si="6"/>
        <v>100</v>
      </c>
      <c r="N37">
        <f t="shared" si="7"/>
        <v>1000</v>
      </c>
    </row>
    <row r="38" spans="1:14" ht="16.5" x14ac:dyDescent="0.25">
      <c r="A38" s="41" t="s">
        <v>256</v>
      </c>
      <c r="B38" s="49">
        <v>146.69999999999999</v>
      </c>
      <c r="C38" s="49">
        <v>10.3</v>
      </c>
      <c r="D38" s="49">
        <v>49</v>
      </c>
      <c r="F38" t="s">
        <v>275</v>
      </c>
      <c r="G38">
        <f t="array" ref="G38:I38">1000*B38:D38</f>
        <v>146700</v>
      </c>
      <c r="H38">
        <v>10300</v>
      </c>
      <c r="I38">
        <v>49000</v>
      </c>
      <c r="J38">
        <f t="shared" si="3"/>
        <v>146700</v>
      </c>
      <c r="K38">
        <f t="shared" si="4"/>
        <v>10300</v>
      </c>
      <c r="L38">
        <f t="shared" si="5"/>
        <v>50000</v>
      </c>
      <c r="M38">
        <f t="shared" si="6"/>
        <v>100</v>
      </c>
      <c r="N38">
        <f t="shared" si="7"/>
        <v>1000</v>
      </c>
    </row>
    <row r="39" spans="1:14" ht="16.5" x14ac:dyDescent="0.25">
      <c r="A39" s="41" t="s">
        <v>257</v>
      </c>
      <c r="B39" s="49">
        <v>147.30000000000001</v>
      </c>
      <c r="C39" s="49">
        <v>10.3</v>
      </c>
      <c r="D39" s="49">
        <v>49</v>
      </c>
      <c r="F39" t="s">
        <v>275</v>
      </c>
      <c r="G39">
        <f t="array" ref="G39:I39">1000*B39:D39</f>
        <v>147300</v>
      </c>
      <c r="H39">
        <v>10300</v>
      </c>
      <c r="I39">
        <v>49000</v>
      </c>
      <c r="J39">
        <f t="shared" si="3"/>
        <v>147300</v>
      </c>
      <c r="K39">
        <f t="shared" si="4"/>
        <v>10300</v>
      </c>
      <c r="L39">
        <f t="shared" si="5"/>
        <v>50000</v>
      </c>
      <c r="M39">
        <f t="shared" si="6"/>
        <v>100</v>
      </c>
      <c r="N39">
        <f t="shared" si="7"/>
        <v>1000</v>
      </c>
    </row>
    <row r="40" spans="1:14" ht="16.5" x14ac:dyDescent="0.25">
      <c r="A40" s="41" t="s">
        <v>258</v>
      </c>
      <c r="B40" s="49">
        <v>145</v>
      </c>
      <c r="C40" s="49">
        <v>16.2</v>
      </c>
      <c r="D40" s="49">
        <v>55.4</v>
      </c>
      <c r="F40" t="s">
        <v>275</v>
      </c>
      <c r="G40">
        <f t="array" ref="G40:I40">1000*B40:D40</f>
        <v>145000</v>
      </c>
      <c r="H40">
        <v>16200</v>
      </c>
      <c r="I40">
        <v>55400</v>
      </c>
      <c r="J40">
        <f t="shared" si="3"/>
        <v>145000</v>
      </c>
      <c r="K40">
        <f t="shared" si="4"/>
        <v>16200</v>
      </c>
      <c r="L40">
        <f t="shared" si="5"/>
        <v>56400</v>
      </c>
      <c r="M40">
        <f t="shared" si="6"/>
        <v>100</v>
      </c>
      <c r="N40">
        <f t="shared" si="7"/>
        <v>1000</v>
      </c>
    </row>
    <row r="41" spans="1:14" ht="16.5" x14ac:dyDescent="0.25">
      <c r="A41" s="50" t="s">
        <v>109</v>
      </c>
      <c r="B41" s="49">
        <v>145.19999999999999</v>
      </c>
      <c r="C41" s="49">
        <v>20.6</v>
      </c>
      <c r="D41" s="49">
        <v>50.8</v>
      </c>
      <c r="F41" t="s">
        <v>275</v>
      </c>
      <c r="G41">
        <f t="array" ref="G41:I41">1000*B41:D41</f>
        <v>145200</v>
      </c>
      <c r="H41">
        <v>20600</v>
      </c>
      <c r="I41">
        <v>50800</v>
      </c>
      <c r="J41">
        <f t="shared" si="3"/>
        <v>145200</v>
      </c>
      <c r="K41">
        <f t="shared" si="4"/>
        <v>20600</v>
      </c>
      <c r="L41">
        <f t="shared" si="5"/>
        <v>51800</v>
      </c>
      <c r="M41">
        <f t="shared" si="6"/>
        <v>100</v>
      </c>
      <c r="N41">
        <f t="shared" si="7"/>
        <v>1000</v>
      </c>
    </row>
    <row r="42" spans="1:14" ht="16.5" x14ac:dyDescent="0.25">
      <c r="A42" s="50" t="s">
        <v>110</v>
      </c>
      <c r="B42" s="50">
        <v>146.1</v>
      </c>
      <c r="C42" s="49">
        <v>22.2</v>
      </c>
      <c r="D42" s="49">
        <v>38.4</v>
      </c>
      <c r="F42" t="s">
        <v>275</v>
      </c>
      <c r="G42">
        <f t="array" ref="G42:I42">1000*B42:D42</f>
        <v>146100</v>
      </c>
      <c r="H42">
        <v>22200</v>
      </c>
      <c r="I42">
        <v>38400</v>
      </c>
      <c r="J42">
        <f t="shared" si="3"/>
        <v>146100</v>
      </c>
      <c r="K42">
        <f t="shared" si="4"/>
        <v>22200</v>
      </c>
      <c r="L42">
        <f t="shared" si="5"/>
        <v>39400</v>
      </c>
      <c r="M42">
        <f t="shared" si="6"/>
        <v>100</v>
      </c>
      <c r="N42">
        <f t="shared" si="7"/>
        <v>1000</v>
      </c>
    </row>
    <row r="43" spans="1:14" ht="16.5" x14ac:dyDescent="0.25">
      <c r="A43" s="50" t="s">
        <v>111</v>
      </c>
      <c r="B43" s="50">
        <v>150</v>
      </c>
      <c r="C43" s="49">
        <v>20.8</v>
      </c>
      <c r="D43" s="49">
        <v>53</v>
      </c>
      <c r="F43" t="s">
        <v>275</v>
      </c>
      <c r="G43">
        <f t="array" ref="G43:I43">1000*B43:D43</f>
        <v>150000</v>
      </c>
      <c r="H43">
        <v>20800</v>
      </c>
      <c r="I43">
        <v>53000</v>
      </c>
      <c r="J43">
        <f t="shared" si="3"/>
        <v>150000</v>
      </c>
      <c r="K43">
        <f t="shared" si="4"/>
        <v>20800</v>
      </c>
      <c r="L43">
        <f t="shared" si="5"/>
        <v>54000</v>
      </c>
      <c r="M43">
        <f t="shared" si="6"/>
        <v>100</v>
      </c>
      <c r="N43">
        <f t="shared" si="7"/>
        <v>1000</v>
      </c>
    </row>
    <row r="44" spans="1:14" ht="16.5" x14ac:dyDescent="0.25">
      <c r="A44" s="50" t="s">
        <v>112</v>
      </c>
      <c r="B44" s="50">
        <v>151.5</v>
      </c>
      <c r="C44" s="49">
        <v>21.9</v>
      </c>
      <c r="D44" s="49">
        <v>45</v>
      </c>
      <c r="F44" t="s">
        <v>275</v>
      </c>
      <c r="G44">
        <f t="array" ref="G44:I44">1000*B44:D44</f>
        <v>151500</v>
      </c>
      <c r="H44">
        <v>21900</v>
      </c>
      <c r="I44">
        <v>45000</v>
      </c>
      <c r="J44">
        <f t="shared" si="3"/>
        <v>151500</v>
      </c>
      <c r="K44">
        <f t="shared" si="4"/>
        <v>21900</v>
      </c>
      <c r="L44">
        <f t="shared" si="5"/>
        <v>46000</v>
      </c>
      <c r="M44">
        <f t="shared" si="6"/>
        <v>100</v>
      </c>
      <c r="N44">
        <f t="shared" si="7"/>
        <v>1000</v>
      </c>
    </row>
    <row r="45" spans="1:14" ht="16.5" x14ac:dyDescent="0.25">
      <c r="A45" s="50" t="s">
        <v>113</v>
      </c>
      <c r="B45" s="50">
        <v>145</v>
      </c>
      <c r="C45" s="49">
        <v>16</v>
      </c>
      <c r="D45" s="49">
        <v>44.6</v>
      </c>
      <c r="F45" t="s">
        <v>275</v>
      </c>
      <c r="G45">
        <f t="array" ref="G45:I45">1000*B45:D45</f>
        <v>145000</v>
      </c>
      <c r="H45">
        <v>16000</v>
      </c>
      <c r="I45">
        <v>44600</v>
      </c>
      <c r="J45">
        <f t="shared" si="3"/>
        <v>145000</v>
      </c>
      <c r="K45">
        <f t="shared" si="4"/>
        <v>16000</v>
      </c>
      <c r="L45">
        <f t="shared" si="5"/>
        <v>45600</v>
      </c>
      <c r="M45">
        <f t="shared" si="6"/>
        <v>100</v>
      </c>
      <c r="N45">
        <f t="shared" si="7"/>
        <v>1000</v>
      </c>
    </row>
    <row r="46" spans="1:14" ht="16.5" x14ac:dyDescent="0.25">
      <c r="A46" s="50" t="s">
        <v>114</v>
      </c>
      <c r="B46" s="50">
        <v>147</v>
      </c>
      <c r="C46" s="49">
        <v>15.5</v>
      </c>
      <c r="D46" s="49">
        <v>35.700000000000003</v>
      </c>
      <c r="F46" t="s">
        <v>275</v>
      </c>
      <c r="G46">
        <f t="array" ref="G46:I46">1000*B46:D46</f>
        <v>147000</v>
      </c>
      <c r="H46">
        <v>15500</v>
      </c>
      <c r="I46">
        <v>35700</v>
      </c>
      <c r="J46">
        <f t="shared" si="3"/>
        <v>147000</v>
      </c>
      <c r="K46">
        <f t="shared" si="4"/>
        <v>15500</v>
      </c>
      <c r="L46">
        <f t="shared" si="5"/>
        <v>36700</v>
      </c>
      <c r="M46">
        <f t="shared" si="6"/>
        <v>100</v>
      </c>
      <c r="N46">
        <f t="shared" si="7"/>
        <v>1000</v>
      </c>
    </row>
    <row r="47" spans="1:14" ht="16.5" x14ac:dyDescent="0.25">
      <c r="A47" s="41" t="s">
        <v>263</v>
      </c>
      <c r="B47" s="50">
        <v>180.1</v>
      </c>
      <c r="C47" s="49">
        <v>13.2</v>
      </c>
      <c r="D47" s="49">
        <v>47.8</v>
      </c>
      <c r="F47" t="s">
        <v>275</v>
      </c>
      <c r="G47">
        <f t="array" ref="G47:I47">1000*B47:D47</f>
        <v>180100</v>
      </c>
      <c r="H47">
        <v>13200</v>
      </c>
      <c r="I47">
        <v>47800</v>
      </c>
      <c r="J47">
        <f t="shared" si="3"/>
        <v>180100</v>
      </c>
      <c r="K47">
        <f t="shared" si="4"/>
        <v>13200</v>
      </c>
      <c r="L47">
        <f t="shared" si="5"/>
        <v>48800</v>
      </c>
      <c r="M47">
        <f t="shared" si="6"/>
        <v>100</v>
      </c>
      <c r="N47">
        <f t="shared" si="7"/>
        <v>1000</v>
      </c>
    </row>
    <row r="48" spans="1:14" ht="16.5" x14ac:dyDescent="0.25">
      <c r="A48" s="41" t="s">
        <v>260</v>
      </c>
      <c r="B48" s="50">
        <v>178.5</v>
      </c>
      <c r="C48" s="49">
        <v>13.1</v>
      </c>
      <c r="D48" s="49">
        <v>48.2</v>
      </c>
      <c r="F48" t="s">
        <v>275</v>
      </c>
      <c r="G48">
        <f t="array" ref="G48:I48">1000*B48:D48</f>
        <v>178500</v>
      </c>
      <c r="H48">
        <v>13100</v>
      </c>
      <c r="I48">
        <v>48200</v>
      </c>
      <c r="J48">
        <f t="shared" si="3"/>
        <v>178500</v>
      </c>
      <c r="K48">
        <f t="shared" si="4"/>
        <v>13100</v>
      </c>
      <c r="L48">
        <f t="shared" si="5"/>
        <v>49200</v>
      </c>
      <c r="M48">
        <f t="shared" si="6"/>
        <v>100</v>
      </c>
      <c r="N48">
        <f t="shared" si="7"/>
        <v>1000</v>
      </c>
    </row>
    <row r="49" spans="1:14" ht="16.5" x14ac:dyDescent="0.25">
      <c r="A49" s="41" t="s">
        <v>259</v>
      </c>
      <c r="B49" s="50">
        <v>173.5</v>
      </c>
      <c r="C49" s="49">
        <v>11.6</v>
      </c>
      <c r="D49" s="49">
        <v>38.799999999999997</v>
      </c>
      <c r="F49" t="s">
        <v>275</v>
      </c>
      <c r="G49">
        <f t="array" ref="G49:I49">1000*B49:D49</f>
        <v>173500</v>
      </c>
      <c r="H49">
        <v>11600</v>
      </c>
      <c r="I49">
        <v>38800</v>
      </c>
      <c r="J49">
        <f t="shared" si="3"/>
        <v>173500</v>
      </c>
      <c r="K49">
        <f t="shared" si="4"/>
        <v>11600</v>
      </c>
      <c r="L49">
        <f t="shared" si="5"/>
        <v>39800</v>
      </c>
      <c r="M49">
        <f t="shared" si="6"/>
        <v>100</v>
      </c>
      <c r="N49">
        <f t="shared" si="7"/>
        <v>1000</v>
      </c>
    </row>
    <row r="50" spans="1:14" ht="16.5" x14ac:dyDescent="0.25">
      <c r="A50" s="50" t="s">
        <v>115</v>
      </c>
      <c r="B50" s="49">
        <v>174.8</v>
      </c>
      <c r="C50" s="49">
        <v>10.1</v>
      </c>
      <c r="D50" s="49">
        <v>47</v>
      </c>
      <c r="F50" t="s">
        <v>275</v>
      </c>
      <c r="G50">
        <f t="array" ref="G50:I50">1000*B50:D50</f>
        <v>174800</v>
      </c>
      <c r="H50">
        <v>10100</v>
      </c>
      <c r="I50">
        <v>47000</v>
      </c>
      <c r="J50">
        <f t="shared" si="3"/>
        <v>174800</v>
      </c>
      <c r="K50">
        <f t="shared" si="4"/>
        <v>10100</v>
      </c>
      <c r="L50">
        <f t="shared" si="5"/>
        <v>48000</v>
      </c>
      <c r="M50">
        <f t="shared" si="6"/>
        <v>100</v>
      </c>
      <c r="N50">
        <f t="shared" si="7"/>
        <v>1000</v>
      </c>
    </row>
    <row r="51" spans="1:14" ht="16.5" x14ac:dyDescent="0.25">
      <c r="A51" s="50" t="s">
        <v>116</v>
      </c>
      <c r="B51" s="49">
        <v>188.9</v>
      </c>
      <c r="C51" s="49">
        <v>24.5</v>
      </c>
      <c r="D51" s="49">
        <v>45</v>
      </c>
      <c r="F51" t="s">
        <v>275</v>
      </c>
      <c r="G51">
        <f t="array" ref="G51:I51">1000*B51:D51</f>
        <v>188900</v>
      </c>
      <c r="H51">
        <v>24500</v>
      </c>
      <c r="I51">
        <v>45000</v>
      </c>
      <c r="J51">
        <f t="shared" si="3"/>
        <v>188900</v>
      </c>
      <c r="K51">
        <f t="shared" si="4"/>
        <v>24500</v>
      </c>
      <c r="L51">
        <f t="shared" si="5"/>
        <v>46000</v>
      </c>
      <c r="M51">
        <f t="shared" si="6"/>
        <v>100</v>
      </c>
      <c r="N51">
        <f t="shared" si="7"/>
        <v>1000</v>
      </c>
    </row>
    <row r="52" spans="1:14" ht="16.5" x14ac:dyDescent="0.25">
      <c r="A52" s="50" t="s">
        <v>117</v>
      </c>
      <c r="B52" s="49">
        <v>210.7</v>
      </c>
      <c r="C52" s="49">
        <v>13.2</v>
      </c>
      <c r="D52" s="49">
        <v>39.5</v>
      </c>
      <c r="F52" t="s">
        <v>275</v>
      </c>
      <c r="G52">
        <f t="array" ref="G52:I52">1000*B52:D52</f>
        <v>210700</v>
      </c>
      <c r="H52">
        <v>13200</v>
      </c>
      <c r="I52">
        <v>39500</v>
      </c>
      <c r="J52">
        <f t="shared" si="3"/>
        <v>210700</v>
      </c>
      <c r="K52">
        <f t="shared" si="4"/>
        <v>13200</v>
      </c>
      <c r="L52">
        <f t="shared" si="5"/>
        <v>40500</v>
      </c>
      <c r="M52">
        <f t="shared" si="6"/>
        <v>100</v>
      </c>
      <c r="N52">
        <f t="shared" si="7"/>
        <v>1000</v>
      </c>
    </row>
    <row r="53" spans="1:14" ht="16.5" x14ac:dyDescent="0.25">
      <c r="A53" s="50" t="s">
        <v>118</v>
      </c>
      <c r="B53" s="49">
        <v>205.1</v>
      </c>
      <c r="C53" s="49">
        <v>10.5</v>
      </c>
      <c r="D53" s="49">
        <v>36.1</v>
      </c>
      <c r="F53" t="s">
        <v>275</v>
      </c>
      <c r="G53">
        <f t="array" ref="G53:I53">1000*B53:D53</f>
        <v>205100</v>
      </c>
      <c r="H53">
        <v>10500</v>
      </c>
      <c r="I53">
        <v>36100</v>
      </c>
      <c r="J53">
        <f t="shared" si="3"/>
        <v>205100</v>
      </c>
      <c r="K53">
        <f t="shared" si="4"/>
        <v>10500</v>
      </c>
      <c r="L53">
        <f t="shared" si="5"/>
        <v>37100</v>
      </c>
      <c r="M53">
        <f t="shared" si="6"/>
        <v>100</v>
      </c>
      <c r="N53">
        <f t="shared" si="7"/>
        <v>1000</v>
      </c>
    </row>
    <row r="54" spans="1:14" ht="16.5" x14ac:dyDescent="0.25">
      <c r="A54" s="50" t="s">
        <v>119</v>
      </c>
      <c r="B54" s="49">
        <v>207.6</v>
      </c>
      <c r="C54" s="49">
        <v>21.2</v>
      </c>
      <c r="D54" s="49">
        <v>36.5</v>
      </c>
      <c r="F54" t="s">
        <v>275</v>
      </c>
      <c r="G54">
        <f t="array" ref="G54:I54">1000*B54:D54</f>
        <v>207600</v>
      </c>
      <c r="H54">
        <v>21200</v>
      </c>
      <c r="I54">
        <v>36500</v>
      </c>
      <c r="J54">
        <f t="shared" si="3"/>
        <v>207600</v>
      </c>
      <c r="K54">
        <f t="shared" si="4"/>
        <v>21200</v>
      </c>
      <c r="L54">
        <f t="shared" si="5"/>
        <v>37500</v>
      </c>
      <c r="M54">
        <f t="shared" si="6"/>
        <v>100</v>
      </c>
      <c r="N54">
        <f t="shared" si="7"/>
        <v>1000</v>
      </c>
    </row>
    <row r="55" spans="1:14" ht="16.5" x14ac:dyDescent="0.25">
      <c r="A55" s="50" t="s">
        <v>120</v>
      </c>
      <c r="B55" s="49">
        <v>206.1</v>
      </c>
      <c r="C55" s="49">
        <v>23.2</v>
      </c>
      <c r="D55" s="49">
        <v>34.299999999999997</v>
      </c>
      <c r="F55" t="s">
        <v>275</v>
      </c>
      <c r="G55">
        <f t="array" ref="G55:I55">1000*B55:D55</f>
        <v>206100</v>
      </c>
      <c r="H55">
        <v>23200</v>
      </c>
      <c r="I55">
        <v>34300</v>
      </c>
      <c r="J55">
        <f t="shared" si="3"/>
        <v>206100</v>
      </c>
      <c r="K55">
        <f t="shared" si="4"/>
        <v>23200</v>
      </c>
      <c r="L55">
        <f t="shared" si="5"/>
        <v>35300</v>
      </c>
      <c r="M55">
        <f t="shared" si="6"/>
        <v>100</v>
      </c>
      <c r="N55">
        <f t="shared" si="7"/>
        <v>1000</v>
      </c>
    </row>
    <row r="56" spans="1:14" ht="16.5" x14ac:dyDescent="0.25">
      <c r="A56" s="50" t="s">
        <v>121</v>
      </c>
      <c r="B56" s="50">
        <v>127.4</v>
      </c>
      <c r="C56" s="50">
        <v>22.2</v>
      </c>
      <c r="D56" s="50">
        <v>45.1</v>
      </c>
      <c r="F56" t="s">
        <v>275</v>
      </c>
      <c r="G56">
        <f t="array" ref="G56:I56">1000*B56:D56</f>
        <v>127400</v>
      </c>
      <c r="H56">
        <v>22200</v>
      </c>
      <c r="I56">
        <v>45100</v>
      </c>
      <c r="J56">
        <f t="shared" si="3"/>
        <v>127400</v>
      </c>
      <c r="K56">
        <f t="shared" si="4"/>
        <v>22200</v>
      </c>
      <c r="L56">
        <f t="shared" si="5"/>
        <v>46100</v>
      </c>
      <c r="M56">
        <f t="shared" si="6"/>
        <v>100</v>
      </c>
      <c r="N56">
        <f t="shared" si="7"/>
        <v>1000</v>
      </c>
    </row>
    <row r="57" spans="1:14" ht="16.5" x14ac:dyDescent="0.25">
      <c r="A57" s="49" t="s">
        <v>138</v>
      </c>
      <c r="B57" s="49">
        <v>133.69999999999999</v>
      </c>
      <c r="C57" s="49">
        <v>11.1</v>
      </c>
      <c r="D57" s="49">
        <v>45.4</v>
      </c>
      <c r="F57" t="s">
        <v>275</v>
      </c>
      <c r="G57">
        <f t="array" ref="G57:I57">1000*B57:D57</f>
        <v>133700</v>
      </c>
      <c r="H57">
        <v>11100</v>
      </c>
      <c r="I57">
        <v>45400</v>
      </c>
      <c r="J57">
        <f t="shared" si="3"/>
        <v>133700</v>
      </c>
      <c r="K57">
        <f t="shared" si="4"/>
        <v>11100</v>
      </c>
      <c r="L57">
        <f t="shared" si="5"/>
        <v>46400</v>
      </c>
      <c r="M57">
        <f t="shared" si="6"/>
        <v>100</v>
      </c>
      <c r="N57">
        <f t="shared" si="7"/>
        <v>1000</v>
      </c>
    </row>
    <row r="58" spans="1:14" ht="16.5" x14ac:dyDescent="0.25">
      <c r="A58" s="49" t="s">
        <v>122</v>
      </c>
      <c r="B58" s="49">
        <v>125.5</v>
      </c>
      <c r="C58" s="49">
        <v>8.5</v>
      </c>
      <c r="D58" s="49">
        <v>44.8</v>
      </c>
      <c r="F58" t="s">
        <v>275</v>
      </c>
      <c r="G58">
        <f t="array" ref="G58:I58">1000*B58:D58</f>
        <v>125500</v>
      </c>
      <c r="H58">
        <v>8500</v>
      </c>
      <c r="I58">
        <v>44800</v>
      </c>
      <c r="J58">
        <f t="shared" si="3"/>
        <v>125500</v>
      </c>
      <c r="K58">
        <f t="shared" si="4"/>
        <v>8500</v>
      </c>
      <c r="L58">
        <f t="shared" si="5"/>
        <v>45800</v>
      </c>
      <c r="M58">
        <f t="shared" si="6"/>
        <v>100</v>
      </c>
      <c r="N58">
        <f t="shared" si="7"/>
        <v>1000</v>
      </c>
    </row>
    <row r="59" spans="1:14" ht="16.5" x14ac:dyDescent="0.25">
      <c r="A59" s="47" t="s">
        <v>123</v>
      </c>
      <c r="B59" s="47">
        <v>122</v>
      </c>
      <c r="C59" s="47">
        <v>7.2</v>
      </c>
      <c r="D59" s="47">
        <v>39.700000000000003</v>
      </c>
      <c r="F59" t="s">
        <v>275</v>
      </c>
      <c r="G59">
        <f t="array" ref="G59:I59">1000*B59:D59</f>
        <v>122000</v>
      </c>
      <c r="H59">
        <v>7200</v>
      </c>
      <c r="I59">
        <v>39700</v>
      </c>
      <c r="J59">
        <f t="shared" si="3"/>
        <v>122000</v>
      </c>
      <c r="K59">
        <f t="shared" si="4"/>
        <v>7200</v>
      </c>
      <c r="L59">
        <f t="shared" si="5"/>
        <v>40700</v>
      </c>
      <c r="M59">
        <f t="shared" si="6"/>
        <v>100</v>
      </c>
      <c r="N59">
        <f t="shared" si="7"/>
        <v>1000</v>
      </c>
    </row>
    <row r="60" spans="1:14" ht="16.5" x14ac:dyDescent="0.25">
      <c r="A60" s="49" t="s">
        <v>124</v>
      </c>
      <c r="B60" s="49">
        <v>129.1</v>
      </c>
      <c r="C60" s="49">
        <v>7.1</v>
      </c>
      <c r="D60" s="49">
        <v>44.6</v>
      </c>
      <c r="F60" t="s">
        <v>275</v>
      </c>
      <c r="G60">
        <f t="array" ref="G60:I60">1000*B60:D60</f>
        <v>129100</v>
      </c>
      <c r="H60">
        <v>7100</v>
      </c>
      <c r="I60">
        <v>44600</v>
      </c>
      <c r="J60">
        <f t="shared" si="3"/>
        <v>129100</v>
      </c>
      <c r="K60">
        <f t="shared" si="4"/>
        <v>7100</v>
      </c>
      <c r="L60">
        <f t="shared" si="5"/>
        <v>45600</v>
      </c>
      <c r="M60">
        <f t="shared" si="6"/>
        <v>100</v>
      </c>
      <c r="N60">
        <f t="shared" si="7"/>
        <v>1000</v>
      </c>
    </row>
    <row r="61" spans="1:14" ht="16.5" x14ac:dyDescent="0.25">
      <c r="A61" s="49" t="s">
        <v>125</v>
      </c>
      <c r="B61" s="49">
        <v>77.900000000000006</v>
      </c>
      <c r="C61" s="49">
        <v>-22.2</v>
      </c>
      <c r="D61" s="49">
        <v>35.5</v>
      </c>
      <c r="F61" t="s">
        <v>275</v>
      </c>
      <c r="G61">
        <f t="array" ref="G61:I61">1000*B61:D61</f>
        <v>77900</v>
      </c>
      <c r="H61">
        <v>-22200</v>
      </c>
      <c r="I61">
        <v>35500</v>
      </c>
      <c r="J61">
        <f t="shared" si="3"/>
        <v>77900</v>
      </c>
      <c r="K61">
        <f t="shared" si="4"/>
        <v>-22200</v>
      </c>
      <c r="L61">
        <f t="shared" si="5"/>
        <v>36500</v>
      </c>
      <c r="M61">
        <f t="shared" si="6"/>
        <v>100</v>
      </c>
      <c r="N61">
        <f t="shared" si="7"/>
        <v>1000</v>
      </c>
    </row>
    <row r="62" spans="1:14" ht="16.5" x14ac:dyDescent="0.25">
      <c r="A62" s="49" t="s">
        <v>126</v>
      </c>
      <c r="B62" s="49">
        <v>114.4</v>
      </c>
      <c r="C62" s="49">
        <v>19.8</v>
      </c>
      <c r="D62" s="49">
        <v>47.4</v>
      </c>
      <c r="F62" t="s">
        <v>275</v>
      </c>
      <c r="G62">
        <f t="array" ref="G62:I62">1000*B62:D62</f>
        <v>114400</v>
      </c>
      <c r="H62">
        <v>19800</v>
      </c>
      <c r="I62">
        <v>47400</v>
      </c>
      <c r="J62">
        <f t="shared" si="3"/>
        <v>114400</v>
      </c>
      <c r="K62">
        <f t="shared" si="4"/>
        <v>19800</v>
      </c>
      <c r="L62">
        <f t="shared" si="5"/>
        <v>48400</v>
      </c>
      <c r="M62">
        <f t="shared" si="6"/>
        <v>100</v>
      </c>
      <c r="N62">
        <f t="shared" si="7"/>
        <v>1000</v>
      </c>
    </row>
    <row r="63" spans="1:14" ht="16.5" x14ac:dyDescent="0.25">
      <c r="A63" s="49" t="s">
        <v>127</v>
      </c>
      <c r="B63" s="49">
        <v>117.5</v>
      </c>
      <c r="C63" s="49">
        <v>17.3</v>
      </c>
      <c r="D63" s="49">
        <v>45.7</v>
      </c>
      <c r="F63" t="s">
        <v>275</v>
      </c>
      <c r="G63">
        <f t="array" ref="G63:I63">1000*B63:D63</f>
        <v>117500</v>
      </c>
      <c r="H63">
        <v>17300</v>
      </c>
      <c r="I63">
        <v>45700</v>
      </c>
      <c r="J63">
        <f t="shared" si="3"/>
        <v>117500</v>
      </c>
      <c r="K63">
        <f t="shared" si="4"/>
        <v>17300</v>
      </c>
      <c r="L63">
        <f t="shared" si="5"/>
        <v>46700</v>
      </c>
      <c r="M63">
        <f t="shared" si="6"/>
        <v>100</v>
      </c>
      <c r="N63">
        <f t="shared" si="7"/>
        <v>1000</v>
      </c>
    </row>
    <row r="64" spans="1:14" ht="16.5" x14ac:dyDescent="0.25">
      <c r="A64" s="49" t="s">
        <v>128</v>
      </c>
      <c r="B64" s="49">
        <v>102.8</v>
      </c>
      <c r="C64" s="49">
        <v>9.1999999999999993</v>
      </c>
      <c r="D64" s="49">
        <v>35.5</v>
      </c>
      <c r="F64" t="s">
        <v>275</v>
      </c>
      <c r="G64">
        <f t="array" ref="G64:I64">1000*B64:D64</f>
        <v>102800</v>
      </c>
      <c r="H64">
        <v>9200</v>
      </c>
      <c r="I64">
        <v>35500</v>
      </c>
      <c r="J64">
        <f t="shared" si="3"/>
        <v>102800</v>
      </c>
      <c r="K64">
        <f t="shared" si="4"/>
        <v>9200</v>
      </c>
      <c r="L64">
        <f t="shared" si="5"/>
        <v>36500</v>
      </c>
      <c r="M64">
        <f t="shared" si="6"/>
        <v>100</v>
      </c>
      <c r="N64">
        <f t="shared" si="7"/>
        <v>1000</v>
      </c>
    </row>
    <row r="65" spans="1:14" ht="16.5" x14ac:dyDescent="0.25">
      <c r="A65" s="49" t="s">
        <v>129</v>
      </c>
      <c r="B65" s="50">
        <v>103.1</v>
      </c>
      <c r="C65" s="50">
        <v>14.6</v>
      </c>
      <c r="D65" s="50">
        <v>35.700000000000003</v>
      </c>
      <c r="F65" t="s">
        <v>275</v>
      </c>
      <c r="G65">
        <f t="array" ref="G65:I65">1000*B65:D65</f>
        <v>103100</v>
      </c>
      <c r="H65">
        <v>14600</v>
      </c>
      <c r="I65">
        <v>35700</v>
      </c>
      <c r="J65">
        <f t="shared" si="3"/>
        <v>103100</v>
      </c>
      <c r="K65">
        <f t="shared" si="4"/>
        <v>14600</v>
      </c>
      <c r="L65">
        <f t="shared" si="5"/>
        <v>36700</v>
      </c>
      <c r="M65">
        <f t="shared" si="6"/>
        <v>100</v>
      </c>
      <c r="N65">
        <f t="shared" si="7"/>
        <v>1000</v>
      </c>
    </row>
    <row r="66" spans="1:14" ht="16.5" x14ac:dyDescent="0.25">
      <c r="A66" s="49" t="s">
        <v>130</v>
      </c>
      <c r="B66" s="47">
        <v>115.3</v>
      </c>
      <c r="C66" s="47">
        <v>3.5</v>
      </c>
      <c r="D66" s="47">
        <v>43.5</v>
      </c>
      <c r="F66" t="s">
        <v>275</v>
      </c>
      <c r="G66">
        <f t="array" ref="G66:I66">1000*B66:D66</f>
        <v>115300</v>
      </c>
      <c r="H66">
        <v>3500</v>
      </c>
      <c r="I66">
        <v>43500</v>
      </c>
      <c r="J66">
        <f t="shared" si="3"/>
        <v>115300</v>
      </c>
      <c r="K66">
        <f t="shared" si="4"/>
        <v>3500</v>
      </c>
      <c r="L66">
        <f t="shared" si="5"/>
        <v>44500</v>
      </c>
      <c r="M66">
        <f t="shared" si="6"/>
        <v>100</v>
      </c>
      <c r="N66">
        <f t="shared" si="7"/>
        <v>1000</v>
      </c>
    </row>
    <row r="67" spans="1:14" ht="16.5" x14ac:dyDescent="0.25">
      <c r="A67" s="49" t="s">
        <v>131</v>
      </c>
      <c r="B67" s="47">
        <v>115</v>
      </c>
      <c r="C67" s="47">
        <v>4.8</v>
      </c>
      <c r="D67" s="47">
        <v>42.8</v>
      </c>
      <c r="F67" t="s">
        <v>275</v>
      </c>
      <c r="G67">
        <f t="array" ref="G67:I67">1000*B67:D67</f>
        <v>115000</v>
      </c>
      <c r="H67">
        <v>4800</v>
      </c>
      <c r="I67">
        <v>42800</v>
      </c>
      <c r="J67">
        <f t="shared" si="3"/>
        <v>115000</v>
      </c>
      <c r="K67">
        <f t="shared" si="4"/>
        <v>4800</v>
      </c>
      <c r="L67">
        <f t="shared" ref="L67:L80" si="8">I67+FH</f>
        <v>43800</v>
      </c>
      <c r="M67">
        <f t="shared" ref="M67:M80" si="9">RLow</f>
        <v>100</v>
      </c>
      <c r="N67">
        <f t="shared" ref="N67:N80" si="10">RHigh</f>
        <v>1000</v>
      </c>
    </row>
    <row r="68" spans="1:14" ht="16.5" x14ac:dyDescent="0.25">
      <c r="A68" s="49" t="s">
        <v>132</v>
      </c>
      <c r="B68" s="49">
        <v>213.1</v>
      </c>
      <c r="C68" s="49">
        <v>-21.4</v>
      </c>
      <c r="D68" s="49">
        <v>29.9</v>
      </c>
      <c r="F68" t="s">
        <v>275</v>
      </c>
      <c r="G68">
        <f t="array" ref="G68:I68">1000*B68:D68</f>
        <v>213100</v>
      </c>
      <c r="H68">
        <v>-21400</v>
      </c>
      <c r="I68">
        <v>29900</v>
      </c>
      <c r="J68">
        <f t="shared" ref="J68:J80" si="11">G68</f>
        <v>213100</v>
      </c>
      <c r="K68">
        <f t="shared" ref="K68:K80" si="12">H68</f>
        <v>-21400</v>
      </c>
      <c r="L68">
        <f t="shared" si="8"/>
        <v>30900</v>
      </c>
      <c r="M68">
        <f t="shared" si="9"/>
        <v>100</v>
      </c>
      <c r="N68">
        <f t="shared" si="10"/>
        <v>1000</v>
      </c>
    </row>
    <row r="69" spans="1:14" ht="16.5" x14ac:dyDescent="0.25">
      <c r="A69" s="49" t="s">
        <v>133</v>
      </c>
      <c r="B69" s="49">
        <v>158.69999999999999</v>
      </c>
      <c r="C69" s="49">
        <v>4.0999999999999996</v>
      </c>
      <c r="D69" s="49">
        <v>32.9</v>
      </c>
      <c r="F69" t="s">
        <v>275</v>
      </c>
      <c r="G69">
        <f t="array" ref="G69:I69">1000*B69:D69</f>
        <v>158700</v>
      </c>
      <c r="H69">
        <v>4100</v>
      </c>
      <c r="I69">
        <v>32900</v>
      </c>
      <c r="J69">
        <f t="shared" si="11"/>
        <v>158700</v>
      </c>
      <c r="K69">
        <f t="shared" si="12"/>
        <v>4100</v>
      </c>
      <c r="L69">
        <f t="shared" si="8"/>
        <v>33900</v>
      </c>
      <c r="M69">
        <f t="shared" si="9"/>
        <v>100</v>
      </c>
      <c r="N69">
        <f t="shared" si="10"/>
        <v>1000</v>
      </c>
    </row>
    <row r="70" spans="1:14" ht="16.5" x14ac:dyDescent="0.25">
      <c r="A70" s="49" t="s">
        <v>134</v>
      </c>
      <c r="B70" s="49">
        <v>152.30000000000001</v>
      </c>
      <c r="C70" s="49">
        <v>3.8</v>
      </c>
      <c r="D70" s="49">
        <v>32.200000000000003</v>
      </c>
      <c r="F70" t="s">
        <v>275</v>
      </c>
      <c r="G70">
        <f t="array" ref="G70:I70">1000*B70:D70</f>
        <v>152300</v>
      </c>
      <c r="H70">
        <v>3800</v>
      </c>
      <c r="I70">
        <v>32200.000000000004</v>
      </c>
      <c r="J70">
        <f t="shared" si="11"/>
        <v>152300</v>
      </c>
      <c r="K70">
        <f t="shared" si="12"/>
        <v>3800</v>
      </c>
      <c r="L70">
        <f t="shared" si="8"/>
        <v>33200</v>
      </c>
      <c r="M70">
        <f t="shared" si="9"/>
        <v>100</v>
      </c>
      <c r="N70">
        <f t="shared" si="10"/>
        <v>1000</v>
      </c>
    </row>
    <row r="71" spans="1:14" ht="16.5" x14ac:dyDescent="0.25">
      <c r="A71" s="50" t="s">
        <v>209</v>
      </c>
      <c r="B71" s="49">
        <v>103</v>
      </c>
      <c r="C71" s="49">
        <v>-23</v>
      </c>
      <c r="D71" s="49">
        <v>37.799999999999997</v>
      </c>
      <c r="F71" t="s">
        <v>275</v>
      </c>
      <c r="G71">
        <f t="array" ref="G71:I71">1000*B71:D71</f>
        <v>103000</v>
      </c>
      <c r="H71">
        <v>-23000</v>
      </c>
      <c r="I71">
        <v>37800</v>
      </c>
      <c r="J71">
        <f t="shared" si="11"/>
        <v>103000</v>
      </c>
      <c r="K71">
        <f t="shared" si="12"/>
        <v>-23000</v>
      </c>
      <c r="L71">
        <f t="shared" si="8"/>
        <v>38800</v>
      </c>
      <c r="M71">
        <f t="shared" si="9"/>
        <v>100</v>
      </c>
      <c r="N71">
        <f t="shared" si="10"/>
        <v>1000</v>
      </c>
    </row>
    <row r="72" spans="1:14" ht="16.5" x14ac:dyDescent="0.25">
      <c r="A72" s="50" t="s">
        <v>210</v>
      </c>
      <c r="B72" s="49">
        <v>77.2</v>
      </c>
      <c r="C72" s="49">
        <v>-23.3</v>
      </c>
      <c r="D72" s="49">
        <v>35.5</v>
      </c>
      <c r="F72" t="s">
        <v>275</v>
      </c>
      <c r="G72">
        <f t="array" ref="G72:I72">1000*B72:D72</f>
        <v>77200</v>
      </c>
      <c r="H72">
        <v>-23300</v>
      </c>
      <c r="I72">
        <v>35500</v>
      </c>
      <c r="J72">
        <f t="shared" si="11"/>
        <v>77200</v>
      </c>
      <c r="K72">
        <f t="shared" si="12"/>
        <v>-23300</v>
      </c>
      <c r="L72">
        <f t="shared" si="8"/>
        <v>36500</v>
      </c>
      <c r="M72">
        <f t="shared" si="9"/>
        <v>100</v>
      </c>
      <c r="N72">
        <f t="shared" si="10"/>
        <v>1000</v>
      </c>
    </row>
    <row r="73" spans="1:14" ht="16.5" x14ac:dyDescent="0.25">
      <c r="A73" s="49" t="s">
        <v>217</v>
      </c>
      <c r="B73" s="49">
        <v>158.30000000000001</v>
      </c>
      <c r="C73" s="49">
        <v>8.5</v>
      </c>
      <c r="D73" s="49">
        <v>30</v>
      </c>
      <c r="F73" t="s">
        <v>275</v>
      </c>
      <c r="G73">
        <f t="array" ref="G73:I73">1000*B73:D73</f>
        <v>158300</v>
      </c>
      <c r="H73">
        <v>8500</v>
      </c>
      <c r="I73">
        <v>30000</v>
      </c>
      <c r="J73">
        <f t="shared" si="11"/>
        <v>158300</v>
      </c>
      <c r="K73">
        <f t="shared" si="12"/>
        <v>8500</v>
      </c>
      <c r="L73">
        <f t="shared" si="8"/>
        <v>31000</v>
      </c>
      <c r="M73">
        <f t="shared" si="9"/>
        <v>100</v>
      </c>
      <c r="N73">
        <f t="shared" si="10"/>
        <v>1000</v>
      </c>
    </row>
    <row r="74" spans="1:14" ht="16.5" x14ac:dyDescent="0.25">
      <c r="A74" s="49" t="s">
        <v>21</v>
      </c>
      <c r="B74" s="49">
        <v>58.1</v>
      </c>
      <c r="C74" s="49">
        <v>8.4</v>
      </c>
      <c r="D74" s="49">
        <v>30</v>
      </c>
      <c r="F74" t="s">
        <v>275</v>
      </c>
      <c r="G74">
        <f t="array" ref="G74:I74">1000*B74:D74</f>
        <v>58100</v>
      </c>
      <c r="H74">
        <v>8400</v>
      </c>
      <c r="I74">
        <v>30000</v>
      </c>
      <c r="J74">
        <f t="shared" si="11"/>
        <v>58100</v>
      </c>
      <c r="K74">
        <f t="shared" si="12"/>
        <v>8400</v>
      </c>
      <c r="L74">
        <f t="shared" si="8"/>
        <v>31000</v>
      </c>
      <c r="M74">
        <f t="shared" si="9"/>
        <v>100</v>
      </c>
      <c r="N74">
        <f t="shared" si="10"/>
        <v>1000</v>
      </c>
    </row>
    <row r="75" spans="1:14" ht="16.5" x14ac:dyDescent="0.25">
      <c r="A75" s="49" t="s">
        <v>22</v>
      </c>
      <c r="B75" s="49">
        <v>158.30000000000001</v>
      </c>
      <c r="C75" s="49">
        <v>-8.5</v>
      </c>
      <c r="D75" s="49">
        <v>30</v>
      </c>
      <c r="F75" t="s">
        <v>275</v>
      </c>
      <c r="G75">
        <f t="array" ref="G75:I75">1000*B75:D75</f>
        <v>158300</v>
      </c>
      <c r="H75">
        <v>-8500</v>
      </c>
      <c r="I75">
        <v>30000</v>
      </c>
      <c r="J75">
        <f t="shared" si="11"/>
        <v>158300</v>
      </c>
      <c r="K75">
        <f t="shared" si="12"/>
        <v>-8500</v>
      </c>
      <c r="L75">
        <f t="shared" si="8"/>
        <v>31000</v>
      </c>
      <c r="M75">
        <f t="shared" si="9"/>
        <v>100</v>
      </c>
      <c r="N75">
        <f t="shared" si="10"/>
        <v>1000</v>
      </c>
    </row>
    <row r="76" spans="1:14" ht="16.5" x14ac:dyDescent="0.25">
      <c r="A76" s="49" t="s">
        <v>23</v>
      </c>
      <c r="B76" s="49">
        <v>58.1</v>
      </c>
      <c r="C76" s="49">
        <v>-8.4</v>
      </c>
      <c r="D76" s="49">
        <v>30</v>
      </c>
      <c r="F76" t="s">
        <v>275</v>
      </c>
      <c r="G76">
        <f t="array" ref="G76:I76">1000*B76:D76</f>
        <v>58100</v>
      </c>
      <c r="H76">
        <v>-8400</v>
      </c>
      <c r="I76">
        <v>30000</v>
      </c>
      <c r="J76">
        <f t="shared" si="11"/>
        <v>58100</v>
      </c>
      <c r="K76">
        <f t="shared" si="12"/>
        <v>-8400</v>
      </c>
      <c r="L76">
        <f t="shared" si="8"/>
        <v>31000</v>
      </c>
      <c r="M76">
        <f t="shared" si="9"/>
        <v>100</v>
      </c>
      <c r="N76">
        <f t="shared" si="10"/>
        <v>1000</v>
      </c>
    </row>
    <row r="77" spans="1:14" ht="16.5" x14ac:dyDescent="0.25">
      <c r="A77" s="49" t="s">
        <v>218</v>
      </c>
      <c r="B77" s="49">
        <v>158.30000000000001</v>
      </c>
      <c r="C77" s="49">
        <v>10.8</v>
      </c>
      <c r="D77" s="49">
        <v>30</v>
      </c>
      <c r="F77" t="s">
        <v>275</v>
      </c>
      <c r="G77">
        <f t="array" ref="G77:I77">1000*B77:D77</f>
        <v>158300</v>
      </c>
      <c r="H77">
        <v>10800</v>
      </c>
      <c r="I77">
        <v>30000</v>
      </c>
      <c r="J77">
        <f t="shared" si="11"/>
        <v>158300</v>
      </c>
      <c r="K77">
        <f t="shared" si="12"/>
        <v>10800</v>
      </c>
      <c r="L77">
        <f t="shared" si="8"/>
        <v>31000</v>
      </c>
      <c r="M77">
        <f t="shared" si="9"/>
        <v>100</v>
      </c>
      <c r="N77">
        <f t="shared" si="10"/>
        <v>1000</v>
      </c>
    </row>
    <row r="78" spans="1:14" ht="16.5" x14ac:dyDescent="0.25">
      <c r="A78" s="48" t="s">
        <v>24</v>
      </c>
      <c r="B78" s="48">
        <v>58.2</v>
      </c>
      <c r="C78" s="48">
        <v>10.5</v>
      </c>
      <c r="D78" s="49">
        <v>30</v>
      </c>
      <c r="F78" t="s">
        <v>275</v>
      </c>
      <c r="G78">
        <f t="array" ref="G78:I78">1000*B78:D78</f>
        <v>58200</v>
      </c>
      <c r="H78">
        <v>10500</v>
      </c>
      <c r="I78">
        <v>30000</v>
      </c>
      <c r="J78">
        <f t="shared" si="11"/>
        <v>58200</v>
      </c>
      <c r="K78">
        <f t="shared" si="12"/>
        <v>10500</v>
      </c>
      <c r="L78">
        <f t="shared" si="8"/>
        <v>31000</v>
      </c>
      <c r="M78">
        <f t="shared" si="9"/>
        <v>100</v>
      </c>
      <c r="N78">
        <f t="shared" si="10"/>
        <v>1000</v>
      </c>
    </row>
    <row r="79" spans="1:14" ht="16.5" x14ac:dyDescent="0.25">
      <c r="A79" s="48" t="s">
        <v>25</v>
      </c>
      <c r="B79" s="49">
        <v>158.30000000000001</v>
      </c>
      <c r="C79" s="49">
        <v>-10.8</v>
      </c>
      <c r="D79" s="49">
        <v>30</v>
      </c>
      <c r="F79" t="s">
        <v>275</v>
      </c>
      <c r="G79">
        <f t="array" ref="G79:I79">1000*B79:D79</f>
        <v>158300</v>
      </c>
      <c r="H79">
        <v>-10800</v>
      </c>
      <c r="I79">
        <v>30000</v>
      </c>
      <c r="J79">
        <f t="shared" si="11"/>
        <v>158300</v>
      </c>
      <c r="K79">
        <f t="shared" si="12"/>
        <v>-10800</v>
      </c>
      <c r="L79">
        <f t="shared" si="8"/>
        <v>31000</v>
      </c>
      <c r="M79">
        <f t="shared" si="9"/>
        <v>100</v>
      </c>
      <c r="N79">
        <f t="shared" si="10"/>
        <v>1000</v>
      </c>
    </row>
    <row r="80" spans="1:14" ht="16.5" x14ac:dyDescent="0.25">
      <c r="A80" s="48" t="s">
        <v>26</v>
      </c>
      <c r="B80" s="48">
        <v>58.2</v>
      </c>
      <c r="C80" s="48">
        <v>-10.5</v>
      </c>
      <c r="D80" s="49">
        <v>30</v>
      </c>
      <c r="F80" t="s">
        <v>275</v>
      </c>
      <c r="G80">
        <f t="array" ref="G80:I80">1000*B80:D80</f>
        <v>58200</v>
      </c>
      <c r="H80">
        <v>-10500</v>
      </c>
      <c r="I80">
        <v>30000</v>
      </c>
      <c r="J80">
        <f t="shared" si="11"/>
        <v>58200</v>
      </c>
      <c r="K80">
        <f t="shared" si="12"/>
        <v>-10500</v>
      </c>
      <c r="L80">
        <f t="shared" si="8"/>
        <v>31000</v>
      </c>
      <c r="M80">
        <f t="shared" si="9"/>
        <v>100</v>
      </c>
      <c r="N80">
        <f t="shared" si="10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FC16-7580-4404-87AF-85CC6922D7AF}">
  <sheetPr codeName="Sheet10"/>
  <dimension ref="B3:C3"/>
  <sheetViews>
    <sheetView workbookViewId="0">
      <selection activeCell="L23" sqref="L23"/>
    </sheetView>
  </sheetViews>
  <sheetFormatPr defaultRowHeight="15" x14ac:dyDescent="0.25"/>
  <sheetData>
    <row r="3" spans="2:3" x14ac:dyDescent="0.25">
      <c r="B3" t="s">
        <v>18</v>
      </c>
      <c r="C3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D40-A139-4F6A-970C-3033594FC9CA}">
  <sheetPr codeName="Sheet5"/>
  <dimension ref="A1:W15"/>
  <sheetViews>
    <sheetView workbookViewId="0">
      <selection activeCell="Q13" sqref="Q13"/>
    </sheetView>
  </sheetViews>
  <sheetFormatPr defaultRowHeight="15" x14ac:dyDescent="0.25"/>
  <sheetData>
    <row r="1" spans="1:23" ht="14.25" customHeight="1" x14ac:dyDescent="0.25"/>
    <row r="2" spans="1:23" s="44" customFormat="1" ht="14.25" customHeight="1" x14ac:dyDescent="0.25">
      <c r="B2" s="44" t="s">
        <v>7</v>
      </c>
      <c r="D2" s="44">
        <v>3</v>
      </c>
      <c r="E2" s="44">
        <v>4</v>
      </c>
      <c r="F2" s="44">
        <v>151</v>
      </c>
      <c r="G2" s="44" t="s">
        <v>9</v>
      </c>
      <c r="H2" s="44" t="s">
        <v>30</v>
      </c>
      <c r="I2" s="44" t="s">
        <v>266</v>
      </c>
      <c r="J2" s="44" t="s">
        <v>267</v>
      </c>
      <c r="K2" s="44" t="s">
        <v>268</v>
      </c>
      <c r="L2" s="44" t="s">
        <v>269</v>
      </c>
      <c r="M2" s="44" t="s">
        <v>270</v>
      </c>
      <c r="N2" s="44" t="s">
        <v>12</v>
      </c>
      <c r="O2" s="44" t="s">
        <v>13</v>
      </c>
      <c r="P2" s="44" t="s">
        <v>14</v>
      </c>
      <c r="Q2" s="44" t="s">
        <v>271</v>
      </c>
    </row>
    <row r="3" spans="1:23" x14ac:dyDescent="0.25">
      <c r="A3" t="s">
        <v>160</v>
      </c>
      <c r="B3">
        <v>3.1300000000000001E-2</v>
      </c>
      <c r="D3">
        <v>1.3299999999999999E-2</v>
      </c>
      <c r="E3">
        <v>4.0899999999999999E-2</v>
      </c>
      <c r="F3">
        <v>4.8999999999999998E-3</v>
      </c>
      <c r="G3">
        <v>2.3999999999999998E-3</v>
      </c>
      <c r="H3">
        <v>2.0000000000000001E-4</v>
      </c>
      <c r="I3">
        <v>2.0000000000000001E-4</v>
      </c>
      <c r="J3">
        <v>1.5699999999999999E-2</v>
      </c>
      <c r="K3">
        <v>1E-4</v>
      </c>
      <c r="L3">
        <v>3.4200000000000001E-2</v>
      </c>
      <c r="M3">
        <v>1.6000000000000001E-3</v>
      </c>
      <c r="N3">
        <v>4.1700000000000001E-2</v>
      </c>
      <c r="O3">
        <v>8.6999999999999994E-3</v>
      </c>
      <c r="P3">
        <v>2.1000000000000001E-2</v>
      </c>
      <c r="Q3">
        <v>3.3399999999999999E-2</v>
      </c>
    </row>
    <row r="4" spans="1:23" x14ac:dyDescent="0.25">
      <c r="A4" t="s">
        <v>161</v>
      </c>
      <c r="B4">
        <v>0.80679999999999996</v>
      </c>
      <c r="D4">
        <v>0.21149999999999999</v>
      </c>
      <c r="E4">
        <v>0.75370000000000004</v>
      </c>
      <c r="F4">
        <v>4.8300000000000003E-2</v>
      </c>
      <c r="G4">
        <v>1.4800000000000001E-2</v>
      </c>
      <c r="H4">
        <v>5.9999999999999995E-4</v>
      </c>
      <c r="I4">
        <v>5.9999999999999995E-4</v>
      </c>
      <c r="J4">
        <v>0.2094</v>
      </c>
      <c r="K4">
        <v>2.9999999999999997E-4</v>
      </c>
      <c r="L4">
        <v>0.43780000000000002</v>
      </c>
      <c r="M4">
        <v>9.7000000000000003E-3</v>
      </c>
      <c r="N4">
        <v>0.63029999999999997</v>
      </c>
      <c r="O4">
        <v>6.9900000000000004E-2</v>
      </c>
      <c r="P4">
        <v>0.19969999999999999</v>
      </c>
      <c r="Q4">
        <v>0.84609999999999996</v>
      </c>
    </row>
    <row r="5" spans="1:23" x14ac:dyDescent="0.25">
      <c r="A5" t="s">
        <v>162</v>
      </c>
      <c r="B5">
        <v>5.5199999999999999E-2</v>
      </c>
      <c r="D5">
        <v>3.8600000000000002E-2</v>
      </c>
      <c r="E5">
        <v>9.3100000000000002E-2</v>
      </c>
      <c r="F5">
        <v>2.2200000000000001E-2</v>
      </c>
      <c r="G5">
        <v>1.6799999999999999E-2</v>
      </c>
      <c r="H5">
        <v>2.5999999999999999E-3</v>
      </c>
      <c r="I5">
        <v>2.5999999999999999E-3</v>
      </c>
      <c r="J5">
        <v>7.8100000000000003E-2</v>
      </c>
      <c r="K5">
        <v>5.9999999999999995E-4</v>
      </c>
      <c r="L5">
        <v>0.1237</v>
      </c>
      <c r="M5">
        <v>1.2800000000000001E-2</v>
      </c>
      <c r="N5">
        <v>0.1234</v>
      </c>
      <c r="O5">
        <v>5.6399999999999999E-2</v>
      </c>
      <c r="P5">
        <v>0.1114</v>
      </c>
      <c r="Q5">
        <v>6.0100000000000001E-2</v>
      </c>
    </row>
    <row r="6" spans="1:23" x14ac:dyDescent="0.25">
      <c r="A6" t="s">
        <v>163</v>
      </c>
      <c r="B6">
        <v>2.6800000000000001E-2</v>
      </c>
      <c r="D6">
        <v>3.61E-2</v>
      </c>
      <c r="E6">
        <v>5.2200000000000003E-2</v>
      </c>
      <c r="F6">
        <v>3.1300000000000001E-2</v>
      </c>
      <c r="G6">
        <v>4.8899999999999999E-2</v>
      </c>
      <c r="H6">
        <v>0.182</v>
      </c>
      <c r="I6">
        <v>1.8200000000000001E-2</v>
      </c>
      <c r="J6">
        <v>0.1794</v>
      </c>
      <c r="K6">
        <v>4.4999999999999997E-3</v>
      </c>
      <c r="L6">
        <v>0.16450000000000001</v>
      </c>
      <c r="M6">
        <v>5.2499999999999998E-2</v>
      </c>
      <c r="N6">
        <v>0.1171</v>
      </c>
      <c r="O6">
        <v>0.1608</v>
      </c>
      <c r="P6">
        <v>0.22850000000000001</v>
      </c>
      <c r="Q6">
        <v>3.0700000000000002E-2</v>
      </c>
    </row>
    <row r="7" spans="1:23" x14ac:dyDescent="0.25">
      <c r="A7" t="s">
        <v>202</v>
      </c>
      <c r="B7">
        <f>0.0045+0.0084</f>
        <v>1.2899999999999998E-2</v>
      </c>
      <c r="D7">
        <f>0.0093+0.0207</f>
        <v>0.03</v>
      </c>
      <c r="E7">
        <f>0.0084+0.015</f>
        <v>2.3399999999999997E-2</v>
      </c>
      <c r="F7">
        <f>0.0095+0.0225</f>
        <v>3.2000000000000001E-2</v>
      </c>
      <c r="G7">
        <f>0.0224+0.0574</f>
        <v>7.9799999999999996E-2</v>
      </c>
      <c r="H7">
        <f>0.014+0.0429</f>
        <v>5.6899999999999999E-2</v>
      </c>
      <c r="I7">
        <f>0.014+0.0429</f>
        <v>5.6899999999999999E-2</v>
      </c>
      <c r="J7">
        <f>0.0684+0.1586</f>
        <v>0.22699999999999998</v>
      </c>
      <c r="K7">
        <f>0.004+0.0129</f>
        <v>1.6899999999999998E-2</v>
      </c>
      <c r="L7">
        <f>0.0464+0.0969</f>
        <v>0.14329999999999998</v>
      </c>
      <c r="M7">
        <f>0.033+0.0948</f>
        <v>0.1278</v>
      </c>
      <c r="N7">
        <f>0.0242+0.0437</f>
        <v>6.7900000000000002E-2</v>
      </c>
      <c r="O7">
        <f>0.0773+0.1957</f>
        <v>0.27300000000000002</v>
      </c>
      <c r="P7">
        <f>0.0823+0.1834</f>
        <v>0.26569999999999999</v>
      </c>
      <c r="Q7">
        <f>0.0052+0.0092</f>
        <v>1.44E-2</v>
      </c>
    </row>
    <row r="8" spans="1:23" x14ac:dyDescent="0.25">
      <c r="A8" t="s">
        <v>203</v>
      </c>
      <c r="B8">
        <f>0.0025+0.0033</f>
        <v>5.7999999999999996E-3</v>
      </c>
      <c r="D8">
        <f>0.0089+0.0133</f>
        <v>2.2199999999999998E-2</v>
      </c>
      <c r="E8">
        <f>0.0037+0.0045</f>
        <v>8.199999999999999E-3</v>
      </c>
      <c r="F8">
        <f>0.0105+0.0159</f>
        <v>2.64E-2</v>
      </c>
      <c r="G8">
        <f>0.0271+0.0391</f>
        <v>6.6200000000000009E-2</v>
      </c>
      <c r="H8">
        <f>0.0288+0.0451</f>
        <v>7.3899999999999993E-2</v>
      </c>
      <c r="I8">
        <f>0.0288+0.0451</f>
        <v>7.3899999999999993E-2</v>
      </c>
      <c r="J8">
        <f>0.0558+0.0724</f>
        <v>0.12820000000000001</v>
      </c>
      <c r="K8">
        <f>0.0104+0.0177</f>
        <v>2.81E-2</v>
      </c>
      <c r="L8">
        <f>0.0269+0.0322</f>
        <v>5.91E-2</v>
      </c>
      <c r="M8">
        <f>0.0592+0.0916</f>
        <v>0.15079999999999999</v>
      </c>
      <c r="N8">
        <f>0.0074+0.0073</f>
        <v>1.4700000000000001E-2</v>
      </c>
      <c r="O8">
        <f>0.0846+0.1138</f>
        <v>0.19839999999999999</v>
      </c>
      <c r="P8">
        <f>0.0541+0.0637</f>
        <v>0.11780000000000002</v>
      </c>
      <c r="Q8">
        <f>0.0023+0.0028</f>
        <v>5.1000000000000004E-3</v>
      </c>
    </row>
    <row r="9" spans="1:23" x14ac:dyDescent="0.25">
      <c r="A9" t="s">
        <v>204</v>
      </c>
      <c r="B9">
        <v>3.5999999999999999E-3</v>
      </c>
      <c r="D9">
        <v>2.0899999999999998E-2</v>
      </c>
      <c r="E9">
        <v>3.3E-3</v>
      </c>
      <c r="F9">
        <v>2.6200000000000001E-2</v>
      </c>
      <c r="G9">
        <v>4.7E-2</v>
      </c>
      <c r="H9">
        <v>6.8199999999999997E-2</v>
      </c>
      <c r="I9">
        <v>6.8199999999999997E-2</v>
      </c>
      <c r="J9">
        <v>5.28E-2</v>
      </c>
      <c r="K9">
        <v>3.7600000000000001E-2</v>
      </c>
      <c r="L9">
        <v>1.5800000000000002E-2</v>
      </c>
      <c r="M9">
        <v>0.1265</v>
      </c>
      <c r="N9">
        <v>1.4E-3</v>
      </c>
      <c r="O9">
        <v>8.0699999999999994E-2</v>
      </c>
      <c r="P9">
        <v>2.4199999999999999E-2</v>
      </c>
      <c r="Q9">
        <v>2.0999999999999999E-3</v>
      </c>
    </row>
    <row r="10" spans="1:23" x14ac:dyDescent="0.25">
      <c r="A10" t="s">
        <v>205</v>
      </c>
      <c r="B10">
        <v>4.7999999999999996E-3</v>
      </c>
      <c r="D10">
        <v>4.7199999999999999E-2</v>
      </c>
      <c r="E10">
        <v>1.6999999999999999E-3</v>
      </c>
      <c r="F10">
        <v>6.0900000000000003E-2</v>
      </c>
      <c r="G10">
        <v>6.4600000000000005E-2</v>
      </c>
      <c r="H10">
        <v>0.1087</v>
      </c>
      <c r="I10">
        <v>0.1087</v>
      </c>
      <c r="J10">
        <v>1.21E-2</v>
      </c>
      <c r="K10">
        <v>5.4300000000000001E-2</v>
      </c>
      <c r="L10">
        <v>1.2999999999999999E-3</v>
      </c>
      <c r="M10">
        <v>5.91E-2</v>
      </c>
      <c r="N10">
        <v>0</v>
      </c>
      <c r="O10">
        <v>1.1599999999999999E-2</v>
      </c>
      <c r="P10">
        <v>8.9999999999999998E-4</v>
      </c>
      <c r="Q10">
        <v>1.2999999999999999E-3</v>
      </c>
    </row>
    <row r="11" spans="1:23" x14ac:dyDescent="0.25">
      <c r="A11" t="s">
        <v>206</v>
      </c>
      <c r="B11">
        <v>5.7000000000000002E-3</v>
      </c>
      <c r="D11">
        <v>6.25E-2</v>
      </c>
      <c r="E11">
        <v>1.1999999999999999E-3</v>
      </c>
      <c r="F11">
        <v>8.1000000000000003E-2</v>
      </c>
      <c r="G11">
        <v>7.4700000000000003E-2</v>
      </c>
      <c r="H11">
        <v>0.12809999999999999</v>
      </c>
      <c r="I11">
        <v>0.12809999999999999</v>
      </c>
      <c r="J11">
        <v>3.7000000000000002E-3</v>
      </c>
      <c r="K11">
        <v>3.7400000000000003E-2</v>
      </c>
      <c r="L11">
        <v>2.0000000000000001E-4</v>
      </c>
      <c r="M11">
        <v>2.3800000000000002E-2</v>
      </c>
      <c r="N11">
        <v>0</v>
      </c>
      <c r="O11">
        <v>4.4000000000000003E-3</v>
      </c>
      <c r="P11">
        <v>2.0000000000000001E-4</v>
      </c>
      <c r="Q11">
        <v>1E-3</v>
      </c>
    </row>
    <row r="12" spans="1:23" x14ac:dyDescent="0.25">
      <c r="A12" t="s">
        <v>207</v>
      </c>
      <c r="B12">
        <f>0.0025+0.0426</f>
        <v>4.5100000000000001E-2</v>
      </c>
      <c r="D12">
        <f>0.0273+0.2663</f>
        <v>0.29359999999999997</v>
      </c>
      <c r="E12">
        <f>0.0002+0.0039</f>
        <v>4.0999999999999995E-3</v>
      </c>
      <c r="F12">
        <f>0.0355+0.3452</f>
        <v>0.38069999999999998</v>
      </c>
      <c r="G12">
        <f>0.0291+0.2842</f>
        <v>0.31330000000000002</v>
      </c>
      <c r="H12">
        <f>0.0505+0.3255</f>
        <v>0.376</v>
      </c>
      <c r="I12">
        <f>0.0505+0.4893</f>
        <v>0.53980000000000006</v>
      </c>
      <c r="J12">
        <f>0.0002+0.0258</f>
        <v>2.5999999999999999E-2</v>
      </c>
      <c r="K12">
        <f>0.0056+0.0539</f>
        <v>5.9500000000000004E-2</v>
      </c>
      <c r="L12">
        <v>6.3E-3</v>
      </c>
      <c r="M12">
        <f>0.002+0.084</f>
        <v>8.6000000000000007E-2</v>
      </c>
      <c r="N12">
        <v>1.2999999999999999E-3</v>
      </c>
      <c r="O12">
        <f>0.0006+0.0336</f>
        <v>3.4200000000000001E-2</v>
      </c>
      <c r="P12">
        <v>7.7999999999999996E-3</v>
      </c>
      <c r="Q12">
        <f>0.0002+0.0046</f>
        <v>4.7999999999999996E-3</v>
      </c>
    </row>
    <row r="13" spans="1:23" x14ac:dyDescent="0.25">
      <c r="A13" t="s">
        <v>186</v>
      </c>
      <c r="B13">
        <v>2E-3</v>
      </c>
      <c r="D13">
        <v>0.22409999999999999</v>
      </c>
      <c r="E13">
        <v>1.8200000000000001E-2</v>
      </c>
      <c r="F13">
        <v>0.28610000000000002</v>
      </c>
      <c r="G13">
        <v>0.27150000000000002</v>
      </c>
      <c r="H13">
        <v>2.8E-3</v>
      </c>
      <c r="I13">
        <v>2.8E-3</v>
      </c>
      <c r="J13">
        <v>6.7599999999999993E-2</v>
      </c>
      <c r="K13">
        <v>0.76070000000000004</v>
      </c>
      <c r="L13">
        <v>1.38E-2</v>
      </c>
      <c r="M13">
        <v>0.34939999999999999</v>
      </c>
      <c r="N13">
        <v>2.2000000000000001E-3</v>
      </c>
      <c r="O13">
        <v>0.1019</v>
      </c>
      <c r="P13">
        <v>2.2800000000000001E-2</v>
      </c>
      <c r="Q13">
        <v>1E-3</v>
      </c>
    </row>
    <row r="14" spans="1:23" x14ac:dyDescent="0.25">
      <c r="A14" t="s">
        <v>208</v>
      </c>
      <c r="B14">
        <f>SUM(B3:B13)</f>
        <v>1.0000000000000002</v>
      </c>
      <c r="D14">
        <f t="shared" ref="D14:P14" si="0">SUM(D3:D13)</f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0.99999999999999978</v>
      </c>
      <c r="O14">
        <f t="shared" si="0"/>
        <v>0.99999999999999989</v>
      </c>
      <c r="P14">
        <f t="shared" si="0"/>
        <v>1</v>
      </c>
      <c r="Q14">
        <f t="shared" ref="Q14:W14" si="1">SUM(Q3:Q13)</f>
        <v>0.99999999999999989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</row>
    <row r="15" spans="1:23" x14ac:dyDescent="0.25">
      <c r="A15">
        <v>1</v>
      </c>
      <c r="B15">
        <f>A15-B14</f>
        <v>0</v>
      </c>
      <c r="D15">
        <f t="shared" ref="D15:P15" si="2">$A$15-D14</f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ref="Q15:W15" si="3">$A$15-Q14</f>
        <v>0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6C5E-BB22-4783-8DCD-71FF20E16074}">
  <sheetPr codeName="Sheet6"/>
  <dimension ref="B2:B5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187</v>
      </c>
    </row>
    <row r="3" spans="2:2" x14ac:dyDescent="0.25">
      <c r="B3" t="s">
        <v>191</v>
      </c>
    </row>
    <row r="4" spans="2:2" x14ac:dyDescent="0.25">
      <c r="B4" t="s">
        <v>192</v>
      </c>
    </row>
    <row r="5" spans="2:2" x14ac:dyDescent="0.25">
      <c r="B5" t="s">
        <v>233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301-2327-461F-BCC7-EB8A1C57D152}">
  <sheetPr codeName="Sheet2"/>
  <dimension ref="A1:D13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37" customWidth="1"/>
    <col min="3" max="3" width="39.28515625" customWidth="1"/>
  </cols>
  <sheetData>
    <row r="1" spans="1:4" x14ac:dyDescent="0.25">
      <c r="A1" t="s">
        <v>60</v>
      </c>
      <c r="C1" t="s">
        <v>221</v>
      </c>
      <c r="D1" t="s">
        <v>142</v>
      </c>
    </row>
    <row r="2" spans="1:4" x14ac:dyDescent="0.25">
      <c r="A2" t="s">
        <v>10</v>
      </c>
      <c r="B2" t="s">
        <v>61</v>
      </c>
      <c r="C2" t="s">
        <v>222</v>
      </c>
    </row>
    <row r="3" spans="1:4" x14ac:dyDescent="0.25">
      <c r="A3" t="s">
        <v>15</v>
      </c>
      <c r="B3" t="s">
        <v>16</v>
      </c>
      <c r="C3" t="s">
        <v>63</v>
      </c>
    </row>
    <row r="4" spans="1:4" x14ac:dyDescent="0.25">
      <c r="A4" t="s">
        <v>17</v>
      </c>
      <c r="B4" t="s">
        <v>62</v>
      </c>
      <c r="C4" t="s">
        <v>63</v>
      </c>
    </row>
    <row r="5" spans="1:4" x14ac:dyDescent="0.25">
      <c r="B5" t="s">
        <v>64</v>
      </c>
      <c r="C5" t="s">
        <v>78</v>
      </c>
    </row>
    <row r="6" spans="1:4" x14ac:dyDescent="0.25">
      <c r="A6" t="s">
        <v>69</v>
      </c>
      <c r="B6" t="s">
        <v>72</v>
      </c>
      <c r="C6" t="s">
        <v>223</v>
      </c>
    </row>
    <row r="7" spans="1:4" x14ac:dyDescent="0.25">
      <c r="B7" t="s">
        <v>74</v>
      </c>
      <c r="C7" t="s">
        <v>220</v>
      </c>
    </row>
    <row r="8" spans="1:4" x14ac:dyDescent="0.25">
      <c r="A8" t="s">
        <v>219</v>
      </c>
      <c r="B8" t="s">
        <v>214</v>
      </c>
      <c r="C8" t="s">
        <v>224</v>
      </c>
    </row>
    <row r="9" spans="1:4" ht="105" x14ac:dyDescent="0.25">
      <c r="A9" t="s">
        <v>219</v>
      </c>
      <c r="B9" t="s">
        <v>235</v>
      </c>
      <c r="C9" s="37" t="s">
        <v>234</v>
      </c>
      <c r="D9">
        <v>4</v>
      </c>
    </row>
    <row r="13" spans="1:4" x14ac:dyDescent="0.25">
      <c r="A13" t="s">
        <v>236</v>
      </c>
      <c r="C13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5CBF-BE2E-4B14-9AB8-A2FE34645C1C}">
  <sheetPr codeName="Sheet9"/>
  <dimension ref="B2:E45"/>
  <sheetViews>
    <sheetView topLeftCell="A7" workbookViewId="0">
      <selection activeCell="C25" sqref="C25"/>
    </sheetView>
  </sheetViews>
  <sheetFormatPr defaultRowHeight="15" x14ac:dyDescent="0.25"/>
  <cols>
    <col min="2" max="2" width="28.7109375" bestFit="1" customWidth="1"/>
    <col min="3" max="4" width="29" style="27" customWidth="1"/>
    <col min="5" max="5" width="28.7109375" style="27" customWidth="1"/>
  </cols>
  <sheetData>
    <row r="2" spans="2:5" x14ac:dyDescent="0.25">
      <c r="C2" s="27">
        <f>C7+C6</f>
        <v>140.81</v>
      </c>
      <c r="D2" s="27">
        <f>D7+8.8</f>
        <v>13.670000000000002</v>
      </c>
    </row>
    <row r="3" spans="2:5" x14ac:dyDescent="0.25">
      <c r="B3" s="1"/>
      <c r="C3" s="21" t="s">
        <v>140</v>
      </c>
      <c r="D3" s="21" t="s">
        <v>141</v>
      </c>
      <c r="E3" s="21" t="s">
        <v>8</v>
      </c>
    </row>
    <row r="4" spans="2:5" ht="30" x14ac:dyDescent="0.25">
      <c r="B4" s="1" t="s">
        <v>142</v>
      </c>
      <c r="C4" s="22" t="s">
        <v>143</v>
      </c>
      <c r="D4" s="22" t="s">
        <v>144</v>
      </c>
      <c r="E4" s="22" t="s">
        <v>188</v>
      </c>
    </row>
    <row r="5" spans="2:5" x14ac:dyDescent="0.25">
      <c r="B5" s="1" t="s">
        <v>145</v>
      </c>
      <c r="C5" s="21" t="s">
        <v>146</v>
      </c>
      <c r="D5" s="21" t="s">
        <v>147</v>
      </c>
      <c r="E5" s="21" t="s">
        <v>189</v>
      </c>
    </row>
    <row r="6" spans="2:5" x14ac:dyDescent="0.25">
      <c r="B6" s="1" t="s">
        <v>148</v>
      </c>
      <c r="C6" s="21">
        <v>7.72</v>
      </c>
      <c r="D6" s="21" t="s">
        <v>149</v>
      </c>
      <c r="E6" s="21">
        <v>26</v>
      </c>
    </row>
    <row r="7" spans="2:5" x14ac:dyDescent="0.25">
      <c r="B7" s="1" t="s">
        <v>150</v>
      </c>
      <c r="C7" s="21">
        <v>133.09</v>
      </c>
      <c r="D7" s="21">
        <v>4.87</v>
      </c>
      <c r="E7" s="23" t="s">
        <v>11</v>
      </c>
    </row>
    <row r="8" spans="2:5" x14ac:dyDescent="0.25">
      <c r="B8" s="1" t="s">
        <v>76</v>
      </c>
      <c r="C8" s="21">
        <v>80</v>
      </c>
      <c r="D8" s="21">
        <v>16.73</v>
      </c>
      <c r="E8" s="21">
        <v>78.12</v>
      </c>
    </row>
    <row r="9" spans="2:5" x14ac:dyDescent="0.25">
      <c r="B9" s="1" t="s">
        <v>151</v>
      </c>
      <c r="C9"/>
      <c r="D9"/>
      <c r="E9"/>
    </row>
    <row r="10" spans="2:5" x14ac:dyDescent="0.25">
      <c r="B10" s="1" t="s">
        <v>152</v>
      </c>
      <c r="C10" s="23" t="s">
        <v>11</v>
      </c>
      <c r="D10" s="23" t="s">
        <v>11</v>
      </c>
      <c r="E10" s="24">
        <f>458519.054035113*1.1</f>
        <v>504370.95943862438</v>
      </c>
    </row>
    <row r="11" spans="2:5" x14ac:dyDescent="0.25">
      <c r="B11" s="1" t="s">
        <v>153</v>
      </c>
      <c r="C11" s="24">
        <f>149641.235541599*1.1</f>
        <v>164605.3590957589</v>
      </c>
      <c r="D11" s="24">
        <f>39853.9698181926*1.1</f>
        <v>43839.366800011863</v>
      </c>
      <c r="E11" s="24">
        <f>115270.802043591*1.1</f>
        <v>126797.88224795011</v>
      </c>
    </row>
    <row r="12" spans="2:5" x14ac:dyDescent="0.25">
      <c r="B12" s="1" t="s">
        <v>154</v>
      </c>
      <c r="C12" s="24">
        <f>49.4013518286664*1.1</f>
        <v>54.341487011533047</v>
      </c>
      <c r="D12" s="24">
        <f>15.3033353911919*1.1</f>
        <v>16.833668930311092</v>
      </c>
      <c r="E12" s="24">
        <f>133577.083921296*1.1</f>
        <v>146934.7923134256</v>
      </c>
    </row>
    <row r="13" spans="2:5" x14ac:dyDescent="0.25">
      <c r="B13" s="1" t="s">
        <v>27</v>
      </c>
      <c r="C13"/>
      <c r="D13"/>
      <c r="E13"/>
    </row>
    <row r="14" spans="2:5" x14ac:dyDescent="0.25">
      <c r="B14" s="1" t="s">
        <v>155</v>
      </c>
      <c r="C14" s="23" t="s">
        <v>11</v>
      </c>
      <c r="D14" s="23" t="s">
        <v>11</v>
      </c>
      <c r="E14" s="28">
        <v>19.4596964876778</v>
      </c>
    </row>
    <row r="15" spans="2:5" x14ac:dyDescent="0.25">
      <c r="B15" s="1" t="s">
        <v>156</v>
      </c>
      <c r="C15" s="24">
        <v>748.39779620040599</v>
      </c>
      <c r="D15" s="24">
        <v>797.30492059454605</v>
      </c>
      <c r="E15" s="24">
        <v>756.198349560064</v>
      </c>
    </row>
    <row r="16" spans="2:5" x14ac:dyDescent="0.25">
      <c r="B16" s="1" t="s">
        <v>157</v>
      </c>
      <c r="C16" s="24">
        <v>964.72585637050599</v>
      </c>
      <c r="D16" s="24">
        <v>1013.78278213926</v>
      </c>
      <c r="E16" s="24">
        <v>966.98319375290805</v>
      </c>
    </row>
    <row r="17" spans="2:5" x14ac:dyDescent="0.25">
      <c r="B17" s="1" t="s">
        <v>158</v>
      </c>
      <c r="C17"/>
      <c r="D17"/>
      <c r="E17"/>
    </row>
    <row r="18" spans="2:5" x14ac:dyDescent="0.25">
      <c r="B18" s="1" t="s">
        <v>159</v>
      </c>
      <c r="C18" s="25">
        <v>9.4159873667284502E-8</v>
      </c>
      <c r="D18" s="25">
        <v>9.4282788476099296E-8</v>
      </c>
      <c r="E18" s="25">
        <v>2.3843543469700599E-3</v>
      </c>
    </row>
    <row r="19" spans="2:5" x14ac:dyDescent="0.25">
      <c r="B19" s="1" t="s">
        <v>160</v>
      </c>
      <c r="C19" s="25">
        <v>1.7972896974111099E-4</v>
      </c>
      <c r="D19" s="25">
        <v>1.79974630135466E-4</v>
      </c>
      <c r="E19" s="25">
        <v>2.4049096287550899E-2</v>
      </c>
    </row>
    <row r="20" spans="2:5" x14ac:dyDescent="0.25">
      <c r="B20" s="26" t="s">
        <v>161</v>
      </c>
      <c r="C20" s="25">
        <v>5.7966321378973202E-4</v>
      </c>
      <c r="D20" s="25">
        <v>5.8043487101000805E-4</v>
      </c>
      <c r="E20" s="25">
        <v>0.61885533194232201</v>
      </c>
    </row>
    <row r="21" spans="2:5" x14ac:dyDescent="0.25">
      <c r="B21" s="26" t="s">
        <v>162</v>
      </c>
      <c r="C21" s="25">
        <v>2.5609375213051298E-3</v>
      </c>
      <c r="D21" s="25">
        <v>2.5633383670830298E-3</v>
      </c>
      <c r="E21" s="25">
        <v>4.21986276733936E-2</v>
      </c>
    </row>
    <row r="22" spans="2:5" x14ac:dyDescent="0.25">
      <c r="B22" s="26" t="s">
        <v>163</v>
      </c>
      <c r="C22" s="25">
        <v>1.8028565175178701E-2</v>
      </c>
      <c r="D22" s="25">
        <v>1.8056708934901099E-2</v>
      </c>
      <c r="E22" s="25">
        <v>2.0409061339974902E-2</v>
      </c>
    </row>
    <row r="23" spans="2:5" x14ac:dyDescent="0.25">
      <c r="B23" s="26" t="s">
        <v>164</v>
      </c>
      <c r="C23" s="25">
        <v>1.39195081679192E-2</v>
      </c>
      <c r="D23" s="25">
        <v>1.3980536596354801E-2</v>
      </c>
      <c r="E23" s="25">
        <v>3.41412579334978E-3</v>
      </c>
    </row>
    <row r="24" spans="2:5" x14ac:dyDescent="0.25">
      <c r="B24" s="26" t="s">
        <v>165</v>
      </c>
      <c r="C24" s="25">
        <v>4.2715777790402198E-2</v>
      </c>
      <c r="D24" s="25">
        <v>4.2919789028632797E-2</v>
      </c>
      <c r="E24" s="25">
        <v>6.3514928131281996E-3</v>
      </c>
    </row>
    <row r="25" spans="2:5" x14ac:dyDescent="0.25">
      <c r="B25" s="26" t="s">
        <v>166</v>
      </c>
      <c r="C25" s="25">
        <v>2.8660580629728601E-2</v>
      </c>
      <c r="D25" s="25">
        <v>2.87677039227647E-2</v>
      </c>
      <c r="E25" s="25">
        <v>1.90759557339872E-3</v>
      </c>
    </row>
    <row r="26" spans="2:5" x14ac:dyDescent="0.25">
      <c r="B26" s="26" t="s">
        <v>167</v>
      </c>
      <c r="C26" s="25">
        <v>4.4942354754034103E-2</v>
      </c>
      <c r="D26" s="25">
        <v>4.5084222680223503E-2</v>
      </c>
      <c r="E26" s="25">
        <v>2.48434787765649E-3</v>
      </c>
    </row>
    <row r="27" spans="2:5" x14ac:dyDescent="0.25">
      <c r="B27" s="26" t="s">
        <v>168</v>
      </c>
      <c r="C27" s="25">
        <v>6.7923443547386997E-2</v>
      </c>
      <c r="D27" s="25">
        <v>6.8131668912018897E-2</v>
      </c>
      <c r="E27" s="25">
        <v>2.6595040768779702E-3</v>
      </c>
    </row>
    <row r="28" spans="2:5" x14ac:dyDescent="0.25">
      <c r="B28" s="1" t="s">
        <v>169</v>
      </c>
      <c r="C28" s="25">
        <v>2.49847580036675E-2</v>
      </c>
      <c r="D28" s="25">
        <v>2.5063172278267001E-2</v>
      </c>
      <c r="E28" s="25">
        <v>8.9994177617781605E-4</v>
      </c>
    </row>
    <row r="29" spans="2:5" x14ac:dyDescent="0.25">
      <c r="B29" s="26" t="s">
        <v>170</v>
      </c>
      <c r="C29" s="25">
        <v>0.10820118712217</v>
      </c>
      <c r="D29" s="25">
        <v>0.108516578825798</v>
      </c>
      <c r="E29" s="25">
        <v>3.5141193240362102E-3</v>
      </c>
    </row>
    <row r="30" spans="2:5" x14ac:dyDescent="0.25">
      <c r="B30" s="1" t="s">
        <v>171</v>
      </c>
      <c r="C30" s="25">
        <v>3.8970809212668503E-2</v>
      </c>
      <c r="D30" s="25">
        <v>3.90881689293631E-2</v>
      </c>
      <c r="E30" s="25">
        <v>1.2297585077525599E-3</v>
      </c>
    </row>
    <row r="31" spans="2:5" x14ac:dyDescent="0.25">
      <c r="B31" s="26" t="s">
        <v>172</v>
      </c>
      <c r="C31" s="25">
        <v>0.12762428326142</v>
      </c>
      <c r="D31" s="25">
        <v>0.12797900448970301</v>
      </c>
      <c r="E31" s="25">
        <v>4.0919628589959301E-3</v>
      </c>
    </row>
    <row r="32" spans="2:5" x14ac:dyDescent="0.25">
      <c r="B32" s="1" t="s">
        <v>173</v>
      </c>
      <c r="C32" s="25">
        <v>2.3627920429072601E-3</v>
      </c>
      <c r="D32" s="25">
        <v>2.3694967294274499E-3</v>
      </c>
      <c r="E32" s="25">
        <v>9.9993530686423994E-5</v>
      </c>
    </row>
    <row r="33" spans="2:5" x14ac:dyDescent="0.25">
      <c r="B33" s="1" t="s">
        <v>174</v>
      </c>
      <c r="C33" s="25">
        <v>3.78851218534959E-2</v>
      </c>
      <c r="D33" s="25">
        <v>3.7991526076771302E-2</v>
      </c>
      <c r="E33" s="25">
        <v>1.2297585077525599E-3</v>
      </c>
    </row>
    <row r="34" spans="2:5" x14ac:dyDescent="0.25">
      <c r="B34" s="1" t="s">
        <v>175</v>
      </c>
      <c r="C34" s="25">
        <v>5.0373624992882997E-2</v>
      </c>
      <c r="D34" s="25">
        <v>5.0504961574600403E-2</v>
      </c>
      <c r="E34" s="25">
        <v>1.5595752393273001E-3</v>
      </c>
    </row>
    <row r="35" spans="2:5" x14ac:dyDescent="0.25">
      <c r="B35" s="1" t="s">
        <v>176</v>
      </c>
      <c r="C35" s="25">
        <v>5.63381342468076E-2</v>
      </c>
      <c r="D35" s="25">
        <v>5.6479801386927597E-2</v>
      </c>
      <c r="E35" s="25">
        <v>1.75956230070015E-3</v>
      </c>
    </row>
    <row r="36" spans="2:5" x14ac:dyDescent="0.25">
      <c r="B36" s="1" t="s">
        <v>177</v>
      </c>
      <c r="C36" s="25">
        <v>3.6330349464591398E-2</v>
      </c>
      <c r="D36" s="25">
        <v>3.6420751548907698E-2</v>
      </c>
      <c r="E36" s="25">
        <v>1.1297649770661399E-3</v>
      </c>
    </row>
    <row r="37" spans="2:5" x14ac:dyDescent="0.25">
      <c r="B37" s="1" t="s">
        <v>178</v>
      </c>
      <c r="C37" s="25">
        <v>3.0968318896020398E-2</v>
      </c>
      <c r="D37" s="25">
        <v>3.1044354874582201E-2</v>
      </c>
      <c r="E37" s="25">
        <v>9.2977791569328705E-4</v>
      </c>
    </row>
    <row r="38" spans="2:5" x14ac:dyDescent="0.25">
      <c r="B38" s="1" t="s">
        <v>179</v>
      </c>
      <c r="C38" s="25">
        <v>3.16679822204479E-2</v>
      </c>
      <c r="D38" s="25">
        <v>3.1744259013798799E-2</v>
      </c>
      <c r="E38" s="25">
        <v>9.2977791569328803E-4</v>
      </c>
    </row>
    <row r="39" spans="2:5" x14ac:dyDescent="0.25">
      <c r="B39" s="1" t="s">
        <v>180</v>
      </c>
      <c r="C39" s="25">
        <v>2.9264480649357001E-2</v>
      </c>
      <c r="D39" s="25">
        <v>2.9334494658018399E-2</v>
      </c>
      <c r="E39" s="25">
        <v>8.2978438500686501E-4</v>
      </c>
    </row>
    <row r="40" spans="2:5" x14ac:dyDescent="0.25">
      <c r="B40" s="1" t="s">
        <v>181</v>
      </c>
      <c r="C40" s="25">
        <v>2.4409230206756199E-2</v>
      </c>
      <c r="D40" s="25">
        <v>2.4467148688098302E-2</v>
      </c>
      <c r="E40" s="25">
        <v>7.2979085432044101E-4</v>
      </c>
    </row>
    <row r="41" spans="2:5" x14ac:dyDescent="0.25">
      <c r="B41" s="1" t="s">
        <v>182</v>
      </c>
      <c r="C41" s="25">
        <v>5.6224193688915597E-2</v>
      </c>
      <c r="D41" s="25">
        <v>5.6357106109794101E-2</v>
      </c>
      <c r="E41" s="25">
        <v>1.65956877001373E-3</v>
      </c>
    </row>
    <row r="42" spans="2:5" x14ac:dyDescent="0.25">
      <c r="B42" s="1" t="s">
        <v>183</v>
      </c>
      <c r="C42" s="25">
        <v>4.8862590092295002E-2</v>
      </c>
      <c r="D42" s="25">
        <v>4.8977557464380699E-2</v>
      </c>
      <c r="E42" s="25">
        <v>1.4363728287801101E-3</v>
      </c>
    </row>
    <row r="43" spans="2:5" x14ac:dyDescent="0.25">
      <c r="B43" s="1" t="s">
        <v>184</v>
      </c>
      <c r="C43" s="25">
        <v>4.8876546589562198E-2</v>
      </c>
      <c r="D43" s="25">
        <v>4.8991385519128801E-2</v>
      </c>
      <c r="E43" s="25">
        <v>1.21046367455395E-3</v>
      </c>
    </row>
    <row r="44" spans="2:5" x14ac:dyDescent="0.25">
      <c r="B44" s="1" t="s">
        <v>185</v>
      </c>
      <c r="C44" s="25">
        <v>2.0940425006008699E-2</v>
      </c>
      <c r="D44" s="25">
        <v>2.0989623342092801E-2</v>
      </c>
      <c r="E44" s="25">
        <v>4.58555171074689E-4</v>
      </c>
    </row>
    <row r="45" spans="2:5" x14ac:dyDescent="0.25">
      <c r="B45" s="26" t="s">
        <v>186</v>
      </c>
      <c r="C45" s="25">
        <v>6.2045185206676297E-3</v>
      </c>
      <c r="D45" s="25">
        <v>3.41613626442769E-3</v>
      </c>
      <c r="E45" s="25">
        <v>0.25158793373774502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270-D0DE-4CA5-BE85-D27F16F723DC}">
  <sheetPr codeName="Sheet8"/>
  <dimension ref="A2:H24"/>
  <sheetViews>
    <sheetView topLeftCell="A13" workbookViewId="0">
      <selection activeCell="H41" sqref="H41"/>
    </sheetView>
  </sheetViews>
  <sheetFormatPr defaultRowHeight="15" x14ac:dyDescent="0.25"/>
  <sheetData>
    <row r="2" spans="1:8" x14ac:dyDescent="0.25">
      <c r="B2" t="s">
        <v>69</v>
      </c>
    </row>
    <row r="3" spans="1:8" x14ac:dyDescent="0.25">
      <c r="A3" t="s">
        <v>32</v>
      </c>
      <c r="E3" t="s">
        <v>49</v>
      </c>
    </row>
    <row r="4" spans="1:8" x14ac:dyDescent="0.25">
      <c r="B4">
        <v>4</v>
      </c>
      <c r="C4">
        <v>20000</v>
      </c>
      <c r="E4" s="2">
        <f>3.14*(25.4*2)^2*C4/10^9</f>
        <v>0.162064192</v>
      </c>
    </row>
    <row r="5" spans="1:8" x14ac:dyDescent="0.25">
      <c r="B5">
        <v>6</v>
      </c>
      <c r="C5">
        <v>18000</v>
      </c>
      <c r="E5" s="2">
        <f>3.14*(25.4*3)^2*C5/10^9</f>
        <v>0.32817998879999993</v>
      </c>
      <c r="G5" t="s">
        <v>47</v>
      </c>
      <c r="H5">
        <v>0.5</v>
      </c>
    </row>
    <row r="7" spans="1:8" x14ac:dyDescent="0.25">
      <c r="A7" t="s">
        <v>34</v>
      </c>
      <c r="B7" t="s">
        <v>70</v>
      </c>
      <c r="C7" t="s">
        <v>71</v>
      </c>
      <c r="E7">
        <f>1*2</f>
        <v>2</v>
      </c>
      <c r="G7" t="s">
        <v>47</v>
      </c>
      <c r="H7">
        <v>2</v>
      </c>
    </row>
    <row r="15" spans="1:8" x14ac:dyDescent="0.25">
      <c r="B15" t="s">
        <v>69</v>
      </c>
    </row>
    <row r="17" spans="1:8" x14ac:dyDescent="0.25">
      <c r="E17" t="s">
        <v>49</v>
      </c>
    </row>
    <row r="18" spans="1:8" x14ac:dyDescent="0.25">
      <c r="B18">
        <v>4</v>
      </c>
      <c r="C18">
        <v>20000</v>
      </c>
      <c r="E18" s="2">
        <f>3.14*(25.4*2)^2*C18/10^9</f>
        <v>0.162064192</v>
      </c>
    </row>
    <row r="19" spans="1:8" x14ac:dyDescent="0.25">
      <c r="B19">
        <v>3</v>
      </c>
      <c r="C19">
        <v>35000</v>
      </c>
      <c r="E19" s="2">
        <f>3.14*(25.4*3)^2*C19/10^9</f>
        <v>0.63812775599999993</v>
      </c>
      <c r="G19" t="s">
        <v>47</v>
      </c>
      <c r="H19">
        <v>1</v>
      </c>
    </row>
    <row r="22" spans="1:8" x14ac:dyDescent="0.25">
      <c r="A22" t="s">
        <v>34</v>
      </c>
      <c r="B22" t="s">
        <v>72</v>
      </c>
      <c r="C22" t="s">
        <v>47</v>
      </c>
    </row>
    <row r="23" spans="1:8" x14ac:dyDescent="0.25">
      <c r="B23" s="4" t="s">
        <v>73</v>
      </c>
      <c r="C23" s="4" t="s">
        <v>71</v>
      </c>
      <c r="D23" s="4"/>
      <c r="E23" s="4">
        <f>1*2</f>
        <v>2</v>
      </c>
      <c r="F23" s="4"/>
      <c r="G23" s="4"/>
      <c r="H23" s="4"/>
    </row>
    <row r="24" spans="1:8" x14ac:dyDescent="0.25">
      <c r="B24" t="s">
        <v>74</v>
      </c>
      <c r="C24" t="s">
        <v>47</v>
      </c>
      <c r="E24">
        <f>1*2</f>
        <v>2</v>
      </c>
      <c r="G24" t="s">
        <v>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2D0-C1EA-4F23-AF75-4D17CFA0F549}">
  <sheetPr codeName="Sheet3"/>
  <dimension ref="B3:F14"/>
  <sheetViews>
    <sheetView workbookViewId="0">
      <selection activeCell="E9" sqref="E9"/>
    </sheetView>
  </sheetViews>
  <sheetFormatPr defaultRowHeight="15" x14ac:dyDescent="0.25"/>
  <cols>
    <col min="5" max="5" width="12" bestFit="1" customWidth="1"/>
  </cols>
  <sheetData>
    <row r="3" spans="2:6" x14ac:dyDescent="0.25">
      <c r="B3" t="s">
        <v>31</v>
      </c>
      <c r="E3" t="s">
        <v>49</v>
      </c>
    </row>
    <row r="4" spans="2:6" x14ac:dyDescent="0.25">
      <c r="B4" t="s">
        <v>65</v>
      </c>
      <c r="E4">
        <f>3.14*25.4^2*60000/10^9</f>
        <v>0.121548144</v>
      </c>
      <c r="F4" t="s">
        <v>50</v>
      </c>
    </row>
    <row r="5" spans="2:6" x14ac:dyDescent="0.25">
      <c r="B5" t="s">
        <v>47</v>
      </c>
      <c r="C5" t="s">
        <v>48</v>
      </c>
    </row>
    <row r="8" spans="2:6" x14ac:dyDescent="0.25">
      <c r="B8" t="s">
        <v>20</v>
      </c>
      <c r="C8" t="s">
        <v>66</v>
      </c>
      <c r="E8" t="s">
        <v>49</v>
      </c>
    </row>
    <row r="9" spans="2:6" x14ac:dyDescent="0.25">
      <c r="B9" t="s">
        <v>67</v>
      </c>
      <c r="C9" t="s">
        <v>68</v>
      </c>
      <c r="E9">
        <f>3.15*(25.4*1.5)^2*3000/10^9</f>
        <v>1.3717714499999999E-2</v>
      </c>
    </row>
    <row r="13" spans="2:6" x14ac:dyDescent="0.25">
      <c r="B13" t="s">
        <v>79</v>
      </c>
      <c r="E13" t="s">
        <v>49</v>
      </c>
    </row>
    <row r="14" spans="2:6" x14ac:dyDescent="0.25">
      <c r="B14" t="s">
        <v>80</v>
      </c>
      <c r="C14" t="s">
        <v>82</v>
      </c>
      <c r="E14">
        <f>3.15*(25.4*2)^2*20000/10^9</f>
        <v>0.16258032</v>
      </c>
      <c r="F14" t="s">
        <v>81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113-4109-4DDF-A5AD-18367950ACF0}">
  <dimension ref="B2:G9"/>
  <sheetViews>
    <sheetView workbookViewId="0">
      <selection activeCell="I15" sqref="I15"/>
    </sheetView>
  </sheetViews>
  <sheetFormatPr defaultRowHeight="15" x14ac:dyDescent="0.25"/>
  <cols>
    <col min="7" max="7" width="67.42578125" customWidth="1"/>
  </cols>
  <sheetData>
    <row r="2" spans="2:7" x14ac:dyDescent="0.25">
      <c r="B2" t="s">
        <v>225</v>
      </c>
      <c r="C2" t="s">
        <v>0</v>
      </c>
      <c r="D2" t="s">
        <v>227</v>
      </c>
      <c r="E2" t="s">
        <v>228</v>
      </c>
      <c r="F2" t="s">
        <v>229</v>
      </c>
      <c r="G2" t="s">
        <v>230</v>
      </c>
    </row>
    <row r="3" spans="2:7" ht="30" x14ac:dyDescent="0.25">
      <c r="B3" t="s">
        <v>213</v>
      </c>
      <c r="C3" t="s">
        <v>226</v>
      </c>
      <c r="D3">
        <v>32</v>
      </c>
      <c r="E3">
        <v>22000</v>
      </c>
      <c r="F3">
        <f>3.14*(25.4*16)^2*E3/10^9</f>
        <v>11.409319116800001</v>
      </c>
      <c r="G3" s="37" t="s">
        <v>231</v>
      </c>
    </row>
    <row r="4" spans="2:7" x14ac:dyDescent="0.25">
      <c r="B4" t="s">
        <v>212</v>
      </c>
      <c r="C4" t="s">
        <v>19</v>
      </c>
      <c r="D4">
        <v>32</v>
      </c>
      <c r="E4">
        <v>100000</v>
      </c>
      <c r="F4">
        <f t="shared" ref="F4:F7" si="0">3.14*(25.4*16)^2*E4/10^9</f>
        <v>51.860541439999999</v>
      </c>
      <c r="G4" t="s">
        <v>232</v>
      </c>
    </row>
    <row r="5" spans="2:7" x14ac:dyDescent="0.25">
      <c r="B5" t="s">
        <v>238</v>
      </c>
      <c r="C5" t="s">
        <v>239</v>
      </c>
      <c r="D5">
        <v>32</v>
      </c>
      <c r="E5">
        <v>5000</v>
      </c>
      <c r="F5">
        <f t="shared" si="0"/>
        <v>2.5930270719999999</v>
      </c>
    </row>
    <row r="6" spans="2:7" x14ac:dyDescent="0.25">
      <c r="D6">
        <v>8</v>
      </c>
      <c r="E6">
        <v>5000</v>
      </c>
      <c r="F6">
        <f>3.14*(25.4*4)^2*E6/10^9</f>
        <v>0.162064192</v>
      </c>
    </row>
    <row r="7" spans="2:7" x14ac:dyDescent="0.25">
      <c r="B7" t="s">
        <v>216</v>
      </c>
      <c r="C7" t="s">
        <v>239</v>
      </c>
      <c r="D7">
        <v>32</v>
      </c>
      <c r="E7">
        <v>10000</v>
      </c>
      <c r="F7">
        <f t="shared" si="0"/>
        <v>5.1860541439999999</v>
      </c>
      <c r="G7" t="s">
        <v>240</v>
      </c>
    </row>
    <row r="9" spans="2:7" x14ac:dyDescent="0.25">
      <c r="C9" t="s">
        <v>241</v>
      </c>
      <c r="G9" t="s">
        <v>242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C18-5AED-47D1-A6C4-F24703E634AF}">
  <sheetPr codeName="Sheet7"/>
  <dimension ref="A2:G11"/>
  <sheetViews>
    <sheetView workbookViewId="0">
      <selection activeCell="O19" sqref="N19:O20"/>
    </sheetView>
  </sheetViews>
  <sheetFormatPr defaultRowHeight="15" x14ac:dyDescent="0.25"/>
  <cols>
    <col min="1" max="1" width="14.85546875" customWidth="1"/>
    <col min="3" max="3" width="12.140625" customWidth="1"/>
    <col min="4" max="4" width="12" bestFit="1" customWidth="1"/>
    <col min="6" max="6" width="10" bestFit="1" customWidth="1"/>
  </cols>
  <sheetData>
    <row r="2" spans="1:7" x14ac:dyDescent="0.25">
      <c r="C2" t="s">
        <v>38</v>
      </c>
      <c r="D2" t="s">
        <v>33</v>
      </c>
      <c r="F2" t="s">
        <v>45</v>
      </c>
    </row>
    <row r="3" spans="1:7" x14ac:dyDescent="0.25">
      <c r="A3" t="s">
        <v>34</v>
      </c>
      <c r="B3" t="s">
        <v>35</v>
      </c>
      <c r="C3" t="s">
        <v>40</v>
      </c>
      <c r="D3" t="s">
        <v>44</v>
      </c>
      <c r="F3">
        <f>3.14*150^2*1600/10^9</f>
        <v>0.11304</v>
      </c>
    </row>
    <row r="4" spans="1:7" x14ac:dyDescent="0.25">
      <c r="B4" t="s">
        <v>37</v>
      </c>
      <c r="C4" t="s">
        <v>41</v>
      </c>
      <c r="F4">
        <f>3.14*300^2*1800/10^9</f>
        <v>0.50868000000000002</v>
      </c>
    </row>
    <row r="5" spans="1:7" x14ac:dyDescent="0.25">
      <c r="B5" t="s">
        <v>36</v>
      </c>
      <c r="C5" t="s">
        <v>42</v>
      </c>
      <c r="F5">
        <f>1</f>
        <v>1</v>
      </c>
    </row>
    <row r="7" spans="1:7" x14ac:dyDescent="0.25">
      <c r="C7" t="s">
        <v>39</v>
      </c>
      <c r="D7" t="s">
        <v>43</v>
      </c>
    </row>
    <row r="8" spans="1:7" x14ac:dyDescent="0.25">
      <c r="A8" t="s">
        <v>32</v>
      </c>
      <c r="B8">
        <v>8</v>
      </c>
      <c r="C8">
        <v>1000</v>
      </c>
      <c r="D8">
        <f>C8*G8/10^9</f>
        <v>3.2412838400000005E-2</v>
      </c>
      <c r="F8">
        <f>B8*25.4/2</f>
        <v>101.6</v>
      </c>
      <c r="G8">
        <f>F8^2*3.14</f>
        <v>32412.838400000001</v>
      </c>
    </row>
    <row r="9" spans="1:7" x14ac:dyDescent="0.25">
      <c r="B9">
        <v>6</v>
      </c>
      <c r="C9">
        <f>3000+3000*2+2000*2+4000*2</f>
        <v>21000</v>
      </c>
      <c r="D9">
        <f>C9*G9/10^9</f>
        <v>0.38287665359999995</v>
      </c>
      <c r="F9">
        <f t="shared" ref="F9:F10" si="0">B9*25.4/2</f>
        <v>76.199999999999989</v>
      </c>
      <c r="G9">
        <f t="shared" ref="G9:G10" si="1">F9^2*3.14</f>
        <v>18232.221599999997</v>
      </c>
    </row>
    <row r="10" spans="1:7" x14ac:dyDescent="0.25">
      <c r="B10">
        <v>4</v>
      </c>
      <c r="C10">
        <v>10000</v>
      </c>
      <c r="D10">
        <f>C10*G10/10^9</f>
        <v>8.1032095999999998E-2</v>
      </c>
      <c r="F10">
        <f t="shared" si="0"/>
        <v>50.8</v>
      </c>
      <c r="G10">
        <f t="shared" si="1"/>
        <v>8103.2096000000001</v>
      </c>
    </row>
    <row r="11" spans="1:7" x14ac:dyDescent="0.25">
      <c r="D11">
        <f>SUM(D8:D10)</f>
        <v>0.49632158799999998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D77-B162-49DA-98A0-1A7847D7DAC9}">
  <dimension ref="A1"/>
  <sheetViews>
    <sheetView workbookViewId="0">
      <selection activeCell="M27" sqref="M27:M2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D73A2-7EAA-4103-B191-161E65B38C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11CE8-7B85-4427-87FC-DF1AB70FCCBA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4acf4f6-2027-4227-902f-54e7acde40e4"/>
    <ds:schemaRef ds:uri="6288cde2-e4af-4292-b2f5-6ae8cb4b003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0DBFD7C-7A71-4F17-8B8A-4E4694DCC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Isolatable summary</vt:lpstr>
      <vt:lpstr>Sheet1</vt:lpstr>
      <vt:lpstr>To be checked</vt:lpstr>
      <vt:lpstr>Material</vt:lpstr>
      <vt:lpstr>reference</vt:lpstr>
      <vt:lpstr>Part count leak freque</vt:lpstr>
      <vt:lpstr>Condition of 013-05_013-06</vt:lpstr>
      <vt:lpstr>062-01_02</vt:lpstr>
      <vt:lpstr>045_057</vt:lpstr>
      <vt:lpstr>021-01_021-02</vt:lpstr>
      <vt:lpstr>043-03</vt:lpstr>
      <vt:lpstr>Sheet2</vt:lpstr>
      <vt:lpstr>FH</vt:lpstr>
      <vt:lpstr>'Isolatable summary'!Print_Area</vt:lpstr>
      <vt:lpstr>'Isolatable summary'!Print_Titles</vt:lpstr>
      <vt:lpstr>R0_</vt:lpstr>
      <vt:lpstr>RHigh</vt:lpstr>
      <vt:lpstr>RLow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Jee-A</dc:creator>
  <cp:keywords/>
  <dc:description/>
  <cp:lastModifiedBy>Sung-Hoon Kim</cp:lastModifiedBy>
  <cp:revision/>
  <cp:lastPrinted>2020-03-03T08:16:09Z</cp:lastPrinted>
  <dcterms:created xsi:type="dcterms:W3CDTF">2020-01-07T02:07:38Z</dcterms:created>
  <dcterms:modified xsi:type="dcterms:W3CDTF">2020-05-02T05:09:11Z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2020-01-07T06:53:28Z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3dbf5441-a42d-4c6f-9183-0000bb09c547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  <property fmtid="{D5CDD505-2E9C-101B-9397-08002B2CF9AE}" pid="10" name="ContentTypeId">
    <vt:lpwstr>0x0101004613AF91B89AB64687405739CD760E5A</vt:lpwstr>
  </property>
</Properties>
</file>