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loydsregistergroup.sharepoint.com/sites/group-proj-energyprj11100223773/Shared Documents/6. Project Work place/01 FRA/PyExdCrv/Rev.B/"/>
    </mc:Choice>
  </mc:AlternateContent>
  <xr:revisionPtr revIDLastSave="699" documentId="8_{33F232BA-2D80-46F3-9E42-E7E3051A05A7}" xr6:coauthVersionLast="41" xr6:coauthVersionMax="45" xr10:uidLastSave="{F8F3134E-C8DD-4028-A321-086C834DBB92}"/>
  <bookViews>
    <workbookView xWindow="-120" yWindow="-120" windowWidth="29040" windowHeight="17640" xr2:uid="{13819909-11E9-4993-88E8-9718048B5B70}"/>
  </bookViews>
  <sheets>
    <sheet name="Isolatable summary" sheetId="1" r:id="rId1"/>
    <sheet name="Sheet1" sheetId="17" r:id="rId2"/>
    <sheet name="To be checked" sheetId="11" r:id="rId3"/>
    <sheet name="Material" sheetId="14" r:id="rId4"/>
    <sheet name="reference" sheetId="13" r:id="rId5"/>
    <sheet name="Part count leak freque" sheetId="9" r:id="rId6"/>
    <sheet name="Condition of 013-05_013-06" sheetId="12" r:id="rId7"/>
    <sheet name="062-01_02" sheetId="10" r:id="rId8"/>
    <sheet name="045_057" sheetId="5" r:id="rId9"/>
    <sheet name="021-01_021-02" sheetId="15" r:id="rId10"/>
    <sheet name="043-03" sheetId="4" r:id="rId11"/>
    <sheet name="Sheet2" sheetId="16" r:id="rId12"/>
  </sheets>
  <definedNames>
    <definedName name="_xlnm._FilterDatabase" localSheetId="0" hidden="1">'Isolatable summary'!$A$2:$AY$81</definedName>
    <definedName name="FH">Sheet1!$G$2</definedName>
    <definedName name="_xlnm.Print_Area" localSheetId="0">'Isolatable summary'!$A$2:$AU$81</definedName>
    <definedName name="_xlnm.Print_Titles" localSheetId="0">'Isolatable summary'!$2:$2</definedName>
    <definedName name="R0_">Sheet1!$I$2</definedName>
    <definedName name="RHigh">Sheet1!$K$2</definedName>
    <definedName name="RLow">Sheet1!$I$2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90" i="1" l="1"/>
  <c r="H88" i="1"/>
  <c r="H87" i="1"/>
  <c r="H86" i="1"/>
  <c r="H85" i="1"/>
  <c r="H89" i="1" l="1"/>
  <c r="AJ23" i="1"/>
  <c r="AJ22" i="1"/>
  <c r="AJ21" i="1"/>
  <c r="G4" i="17" l="1" a="1"/>
  <c r="G4" i="17"/>
  <c r="J4" i="17" s="1"/>
  <c r="H4" i="17"/>
  <c r="K4" i="17" s="1"/>
  <c r="I4" i="17"/>
  <c r="L4" i="17" s="1"/>
  <c r="M4" i="17"/>
  <c r="N4" i="17"/>
  <c r="G5" i="17" a="1"/>
  <c r="I5" i="17" s="1"/>
  <c r="L5" i="17" s="1"/>
  <c r="G5" i="17"/>
  <c r="J5" i="17" s="1"/>
  <c r="M5" i="17"/>
  <c r="N5" i="17"/>
  <c r="G6" i="17" a="1"/>
  <c r="G6" i="17" s="1"/>
  <c r="J6" i="17" s="1"/>
  <c r="H6" i="17"/>
  <c r="K6" i="17" s="1"/>
  <c r="I6" i="17"/>
  <c r="L6" i="17" s="1"/>
  <c r="M6" i="17"/>
  <c r="N6" i="17"/>
  <c r="G7" i="17" a="1"/>
  <c r="H7" i="17" s="1"/>
  <c r="K7" i="17" s="1"/>
  <c r="M7" i="17"/>
  <c r="N7" i="17"/>
  <c r="G8" i="17" a="1"/>
  <c r="G8" i="17" s="1"/>
  <c r="J8" i="17" s="1"/>
  <c r="H8" i="17"/>
  <c r="K8" i="17" s="1"/>
  <c r="M8" i="17"/>
  <c r="N8" i="17"/>
  <c r="G9" i="17" a="1"/>
  <c r="I9" i="17" s="1"/>
  <c r="L9" i="17" s="1"/>
  <c r="G9" i="17"/>
  <c r="J9" i="17" s="1"/>
  <c r="M9" i="17"/>
  <c r="N9" i="17"/>
  <c r="G10" i="17" a="1"/>
  <c r="G10" i="17" s="1"/>
  <c r="J10" i="17" s="1"/>
  <c r="H10" i="17"/>
  <c r="K10" i="17" s="1"/>
  <c r="I10" i="17"/>
  <c r="L10" i="17" s="1"/>
  <c r="M10" i="17"/>
  <c r="N10" i="17"/>
  <c r="G11" i="17" a="1"/>
  <c r="H11" i="17" s="1"/>
  <c r="K11" i="17" s="1"/>
  <c r="G11" i="17"/>
  <c r="J11" i="17" s="1"/>
  <c r="M11" i="17"/>
  <c r="N11" i="17"/>
  <c r="G12" i="17" a="1"/>
  <c r="G12" i="17" s="1"/>
  <c r="J12" i="17" s="1"/>
  <c r="M12" i="17"/>
  <c r="N12" i="17"/>
  <c r="G13" i="17" a="1"/>
  <c r="I13" i="17" s="1"/>
  <c r="L13" i="17" s="1"/>
  <c r="G13" i="17"/>
  <c r="J13" i="17" s="1"/>
  <c r="M13" i="17"/>
  <c r="N13" i="17"/>
  <c r="G14" i="17" a="1"/>
  <c r="G14" i="17" s="1"/>
  <c r="J14" i="17" s="1"/>
  <c r="H14" i="17"/>
  <c r="K14" i="17" s="1"/>
  <c r="M14" i="17"/>
  <c r="N14" i="17"/>
  <c r="G15" i="17" a="1"/>
  <c r="H15" i="17" s="1"/>
  <c r="K15" i="17" s="1"/>
  <c r="M15" i="17"/>
  <c r="N15" i="17"/>
  <c r="G16" i="17" a="1"/>
  <c r="G16" i="17"/>
  <c r="H16" i="17"/>
  <c r="K16" i="17" s="1"/>
  <c r="I16" i="17"/>
  <c r="L16" i="17" s="1"/>
  <c r="J16" i="17"/>
  <c r="M16" i="17"/>
  <c r="N16" i="17"/>
  <c r="G17" i="17" a="1"/>
  <c r="I17" i="17" s="1"/>
  <c r="L17" i="17" s="1"/>
  <c r="G17" i="17"/>
  <c r="J17" i="17" s="1"/>
  <c r="M17" i="17"/>
  <c r="N17" i="17"/>
  <c r="G18" i="17" a="1"/>
  <c r="G18" i="17" s="1"/>
  <c r="J18" i="17" s="1"/>
  <c r="H18" i="17"/>
  <c r="K18" i="17" s="1"/>
  <c r="I18" i="17"/>
  <c r="L18" i="17" s="1"/>
  <c r="M18" i="17"/>
  <c r="N18" i="17"/>
  <c r="G19" i="17" a="1"/>
  <c r="H19" i="17" s="1"/>
  <c r="K19" i="17" s="1"/>
  <c r="M19" i="17"/>
  <c r="N19" i="17"/>
  <c r="G20" i="17" a="1"/>
  <c r="I20" i="17" s="1"/>
  <c r="L20" i="17" s="1"/>
  <c r="G20" i="17"/>
  <c r="J20" i="17" s="1"/>
  <c r="H20" i="17"/>
  <c r="K20" i="17" s="1"/>
  <c r="M20" i="17"/>
  <c r="N20" i="17"/>
  <c r="G21" i="17" a="1"/>
  <c r="I21" i="17" s="1"/>
  <c r="L21" i="17" s="1"/>
  <c r="M21" i="17"/>
  <c r="N21" i="17"/>
  <c r="G22" i="17" a="1"/>
  <c r="G22" i="17" s="1"/>
  <c r="J22" i="17" s="1"/>
  <c r="H22" i="17"/>
  <c r="K22" i="17" s="1"/>
  <c r="I22" i="17"/>
  <c r="L22" i="17" s="1"/>
  <c r="M22" i="17"/>
  <c r="N22" i="17"/>
  <c r="G23" i="17" a="1"/>
  <c r="H23" i="17" s="1"/>
  <c r="K23" i="17" s="1"/>
  <c r="G23" i="17"/>
  <c r="J23" i="17" s="1"/>
  <c r="M23" i="17"/>
  <c r="N23" i="17"/>
  <c r="G24" i="17" a="1"/>
  <c r="G24" i="17" s="1"/>
  <c r="J24" i="17" s="1"/>
  <c r="M24" i="17"/>
  <c r="N24" i="17"/>
  <c r="G25" i="17" a="1"/>
  <c r="I25" i="17" s="1"/>
  <c r="L25" i="17" s="1"/>
  <c r="G25" i="17"/>
  <c r="J25" i="17" s="1"/>
  <c r="M25" i="17"/>
  <c r="N25" i="17"/>
  <c r="G26" i="17" a="1"/>
  <c r="G26" i="17" s="1"/>
  <c r="J26" i="17" s="1"/>
  <c r="M26" i="17"/>
  <c r="N26" i="17"/>
  <c r="G27" i="17" a="1"/>
  <c r="H27" i="17" s="1"/>
  <c r="K27" i="17" s="1"/>
  <c r="G27" i="17"/>
  <c r="J27" i="17" s="1"/>
  <c r="M27" i="17"/>
  <c r="N27" i="17"/>
  <c r="G28" i="17" a="1"/>
  <c r="G28" i="17"/>
  <c r="H28" i="17"/>
  <c r="K28" i="17" s="1"/>
  <c r="I28" i="17"/>
  <c r="L28" i="17" s="1"/>
  <c r="J28" i="17"/>
  <c r="M28" i="17"/>
  <c r="N28" i="17"/>
  <c r="G29" i="17" a="1"/>
  <c r="I29" i="17" s="1"/>
  <c r="L29" i="17" s="1"/>
  <c r="G29" i="17"/>
  <c r="J29" i="17" s="1"/>
  <c r="M29" i="17"/>
  <c r="N29" i="17"/>
  <c r="G30" i="17" a="1"/>
  <c r="G30" i="17" s="1"/>
  <c r="J30" i="17" s="1"/>
  <c r="H30" i="17"/>
  <c r="K30" i="17" s="1"/>
  <c r="I30" i="17"/>
  <c r="L30" i="17" s="1"/>
  <c r="M30" i="17"/>
  <c r="N30" i="17"/>
  <c r="G31" i="17" a="1"/>
  <c r="H31" i="17" s="1"/>
  <c r="K31" i="17" s="1"/>
  <c r="M31" i="17"/>
  <c r="N31" i="17"/>
  <c r="G32" i="17" a="1"/>
  <c r="I32" i="17" s="1"/>
  <c r="L32" i="17" s="1"/>
  <c r="G32" i="17"/>
  <c r="J32" i="17" s="1"/>
  <c r="H32" i="17"/>
  <c r="K32" i="17" s="1"/>
  <c r="M32" i="17"/>
  <c r="N32" i="17"/>
  <c r="G33" i="17" a="1"/>
  <c r="I33" i="17" s="1"/>
  <c r="L33" i="17" s="1"/>
  <c r="M33" i="17"/>
  <c r="N33" i="17"/>
  <c r="G34" i="17" a="1"/>
  <c r="G34" i="17" s="1"/>
  <c r="J34" i="17" s="1"/>
  <c r="H34" i="17"/>
  <c r="K34" i="17" s="1"/>
  <c r="I34" i="17"/>
  <c r="L34" i="17" s="1"/>
  <c r="M34" i="17"/>
  <c r="N34" i="17"/>
  <c r="G35" i="17" a="1"/>
  <c r="H35" i="17" s="1"/>
  <c r="K35" i="17" s="1"/>
  <c r="G35" i="17"/>
  <c r="J35" i="17" s="1"/>
  <c r="M35" i="17"/>
  <c r="N35" i="17"/>
  <c r="G36" i="17" a="1"/>
  <c r="G36" i="17" s="1"/>
  <c r="J36" i="17" s="1"/>
  <c r="M36" i="17"/>
  <c r="N36" i="17"/>
  <c r="G37" i="17" a="1"/>
  <c r="I37" i="17" s="1"/>
  <c r="L37" i="17" s="1"/>
  <c r="G37" i="17"/>
  <c r="J37" i="17" s="1"/>
  <c r="M37" i="17"/>
  <c r="N37" i="17"/>
  <c r="G38" i="17" a="1"/>
  <c r="G38" i="17" s="1"/>
  <c r="J38" i="17" s="1"/>
  <c r="M38" i="17"/>
  <c r="N38" i="17"/>
  <c r="G39" i="17" a="1"/>
  <c r="H39" i="17" s="1"/>
  <c r="K39" i="17" s="1"/>
  <c r="G39" i="17"/>
  <c r="J39" i="17" s="1"/>
  <c r="M39" i="17"/>
  <c r="N39" i="17"/>
  <c r="G40" i="17" a="1"/>
  <c r="G40" i="17"/>
  <c r="H40" i="17"/>
  <c r="K40" i="17" s="1"/>
  <c r="I40" i="17"/>
  <c r="L40" i="17" s="1"/>
  <c r="J40" i="17"/>
  <c r="M40" i="17"/>
  <c r="N40" i="17"/>
  <c r="G41" i="17" a="1"/>
  <c r="I41" i="17" s="1"/>
  <c r="L41" i="17" s="1"/>
  <c r="G41" i="17"/>
  <c r="J41" i="17" s="1"/>
  <c r="M41" i="17"/>
  <c r="N41" i="17"/>
  <c r="G42" i="17" a="1"/>
  <c r="G42" i="17" s="1"/>
  <c r="J42" i="17" s="1"/>
  <c r="H42" i="17"/>
  <c r="K42" i="17" s="1"/>
  <c r="I42" i="17"/>
  <c r="L42" i="17" s="1"/>
  <c r="M42" i="17"/>
  <c r="N42" i="17"/>
  <c r="G43" i="17" a="1"/>
  <c r="H43" i="17" s="1"/>
  <c r="K43" i="17" s="1"/>
  <c r="M43" i="17"/>
  <c r="N43" i="17"/>
  <c r="G44" i="17" a="1"/>
  <c r="I44" i="17" s="1"/>
  <c r="L44" i="17" s="1"/>
  <c r="G44" i="17"/>
  <c r="J44" i="17" s="1"/>
  <c r="H44" i="17"/>
  <c r="K44" i="17" s="1"/>
  <c r="M44" i="17"/>
  <c r="N44" i="17"/>
  <c r="G45" i="17" a="1"/>
  <c r="I45" i="17" s="1"/>
  <c r="L45" i="17" s="1"/>
  <c r="M45" i="17"/>
  <c r="N45" i="17"/>
  <c r="G46" i="17" a="1"/>
  <c r="G46" i="17" s="1"/>
  <c r="J46" i="17" s="1"/>
  <c r="H46" i="17"/>
  <c r="K46" i="17" s="1"/>
  <c r="I46" i="17"/>
  <c r="L46" i="17" s="1"/>
  <c r="M46" i="17"/>
  <c r="N46" i="17"/>
  <c r="G47" i="17" a="1"/>
  <c r="H47" i="17" s="1"/>
  <c r="K47" i="17" s="1"/>
  <c r="G47" i="17"/>
  <c r="J47" i="17" s="1"/>
  <c r="M47" i="17"/>
  <c r="N47" i="17"/>
  <c r="G48" i="17" a="1"/>
  <c r="G48" i="17" s="1"/>
  <c r="J48" i="17" s="1"/>
  <c r="M48" i="17"/>
  <c r="N48" i="17"/>
  <c r="G49" i="17" a="1"/>
  <c r="I49" i="17" s="1"/>
  <c r="L49" i="17" s="1"/>
  <c r="G49" i="17"/>
  <c r="J49" i="17" s="1"/>
  <c r="M49" i="17"/>
  <c r="N49" i="17"/>
  <c r="G50" i="17" a="1"/>
  <c r="G50" i="17" s="1"/>
  <c r="J50" i="17" s="1"/>
  <c r="M50" i="17"/>
  <c r="N50" i="17"/>
  <c r="G51" i="17" a="1"/>
  <c r="H51" i="17" s="1"/>
  <c r="K51" i="17" s="1"/>
  <c r="G51" i="17"/>
  <c r="J51" i="17" s="1"/>
  <c r="M51" i="17"/>
  <c r="N51" i="17"/>
  <c r="G52" i="17" a="1"/>
  <c r="G52" i="17"/>
  <c r="H52" i="17"/>
  <c r="K52" i="17" s="1"/>
  <c r="I52" i="17"/>
  <c r="L52" i="17" s="1"/>
  <c r="J52" i="17"/>
  <c r="M52" i="17"/>
  <c r="N52" i="17"/>
  <c r="G53" i="17" a="1"/>
  <c r="I53" i="17" s="1"/>
  <c r="L53" i="17" s="1"/>
  <c r="G53" i="17"/>
  <c r="J53" i="17" s="1"/>
  <c r="M53" i="17"/>
  <c r="N53" i="17"/>
  <c r="G54" i="17" a="1"/>
  <c r="G54" i="17" s="1"/>
  <c r="J54" i="17" s="1"/>
  <c r="H54" i="17"/>
  <c r="K54" i="17" s="1"/>
  <c r="I54" i="17"/>
  <c r="L54" i="17" s="1"/>
  <c r="M54" i="17"/>
  <c r="N54" i="17"/>
  <c r="G55" i="17" a="1"/>
  <c r="H55" i="17" s="1"/>
  <c r="K55" i="17" s="1"/>
  <c r="M55" i="17"/>
  <c r="N55" i="17"/>
  <c r="G56" i="17" a="1"/>
  <c r="I56" i="17" s="1"/>
  <c r="L56" i="17" s="1"/>
  <c r="G56" i="17"/>
  <c r="J56" i="17" s="1"/>
  <c r="H56" i="17"/>
  <c r="K56" i="17" s="1"/>
  <c r="M56" i="17"/>
  <c r="N56" i="17"/>
  <c r="G57" i="17" a="1"/>
  <c r="I57" i="17" s="1"/>
  <c r="L57" i="17" s="1"/>
  <c r="G57" i="17"/>
  <c r="J57" i="17" s="1"/>
  <c r="M57" i="17"/>
  <c r="N57" i="17"/>
  <c r="G58" i="17" a="1"/>
  <c r="G58" i="17" s="1"/>
  <c r="J58" i="17" s="1"/>
  <c r="H58" i="17"/>
  <c r="K58" i="17" s="1"/>
  <c r="I58" i="17"/>
  <c r="L58" i="17" s="1"/>
  <c r="M58" i="17"/>
  <c r="N58" i="17"/>
  <c r="G59" i="17" a="1"/>
  <c r="H59" i="17" s="1"/>
  <c r="K59" i="17" s="1"/>
  <c r="G59" i="17"/>
  <c r="J59" i="17" s="1"/>
  <c r="M59" i="17"/>
  <c r="N59" i="17"/>
  <c r="G60" i="17" a="1"/>
  <c r="G60" i="17" s="1"/>
  <c r="J60" i="17" s="1"/>
  <c r="M60" i="17"/>
  <c r="N60" i="17"/>
  <c r="G61" i="17" a="1"/>
  <c r="I61" i="17" s="1"/>
  <c r="L61" i="17" s="1"/>
  <c r="G61" i="17"/>
  <c r="J61" i="17" s="1"/>
  <c r="M61" i="17"/>
  <c r="N61" i="17"/>
  <c r="G62" i="17" a="1"/>
  <c r="G62" i="17" s="1"/>
  <c r="J62" i="17" s="1"/>
  <c r="H62" i="17"/>
  <c r="K62" i="17" s="1"/>
  <c r="M62" i="17"/>
  <c r="N62" i="17"/>
  <c r="G63" i="17" a="1"/>
  <c r="H63" i="17" s="1"/>
  <c r="K63" i="17" s="1"/>
  <c r="G63" i="17"/>
  <c r="J63" i="17" s="1"/>
  <c r="M63" i="17"/>
  <c r="N63" i="17"/>
  <c r="G64" i="17" a="1"/>
  <c r="G64" i="17"/>
  <c r="H64" i="17"/>
  <c r="K64" i="17" s="1"/>
  <c r="I64" i="17"/>
  <c r="L64" i="17" s="1"/>
  <c r="J64" i="17"/>
  <c r="M64" i="17"/>
  <c r="N64" i="17"/>
  <c r="G65" i="17" a="1"/>
  <c r="I65" i="17" s="1"/>
  <c r="L65" i="17" s="1"/>
  <c r="G65" i="17"/>
  <c r="J65" i="17" s="1"/>
  <c r="M65" i="17"/>
  <c r="N65" i="17"/>
  <c r="G66" i="17" a="1"/>
  <c r="G66" i="17" s="1"/>
  <c r="J66" i="17" s="1"/>
  <c r="H66" i="17"/>
  <c r="K66" i="17" s="1"/>
  <c r="I66" i="17"/>
  <c r="L66" i="17" s="1"/>
  <c r="M66" i="17"/>
  <c r="N66" i="17"/>
  <c r="G67" i="17" a="1"/>
  <c r="H67" i="17" s="1"/>
  <c r="K67" i="17" s="1"/>
  <c r="M67" i="17"/>
  <c r="N67" i="17"/>
  <c r="G68" i="17" a="1"/>
  <c r="I68" i="17" s="1"/>
  <c r="L68" i="17" s="1"/>
  <c r="G68" i="17"/>
  <c r="J68" i="17" s="1"/>
  <c r="H68" i="17"/>
  <c r="K68" i="17" s="1"/>
  <c r="M68" i="17"/>
  <c r="N68" i="17"/>
  <c r="G69" i="17" a="1"/>
  <c r="I69" i="17" s="1"/>
  <c r="L69" i="17" s="1"/>
  <c r="G69" i="17"/>
  <c r="J69" i="17" s="1"/>
  <c r="M69" i="17"/>
  <c r="N69" i="17"/>
  <c r="G70" i="17" a="1"/>
  <c r="G70" i="17" s="1"/>
  <c r="J70" i="17" s="1"/>
  <c r="H70" i="17"/>
  <c r="K70" i="17" s="1"/>
  <c r="I70" i="17"/>
  <c r="L70" i="17" s="1"/>
  <c r="M70" i="17"/>
  <c r="N70" i="17"/>
  <c r="G71" i="17" a="1"/>
  <c r="G71" i="17"/>
  <c r="H71" i="17"/>
  <c r="K71" i="17" s="1"/>
  <c r="I71" i="17"/>
  <c r="L71" i="17" s="1"/>
  <c r="J71" i="17"/>
  <c r="M71" i="17"/>
  <c r="N71" i="17"/>
  <c r="G72" i="17" a="1"/>
  <c r="I72" i="17" s="1"/>
  <c r="L72" i="17" s="1"/>
  <c r="G72" i="17"/>
  <c r="J72" i="17" s="1"/>
  <c r="M72" i="17"/>
  <c r="N72" i="17"/>
  <c r="G73" i="17" a="1"/>
  <c r="G73" i="17" s="1"/>
  <c r="J73" i="17" s="1"/>
  <c r="H73" i="17"/>
  <c r="K73" i="17" s="1"/>
  <c r="I73" i="17"/>
  <c r="L73" i="17" s="1"/>
  <c r="M73" i="17"/>
  <c r="N73" i="17"/>
  <c r="G74" i="17" a="1"/>
  <c r="H74" i="17" s="1"/>
  <c r="K74" i="17" s="1"/>
  <c r="M74" i="17"/>
  <c r="N74" i="17"/>
  <c r="G75" i="17" a="1"/>
  <c r="I75" i="17" s="1"/>
  <c r="L75" i="17" s="1"/>
  <c r="G75" i="17"/>
  <c r="J75" i="17" s="1"/>
  <c r="H75" i="17"/>
  <c r="K75" i="17" s="1"/>
  <c r="M75" i="17"/>
  <c r="N75" i="17"/>
  <c r="G76" i="17" a="1"/>
  <c r="H76" i="17" s="1"/>
  <c r="K76" i="17" s="1"/>
  <c r="M76" i="17"/>
  <c r="N76" i="17"/>
  <c r="G77" i="17" a="1"/>
  <c r="G77" i="17" s="1"/>
  <c r="J77" i="17" s="1"/>
  <c r="H77" i="17"/>
  <c r="K77" i="17" s="1"/>
  <c r="I77" i="17"/>
  <c r="L77" i="17" s="1"/>
  <c r="M77" i="17"/>
  <c r="N77" i="17"/>
  <c r="G78" i="17" a="1"/>
  <c r="H78" i="17" s="1"/>
  <c r="K78" i="17" s="1"/>
  <c r="G78" i="17"/>
  <c r="J78" i="17" s="1"/>
  <c r="M78" i="17"/>
  <c r="N78" i="17"/>
  <c r="G79" i="17" a="1"/>
  <c r="G79" i="17" s="1"/>
  <c r="J79" i="17" s="1"/>
  <c r="M79" i="17"/>
  <c r="N79" i="17"/>
  <c r="G80" i="17" a="1"/>
  <c r="I80" i="17" s="1"/>
  <c r="L80" i="17" s="1"/>
  <c r="M80" i="17"/>
  <c r="N80" i="17"/>
  <c r="N3" i="17"/>
  <c r="M3" i="17"/>
  <c r="L3" i="17"/>
  <c r="G3" i="17" a="1"/>
  <c r="I3" i="17" s="1"/>
  <c r="G80" i="17" l="1"/>
  <c r="J80" i="17" s="1"/>
  <c r="I8" i="17"/>
  <c r="L8" i="17" s="1"/>
  <c r="G15" i="17"/>
  <c r="J15" i="17" s="1"/>
  <c r="I48" i="17"/>
  <c r="L48" i="17" s="1"/>
  <c r="I24" i="17"/>
  <c r="L24" i="17" s="1"/>
  <c r="I36" i="17"/>
  <c r="L36" i="17" s="1"/>
  <c r="I12" i="17"/>
  <c r="L12" i="17" s="1"/>
  <c r="H79" i="17"/>
  <c r="K79" i="17" s="1"/>
  <c r="H60" i="17"/>
  <c r="K60" i="17" s="1"/>
  <c r="H48" i="17"/>
  <c r="K48" i="17" s="1"/>
  <c r="H36" i="17"/>
  <c r="K36" i="17" s="1"/>
  <c r="H24" i="17"/>
  <c r="K24" i="17" s="1"/>
  <c r="H12" i="17"/>
  <c r="K12" i="17" s="1"/>
  <c r="I79" i="17"/>
  <c r="L79" i="17" s="1"/>
  <c r="I60" i="17"/>
  <c r="L60" i="17" s="1"/>
  <c r="G74" i="17"/>
  <c r="J74" i="17" s="1"/>
  <c r="G67" i="17"/>
  <c r="J67" i="17" s="1"/>
  <c r="I62" i="17"/>
  <c r="L62" i="17" s="1"/>
  <c r="G55" i="17"/>
  <c r="J55" i="17" s="1"/>
  <c r="I50" i="17"/>
  <c r="L50" i="17" s="1"/>
  <c r="G43" i="17"/>
  <c r="J43" i="17" s="1"/>
  <c r="I38" i="17"/>
  <c r="L38" i="17" s="1"/>
  <c r="G31" i="17"/>
  <c r="J31" i="17" s="1"/>
  <c r="I26" i="17"/>
  <c r="L26" i="17" s="1"/>
  <c r="G19" i="17"/>
  <c r="J19" i="17" s="1"/>
  <c r="I14" i="17"/>
  <c r="L14" i="17" s="1"/>
  <c r="G7" i="17"/>
  <c r="J7" i="17" s="1"/>
  <c r="H50" i="17"/>
  <c r="K50" i="17" s="1"/>
  <c r="G45" i="17"/>
  <c r="J45" i="17" s="1"/>
  <c r="H38" i="17"/>
  <c r="K38" i="17" s="1"/>
  <c r="G33" i="17"/>
  <c r="J33" i="17" s="1"/>
  <c r="H26" i="17"/>
  <c r="K26" i="17" s="1"/>
  <c r="G21" i="17"/>
  <c r="J21" i="17" s="1"/>
  <c r="G76" i="17"/>
  <c r="J76" i="17" s="1"/>
  <c r="I76" i="17"/>
  <c r="L76" i="17" s="1"/>
  <c r="H80" i="17"/>
  <c r="K80" i="17" s="1"/>
  <c r="H72" i="17"/>
  <c r="K72" i="17" s="1"/>
  <c r="H69" i="17"/>
  <c r="K69" i="17" s="1"/>
  <c r="H65" i="17"/>
  <c r="K65" i="17" s="1"/>
  <c r="H61" i="17"/>
  <c r="K61" i="17" s="1"/>
  <c r="H57" i="17"/>
  <c r="K57" i="17" s="1"/>
  <c r="H53" i="17"/>
  <c r="K53" i="17" s="1"/>
  <c r="H49" i="17"/>
  <c r="K49" i="17" s="1"/>
  <c r="H45" i="17"/>
  <c r="K45" i="17" s="1"/>
  <c r="H41" i="17"/>
  <c r="K41" i="17" s="1"/>
  <c r="H37" i="17"/>
  <c r="K37" i="17" s="1"/>
  <c r="H33" i="17"/>
  <c r="K33" i="17" s="1"/>
  <c r="H29" i="17"/>
  <c r="K29" i="17" s="1"/>
  <c r="H25" i="17"/>
  <c r="K25" i="17" s="1"/>
  <c r="H21" i="17"/>
  <c r="K21" i="17" s="1"/>
  <c r="H17" i="17"/>
  <c r="K17" i="17" s="1"/>
  <c r="H13" i="17"/>
  <c r="K13" i="17" s="1"/>
  <c r="H9" i="17"/>
  <c r="K9" i="17" s="1"/>
  <c r="H5" i="17"/>
  <c r="K5" i="17" s="1"/>
  <c r="I74" i="17"/>
  <c r="L74" i="17" s="1"/>
  <c r="I67" i="17"/>
  <c r="L67" i="17" s="1"/>
  <c r="I55" i="17"/>
  <c r="L55" i="17" s="1"/>
  <c r="I47" i="17"/>
  <c r="L47" i="17" s="1"/>
  <c r="I43" i="17"/>
  <c r="L43" i="17" s="1"/>
  <c r="I39" i="17"/>
  <c r="L39" i="17" s="1"/>
  <c r="I35" i="17"/>
  <c r="L35" i="17" s="1"/>
  <c r="I31" i="17"/>
  <c r="L31" i="17" s="1"/>
  <c r="I27" i="17"/>
  <c r="L27" i="17" s="1"/>
  <c r="I23" i="17"/>
  <c r="L23" i="17" s="1"/>
  <c r="I19" i="17"/>
  <c r="L19" i="17" s="1"/>
  <c r="I15" i="17"/>
  <c r="L15" i="17" s="1"/>
  <c r="I11" i="17"/>
  <c r="L11" i="17" s="1"/>
  <c r="I7" i="17"/>
  <c r="L7" i="17" s="1"/>
  <c r="I78" i="17"/>
  <c r="L78" i="17" s="1"/>
  <c r="I63" i="17"/>
  <c r="L63" i="17" s="1"/>
  <c r="I59" i="17"/>
  <c r="L59" i="17" s="1"/>
  <c r="I51" i="17"/>
  <c r="L51" i="17" s="1"/>
  <c r="H3" i="17"/>
  <c r="K3" i="17" s="1"/>
  <c r="G3" i="17"/>
  <c r="J3" i="17" s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3" i="1"/>
  <c r="AV30" i="1" l="1"/>
  <c r="Q12" i="14" l="1"/>
  <c r="R14" i="14"/>
  <c r="R15" i="14" s="1"/>
  <c r="S14" i="14"/>
  <c r="T14" i="14"/>
  <c r="T15" i="14" s="1"/>
  <c r="U14" i="14"/>
  <c r="U15" i="14" s="1"/>
  <c r="V14" i="14"/>
  <c r="V15" i="14" s="1"/>
  <c r="W14" i="14"/>
  <c r="S15" i="14"/>
  <c r="W15" i="14"/>
  <c r="Q8" i="14"/>
  <c r="Q7" i="14"/>
  <c r="Q14" i="14" s="1"/>
  <c r="Q15" i="14" s="1"/>
  <c r="P8" i="14" l="1"/>
  <c r="P7" i="14"/>
  <c r="P14" i="14" s="1"/>
  <c r="P15" i="14" s="1"/>
  <c r="O12" i="14"/>
  <c r="O8" i="14"/>
  <c r="O7" i="14"/>
  <c r="O14" i="14" s="1"/>
  <c r="O15" i="14" s="1"/>
  <c r="N8" i="14"/>
  <c r="N7" i="14"/>
  <c r="N14" i="14" s="1"/>
  <c r="N15" i="14" s="1"/>
  <c r="M12" i="14"/>
  <c r="M8" i="14"/>
  <c r="M7" i="14"/>
  <c r="M14" i="14" s="1"/>
  <c r="M15" i="14" s="1"/>
  <c r="L8" i="14"/>
  <c r="L7" i="14"/>
  <c r="L14" i="14" s="1"/>
  <c r="L15" i="14" s="1"/>
  <c r="K12" i="14"/>
  <c r="K8" i="14"/>
  <c r="K7" i="14"/>
  <c r="K14" i="14" l="1"/>
  <c r="K15" i="14" s="1"/>
  <c r="J12" i="14"/>
  <c r="J8" i="14"/>
  <c r="J7" i="14"/>
  <c r="J14" i="14" s="1"/>
  <c r="J15" i="14" s="1"/>
  <c r="I12" i="14"/>
  <c r="I8" i="14"/>
  <c r="I7" i="14"/>
  <c r="I14" i="14" s="1"/>
  <c r="I15" i="14" s="1"/>
  <c r="H12" i="14"/>
  <c r="H8" i="14"/>
  <c r="H7" i="14"/>
  <c r="G12" i="14"/>
  <c r="G8" i="14"/>
  <c r="G7" i="14"/>
  <c r="O13" i="1"/>
  <c r="F12" i="14"/>
  <c r="F8" i="14"/>
  <c r="F7" i="14"/>
  <c r="E12" i="14"/>
  <c r="E8" i="14"/>
  <c r="E14" i="14" s="1"/>
  <c r="E15" i="14" s="1"/>
  <c r="E7" i="14"/>
  <c r="D12" i="14"/>
  <c r="D8" i="14"/>
  <c r="D7" i="14"/>
  <c r="O9" i="1"/>
  <c r="H14" i="14" l="1"/>
  <c r="H15" i="14" s="1"/>
  <c r="F14" i="14"/>
  <c r="F15" i="14" s="1"/>
  <c r="G14" i="14"/>
  <c r="G15" i="14" s="1"/>
  <c r="AB30" i="1"/>
  <c r="AD30" i="1"/>
  <c r="AF30" i="1" s="1"/>
  <c r="AK30" i="1"/>
  <c r="AR30" i="1"/>
  <c r="AU30" i="1"/>
  <c r="F6" i="15" l="1"/>
  <c r="F5" i="15"/>
  <c r="AC22" i="1"/>
  <c r="AD22" i="1" s="1"/>
  <c r="AF22" i="1" s="1"/>
  <c r="AC21" i="1"/>
  <c r="F3" i="15"/>
  <c r="F4" i="15"/>
  <c r="F7" i="15"/>
  <c r="AR23" i="1"/>
  <c r="AK23" i="1"/>
  <c r="AD23" i="1"/>
  <c r="AF23" i="1" s="1"/>
  <c r="AB23" i="1"/>
  <c r="U23" i="1"/>
  <c r="AR22" i="1"/>
  <c r="AK22" i="1"/>
  <c r="AB22" i="1"/>
  <c r="U22" i="1"/>
  <c r="AD4" i="1"/>
  <c r="AD5" i="1"/>
  <c r="AD6" i="1"/>
  <c r="B12" i="14" l="1"/>
  <c r="B8" i="14"/>
  <c r="B7" i="14"/>
  <c r="B14" i="14" l="1"/>
  <c r="B15" i="14" s="1"/>
  <c r="AJ74" i="1"/>
  <c r="AJ71" i="1"/>
  <c r="AJ70" i="1"/>
  <c r="AK69" i="1"/>
  <c r="AD69" i="1"/>
  <c r="AF69" i="1" s="1"/>
  <c r="AB69" i="1"/>
  <c r="AJ67" i="1"/>
  <c r="AK67" i="1" s="1"/>
  <c r="AD67" i="1"/>
  <c r="AF67" i="1" s="1"/>
  <c r="AB67" i="1"/>
  <c r="U67" i="1"/>
  <c r="AJ66" i="1"/>
  <c r="AK66" i="1" s="1"/>
  <c r="AD66" i="1"/>
  <c r="AF66" i="1" s="1"/>
  <c r="AB66" i="1"/>
  <c r="U66" i="1"/>
  <c r="AJ55" i="1"/>
  <c r="AJ53" i="1"/>
  <c r="E12" i="12"/>
  <c r="E11" i="12"/>
  <c r="E10" i="12"/>
  <c r="D2" i="12"/>
  <c r="C2" i="12"/>
  <c r="D12" i="12"/>
  <c r="C12" i="12"/>
  <c r="D11" i="12"/>
  <c r="C11" i="12"/>
  <c r="AU58" i="1" l="1"/>
  <c r="AU57" i="1"/>
  <c r="AU54" i="1"/>
  <c r="AU52" i="1"/>
  <c r="AU51" i="1"/>
  <c r="AU50" i="1"/>
  <c r="AU47" i="1"/>
  <c r="AU45" i="1"/>
  <c r="AU43" i="1"/>
  <c r="AU41" i="1"/>
  <c r="AU38" i="1"/>
  <c r="AU35" i="1"/>
  <c r="AU36" i="1"/>
  <c r="AU27" i="1"/>
  <c r="AU24" i="1"/>
  <c r="AU19" i="1"/>
  <c r="AU15" i="1"/>
  <c r="AU14" i="1"/>
  <c r="AU12" i="1"/>
  <c r="AU9" i="1"/>
  <c r="AU6" i="1"/>
  <c r="AU5" i="1"/>
  <c r="AU4" i="1"/>
  <c r="AU3" i="1"/>
  <c r="U73" i="1"/>
  <c r="AU75" i="1" l="1"/>
  <c r="AU76" i="1"/>
  <c r="AU77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4" i="1"/>
  <c r="AB26" i="1"/>
  <c r="AB27" i="1"/>
  <c r="AB29" i="1"/>
  <c r="AB33" i="1"/>
  <c r="AB34" i="1"/>
  <c r="AB35" i="1"/>
  <c r="AB36" i="1"/>
  <c r="AB37" i="1"/>
  <c r="AB38" i="1"/>
  <c r="AB41" i="1"/>
  <c r="AB42" i="1"/>
  <c r="AB43" i="1"/>
  <c r="AB44" i="1"/>
  <c r="AB45" i="1"/>
  <c r="AB46" i="1"/>
  <c r="AB47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8" i="1"/>
  <c r="AB70" i="1"/>
  <c r="AB71" i="1"/>
  <c r="AB72" i="1"/>
  <c r="AB73" i="1"/>
  <c r="AB74" i="1"/>
  <c r="AB75" i="1"/>
  <c r="AB76" i="1"/>
  <c r="AB77" i="1"/>
  <c r="AB78" i="1"/>
  <c r="AB3" i="1"/>
  <c r="U63" i="1"/>
  <c r="U65" i="1"/>
  <c r="U64" i="1"/>
  <c r="U21" i="1" l="1"/>
  <c r="U78" i="1"/>
  <c r="U20" i="1"/>
  <c r="U19" i="1"/>
  <c r="U8" i="1"/>
  <c r="U7" i="1"/>
  <c r="AF4" i="1"/>
  <c r="AF5" i="1"/>
  <c r="AF6" i="1"/>
  <c r="AD7" i="1"/>
  <c r="AF7" i="1" s="1"/>
  <c r="AD8" i="1"/>
  <c r="AF8" i="1" s="1"/>
  <c r="AD9" i="1"/>
  <c r="AF9" i="1" s="1"/>
  <c r="AD10" i="1"/>
  <c r="AF10" i="1" s="1"/>
  <c r="AD11" i="1"/>
  <c r="AF11" i="1" s="1"/>
  <c r="AD12" i="1"/>
  <c r="AF12" i="1" s="1"/>
  <c r="AD13" i="1"/>
  <c r="AF13" i="1" s="1"/>
  <c r="AD14" i="1"/>
  <c r="AF14" i="1" s="1"/>
  <c r="AD15" i="1"/>
  <c r="AF15" i="1" s="1"/>
  <c r="AD16" i="1"/>
  <c r="AD17" i="1"/>
  <c r="AF17" i="1" s="1"/>
  <c r="AD18" i="1"/>
  <c r="AF18" i="1" s="1"/>
  <c r="AD19" i="1"/>
  <c r="AF19" i="1" s="1"/>
  <c r="AD20" i="1"/>
  <c r="AF20" i="1" s="1"/>
  <c r="AD21" i="1"/>
  <c r="AF21" i="1" s="1"/>
  <c r="AD24" i="1"/>
  <c r="AF24" i="1" s="1"/>
  <c r="AD26" i="1"/>
  <c r="AF26" i="1" s="1"/>
  <c r="AD27" i="1"/>
  <c r="AD29" i="1"/>
  <c r="AF29" i="1" s="1"/>
  <c r="AD33" i="1"/>
  <c r="AF33" i="1" s="1"/>
  <c r="AD34" i="1"/>
  <c r="AF34" i="1" s="1"/>
  <c r="AD35" i="1"/>
  <c r="AF35" i="1" s="1"/>
  <c r="AD36" i="1"/>
  <c r="AF36" i="1" s="1"/>
  <c r="AD37" i="1"/>
  <c r="AF37" i="1" s="1"/>
  <c r="AD38" i="1"/>
  <c r="AF38" i="1" s="1"/>
  <c r="AD41" i="1"/>
  <c r="AF41" i="1" s="1"/>
  <c r="AD42" i="1"/>
  <c r="AF42" i="1" s="1"/>
  <c r="AD43" i="1"/>
  <c r="AF43" i="1" s="1"/>
  <c r="AD44" i="1"/>
  <c r="AF44" i="1" s="1"/>
  <c r="AD45" i="1"/>
  <c r="AF45" i="1" s="1"/>
  <c r="AD46" i="1"/>
  <c r="AF46" i="1" s="1"/>
  <c r="AD47" i="1"/>
  <c r="AF47" i="1" s="1"/>
  <c r="AD50" i="1"/>
  <c r="AF50" i="1" s="1"/>
  <c r="AD51" i="1"/>
  <c r="AF51" i="1" s="1"/>
  <c r="AD52" i="1"/>
  <c r="AF52" i="1" s="1"/>
  <c r="AD53" i="1"/>
  <c r="AF53" i="1" s="1"/>
  <c r="AD54" i="1"/>
  <c r="AF54" i="1" s="1"/>
  <c r="AD55" i="1"/>
  <c r="AF55" i="1" s="1"/>
  <c r="AD56" i="1"/>
  <c r="AF56" i="1" s="1"/>
  <c r="AD57" i="1"/>
  <c r="AF57" i="1" s="1"/>
  <c r="AD58" i="1"/>
  <c r="AF58" i="1" s="1"/>
  <c r="AD59" i="1"/>
  <c r="AF59" i="1" s="1"/>
  <c r="AD60" i="1"/>
  <c r="AF60" i="1" s="1"/>
  <c r="AD61" i="1"/>
  <c r="AF61" i="1" s="1"/>
  <c r="AD62" i="1"/>
  <c r="AF62" i="1" s="1"/>
  <c r="AD63" i="1"/>
  <c r="AF63" i="1" s="1"/>
  <c r="AD64" i="1"/>
  <c r="AF64" i="1" s="1"/>
  <c r="AD65" i="1"/>
  <c r="AF65" i="1" s="1"/>
  <c r="AD68" i="1"/>
  <c r="AF68" i="1" s="1"/>
  <c r="AD70" i="1"/>
  <c r="AF70" i="1" s="1"/>
  <c r="AD71" i="1"/>
  <c r="AF71" i="1" s="1"/>
  <c r="AD72" i="1"/>
  <c r="AF72" i="1" s="1"/>
  <c r="AD73" i="1"/>
  <c r="AF73" i="1" s="1"/>
  <c r="AD74" i="1"/>
  <c r="AF74" i="1" s="1"/>
  <c r="AD75" i="1"/>
  <c r="AF75" i="1" s="1"/>
  <c r="AD76" i="1"/>
  <c r="AF76" i="1" s="1"/>
  <c r="AD77" i="1"/>
  <c r="AF77" i="1" s="1"/>
  <c r="AD78" i="1"/>
  <c r="AF78" i="1" s="1"/>
  <c r="AC3" i="1"/>
  <c r="AD3" i="1" l="1"/>
  <c r="AF3" i="1" s="1"/>
  <c r="AJ73" i="1"/>
  <c r="AK73" i="1" s="1"/>
  <c r="AJ72" i="1"/>
  <c r="AK72" i="1" s="1"/>
  <c r="AK71" i="1"/>
  <c r="AJ78" i="1"/>
  <c r="AJ68" i="1"/>
  <c r="AJ65" i="1"/>
  <c r="AJ64" i="1"/>
  <c r="AJ63" i="1"/>
  <c r="AJ62" i="1"/>
  <c r="AK53" i="1"/>
  <c r="AK55" i="1"/>
  <c r="AF79" i="1"/>
  <c r="AF80" i="1"/>
  <c r="AF81" i="1"/>
  <c r="E14" i="5"/>
  <c r="AR61" i="1" l="1"/>
  <c r="AK61" i="1"/>
  <c r="AR73" i="1" l="1"/>
  <c r="AR63" i="1" l="1"/>
  <c r="AK63" i="1"/>
  <c r="AR65" i="1" l="1"/>
  <c r="AK65" i="1"/>
  <c r="AR64" i="1"/>
  <c r="AK64" i="1"/>
  <c r="AR72" i="1" l="1"/>
  <c r="AR71" i="1"/>
  <c r="E24" i="10" l="1"/>
  <c r="E23" i="10" l="1"/>
  <c r="E19" i="10"/>
  <c r="E18" i="10"/>
  <c r="E7" i="10"/>
  <c r="E5" i="10"/>
  <c r="E4" i="10"/>
  <c r="E9" i="5"/>
  <c r="E4" i="5" l="1"/>
  <c r="AW9" i="1" l="1"/>
  <c r="AW45" i="1"/>
  <c r="AV45" i="1"/>
  <c r="AW43" i="1"/>
  <c r="AV43" i="1"/>
  <c r="AW41" i="1"/>
  <c r="AV41" i="1"/>
  <c r="AW38" i="1"/>
  <c r="AW36" i="1"/>
  <c r="AV38" i="1"/>
  <c r="AV36" i="1"/>
  <c r="AV9" i="1"/>
  <c r="AR4" i="1"/>
  <c r="AR5" i="1"/>
  <c r="AR6" i="1"/>
  <c r="AR7" i="1"/>
  <c r="AR8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4" i="1"/>
  <c r="AR26" i="1"/>
  <c r="AR27" i="1"/>
  <c r="AR29" i="1"/>
  <c r="AR33" i="1"/>
  <c r="AR34" i="1"/>
  <c r="AR35" i="1"/>
  <c r="AR37" i="1"/>
  <c r="AR42" i="1"/>
  <c r="AR44" i="1"/>
  <c r="AR46" i="1"/>
  <c r="AR47" i="1"/>
  <c r="AR50" i="1"/>
  <c r="AR51" i="1"/>
  <c r="AR53" i="1"/>
  <c r="AR55" i="1"/>
  <c r="AR56" i="1"/>
  <c r="AR57" i="1"/>
  <c r="AR58" i="1"/>
  <c r="AR59" i="1"/>
  <c r="AR60" i="1"/>
  <c r="AR62" i="1"/>
  <c r="AR66" i="1"/>
  <c r="AR67" i="1"/>
  <c r="AR68" i="1"/>
  <c r="AR70" i="1"/>
  <c r="AR74" i="1"/>
  <c r="AR75" i="1"/>
  <c r="AR76" i="1"/>
  <c r="AR77" i="1"/>
  <c r="AR78" i="1"/>
  <c r="AR79" i="1"/>
  <c r="AR80" i="1"/>
  <c r="AR81" i="1"/>
  <c r="AR3" i="1"/>
  <c r="AK81" i="1" l="1"/>
  <c r="AK80" i="1"/>
  <c r="AK79" i="1"/>
  <c r="AK78" i="1"/>
  <c r="AK77" i="1"/>
  <c r="AK76" i="1"/>
  <c r="AK75" i="1"/>
  <c r="AK74" i="1"/>
  <c r="AK70" i="1"/>
  <c r="AK68" i="1"/>
  <c r="AK62" i="1"/>
  <c r="AK60" i="1"/>
  <c r="AK59" i="1"/>
  <c r="AK58" i="1"/>
  <c r="AK57" i="1"/>
  <c r="AK56" i="1"/>
  <c r="AK54" i="1"/>
  <c r="AK52" i="1"/>
  <c r="AK51" i="1"/>
  <c r="AK50" i="1"/>
  <c r="AK47" i="1"/>
  <c r="AK46" i="1"/>
  <c r="AK45" i="1"/>
  <c r="AK44" i="1"/>
  <c r="AK43" i="1"/>
  <c r="AK42" i="1"/>
  <c r="AK41" i="1"/>
  <c r="AK38" i="1"/>
  <c r="AK37" i="1"/>
  <c r="AK36" i="1"/>
  <c r="AK35" i="1"/>
  <c r="AK34" i="1"/>
  <c r="AK33" i="1"/>
  <c r="AK29" i="1"/>
  <c r="AK27" i="1"/>
  <c r="AK26" i="1"/>
  <c r="AK24" i="1"/>
  <c r="AK21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AK8" i="1"/>
  <c r="AK7" i="1"/>
  <c r="AK6" i="1"/>
  <c r="AK5" i="1"/>
  <c r="AK4" i="1"/>
  <c r="AK3" i="1"/>
  <c r="F5" i="4" l="1"/>
  <c r="F4" i="4"/>
  <c r="F3" i="4"/>
  <c r="AE27" i="1" l="1"/>
  <c r="AF27" i="1" s="1"/>
  <c r="F9" i="4" l="1"/>
  <c r="G9" i="4" s="1"/>
  <c r="F10" i="4"/>
  <c r="G10" i="4"/>
  <c r="D10" i="4" s="1"/>
  <c r="F8" i="4"/>
  <c r="G8" i="4" s="1"/>
  <c r="D8" i="4" s="1"/>
  <c r="C9" i="4"/>
  <c r="D9" i="4" l="1"/>
  <c r="D11" i="4" s="1"/>
  <c r="AE16" i="1"/>
  <c r="AF16" i="1" s="1"/>
  <c r="D14" i="14" l="1"/>
  <c r="D15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tc={D1E990B0-C9AA-4954-9956-122C1DF67460}</author>
    <author>tc={496CB7E1-6877-49A5-853D-76394DBE4DAF}</author>
    <author>tc={59060254-ED05-4827-A1A0-F6D8C9E6922F}</author>
    <author>tc={2DFDB6BF-9E0D-483C-A097-EA64E67D8A01}</author>
    <author>tc={1F0BC560-1B35-4D59-B3D9-65A1E5C98578}</author>
  </authors>
  <commentList>
    <comment ref="Z2" authorId="0" shapeId="0" xr:uid="{D1E990B0-C9AA-4954-9956-122C1DF67460}">
      <text>
        <t>[Threaded comment]
Your version of Excel allows you to read this threaded comment; however, any edits to it will get removed if the file is opened in a newer version of Excel. Learn more: https://go.microsoft.com/fwlink/?linkid=870924
Comment:
    -. 5% 마진을 적용하기 전의 volume 임
Colume V 의  volume 은 업데이트 되지 X
(failure case 에 대한 참고용으로 남겨둠)
-. Colume AC 의 volume 은 업데이트 된 것.</t>
      </text>
    </comment>
    <comment ref="AD2" authorId="1" shapeId="0" xr:uid="{496CB7E1-6877-49A5-853D-76394DBE4DAF}">
      <text>
        <t>[Threaded comment]
Your version of Excel allows you to read this threaded comment; however, any edits to it will get removed if the file is opened in a newer version of Excel. Learn more: https://go.microsoft.com/fwlink/?linkid=870924
Comment:
    5% increased</t>
      </text>
    </comment>
    <comment ref="AG2" authorId="2" shapeId="0" xr:uid="{59060254-ED05-4827-A1A0-F6D8C9E6922F}">
      <text>
        <t>[Threaded comment]
Your version of Excel allows you to read this threaded comment; however, any edits to it will get removed if the file is opened in a newer version of Excel. Learn more: https://go.microsoft.com/fwlink/?linkid=870924
Comment:
    Largest volume of adjacent section
(considering ESDV/SDV failure case during normal operation)
(ESDV closes)</t>
      </text>
    </comment>
    <comment ref="AQ69" authorId="3" shapeId="0" xr:uid="{2DFDB6BF-9E0D-483C-A097-EA64E67D8A0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continuously connected line</t>
      </text>
    </comment>
    <comment ref="AR69" authorId="4" shapeId="0" xr:uid="{1F0BC560-1B35-4D59-B3D9-65A1E5C98578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continuously connected line</t>
      </text>
    </comment>
  </commentList>
</comments>
</file>

<file path=xl/sharedStrings.xml><?xml version="1.0" encoding="utf-8"?>
<sst xmlns="http://schemas.openxmlformats.org/spreadsheetml/2006/main" count="1706" uniqueCount="888">
  <si>
    <t>Area</t>
  </si>
  <si>
    <t>SCE Cube No.</t>
  </si>
  <si>
    <t xml:space="preserve">Main equipment </t>
  </si>
  <si>
    <t>Most likely leak source</t>
  </si>
  <si>
    <t>Isolation valve-ESDVs/SDVs</t>
  </si>
  <si>
    <t>Piping volume (m3), Ref. [16]</t>
  </si>
  <si>
    <t>Release location and elevation</t>
  </si>
  <si>
    <t>013-01</t>
  </si>
  <si>
    <t>Flowlines</t>
  </si>
  <si>
    <t>S05</t>
  </si>
  <si>
    <t>N1</t>
  </si>
  <si>
    <t>G</t>
  </si>
  <si>
    <t>Flange connections at flowline, 1m from the bottom</t>
  </si>
  <si>
    <t>Yes
2"-BDV-0001</t>
  </si>
  <si>
    <t>N2</t>
  </si>
  <si>
    <t>C1</t>
  </si>
  <si>
    <t>C2</t>
  </si>
  <si>
    <t>Yes
2"-BDV-0004</t>
  </si>
  <si>
    <t>013-02</t>
  </si>
  <si>
    <t>Dead oil circulation</t>
  </si>
  <si>
    <t>020-01</t>
  </si>
  <si>
    <t>Slug catcher</t>
  </si>
  <si>
    <t>Flange connections at 020-VZ-001</t>
  </si>
  <si>
    <t>Flange connections to 020-VZ-001, 1m from  the bottom</t>
  </si>
  <si>
    <t>L</t>
  </si>
  <si>
    <t>Flange connections from 020-VZ-001</t>
  </si>
  <si>
    <t>Flange connections from 020-VZ-001, 1m from  the bottom</t>
  </si>
  <si>
    <t>No</t>
  </si>
  <si>
    <t>020-02</t>
  </si>
  <si>
    <t>HP separator</t>
  </si>
  <si>
    <t>Flange connections to 020-VZ-002</t>
  </si>
  <si>
    <t>Flange connections from 020-VZ-002, 1m from  the bottom</t>
  </si>
  <si>
    <t xml:space="preserve">020-VZ-002 </t>
  </si>
  <si>
    <t>Flange connections from 020-VZ-002</t>
  </si>
  <si>
    <t>Yes
4"-BDV-0004</t>
  </si>
  <si>
    <t>Test separator</t>
  </si>
  <si>
    <t>Flange connections to 020-VZ-005</t>
  </si>
  <si>
    <t>Flange connections from 020-VZ-005</t>
  </si>
  <si>
    <t>Yes
4"-BDV-0003</t>
  </si>
  <si>
    <t>020-03</t>
  </si>
  <si>
    <t>MP separator</t>
  </si>
  <si>
    <t>S04</t>
  </si>
  <si>
    <t>Flange connections to 020-VZ-003</t>
  </si>
  <si>
    <t xml:space="preserve"> </t>
  </si>
  <si>
    <t>Flange connection to 020-VZ-003, 1m from the bottom</t>
  </si>
  <si>
    <t xml:space="preserve">020-VZ-003 </t>
  </si>
  <si>
    <t>Flange connections  from 020-VZ-003</t>
  </si>
  <si>
    <t>Flange connection from 020-VZ-003, 1m from the bottom</t>
  </si>
  <si>
    <t>8-1</t>
  </si>
  <si>
    <t xml:space="preserve">020-VZ-003,020-VZ-006 </t>
  </si>
  <si>
    <t>Flange connections  from/to 020-VZ-006</t>
  </si>
  <si>
    <t>Flange connection from 020-VZ-006, 1m from the bottom</t>
  </si>
  <si>
    <t>020-04</t>
  </si>
  <si>
    <t>Flange connections from 020-VZ-004, 1m from the bottom</t>
  </si>
  <si>
    <t xml:space="preserve">020-VZ-004 </t>
  </si>
  <si>
    <t>Flange connections from 020-VZ-004</t>
  </si>
  <si>
    <t>14"-SDV-0020</t>
  </si>
  <si>
    <t>021-01</t>
  </si>
  <si>
    <t>Condensate export metering</t>
  </si>
  <si>
    <t>S02</t>
  </si>
  <si>
    <t>021-UN-001</t>
  </si>
  <si>
    <t>Flange connections from 021-UN-001</t>
  </si>
  <si>
    <t>-</t>
  </si>
  <si>
    <t>Flange connections from 021-UN-001, 1m from the bottom</t>
  </si>
  <si>
    <t>023-01</t>
  </si>
  <si>
    <t>LP compression</t>
  </si>
  <si>
    <t>P03</t>
  </si>
  <si>
    <t>Flange connections from 023-KZ-001, 1m from the bottom</t>
  </si>
  <si>
    <t>lange connections at 023-VZ-001, 1m from the bottom</t>
  </si>
  <si>
    <t>023-02</t>
  </si>
  <si>
    <t xml:space="preserve">023-ES-002, 023-VZ-002, 023-KZ-002 </t>
  </si>
  <si>
    <t>Flange connections  at 023-KZ-002, 1m from the bottom</t>
  </si>
  <si>
    <t>Yes
2"-BDV-0005</t>
  </si>
  <si>
    <t>023-VZ-002</t>
  </si>
  <si>
    <t>Flange connections at 023-VZ-002</t>
  </si>
  <si>
    <t>3"-SDV-0004</t>
  </si>
  <si>
    <t>Flange connections at 023-VZ-002, 1m from the bottom</t>
  </si>
  <si>
    <t>023-03</t>
  </si>
  <si>
    <t>HP compression train1/2</t>
  </si>
  <si>
    <t>S03</t>
  </si>
  <si>
    <t>114A</t>
  </si>
  <si>
    <t>Flange connections at 023-KZ-004A, 1m from the bottom</t>
  </si>
  <si>
    <t>Yes
4"-BDV-0003A</t>
  </si>
  <si>
    <t>112-1</t>
  </si>
  <si>
    <t>023-VZ-003A</t>
  </si>
  <si>
    <t>Flange connections at 023-VZ-003A</t>
  </si>
  <si>
    <t>4"-SDV-0007A</t>
  </si>
  <si>
    <t>Flange connections at 023-VZ-003A, 1m from the bottom</t>
  </si>
  <si>
    <t>113-5</t>
  </si>
  <si>
    <t xml:space="preserve">023-VZ-004A </t>
  </si>
  <si>
    <t>Flange connections at 023-VZ-004A</t>
  </si>
  <si>
    <t>4"-SDV-0010A</t>
  </si>
  <si>
    <t>Flange connections at 023-VZ-004A, 1m from the bottom</t>
  </si>
  <si>
    <t>023-04</t>
  </si>
  <si>
    <t>HP separator gas outlet</t>
  </si>
  <si>
    <t>Valve and piping</t>
  </si>
  <si>
    <t>Flange connections</t>
  </si>
  <si>
    <t>Flange connections, 1m from the bottom</t>
  </si>
  <si>
    <t>024-01</t>
  </si>
  <si>
    <t>TEG contactor inlet filter coalesce</t>
  </si>
  <si>
    <t>P04</t>
  </si>
  <si>
    <t>Flange connections at 024-VF-001A</t>
  </si>
  <si>
    <t>Flange connections at 024-VF-001A, 1m form the bottom</t>
  </si>
  <si>
    <t>Yes
3"-BDV-0003</t>
  </si>
  <si>
    <t>117-1</t>
  </si>
  <si>
    <t xml:space="preserve">024-VF-001A </t>
  </si>
  <si>
    <t>2"-SDV-0001A
3"-SDV-0002A</t>
  </si>
  <si>
    <t>024-02</t>
  </si>
  <si>
    <t>Mercury removal filters</t>
  </si>
  <si>
    <t>025-HE-001, 025-VC-001A/B, 025-VF-001A</t>
  </si>
  <si>
    <t>Flange connections at 025-VF-001A</t>
  </si>
  <si>
    <t>Flange connections at 025-VF-001A, 1m from the bottom</t>
  </si>
  <si>
    <t>024-03</t>
  </si>
  <si>
    <t>TEG contactor</t>
  </si>
  <si>
    <t>024-VC-001</t>
  </si>
  <si>
    <t>Flange connections at  024-VC-001</t>
  </si>
  <si>
    <t>Flange connections at  024-VC-001, 1m from the bottom</t>
  </si>
  <si>
    <t>025-01</t>
  </si>
  <si>
    <t>Gas dew pointing</t>
  </si>
  <si>
    <t>025-EM-002, 025-VZ-001</t>
  </si>
  <si>
    <t>Flange connections at  025-VZ-001</t>
  </si>
  <si>
    <t>Flange connections at  025-VZ-001, 1m from the bottom</t>
  </si>
  <si>
    <t>121-1</t>
  </si>
  <si>
    <t>025-VZ-001</t>
  </si>
  <si>
    <t>6"-SDV-0004</t>
  </si>
  <si>
    <t>025-02</t>
  </si>
  <si>
    <t>LT separator</t>
  </si>
  <si>
    <t>025-VZ-002, 025-EM-002</t>
  </si>
  <si>
    <t>Flange connections at  025-VZ-002</t>
  </si>
  <si>
    <t>Flange connections at  025-VZ-002, 1m from the bottom</t>
  </si>
  <si>
    <t xml:space="preserve">025-VZ-002 </t>
  </si>
  <si>
    <t>8"-SDV-0005</t>
  </si>
  <si>
    <t>027-01</t>
  </si>
  <si>
    <t>P05</t>
  </si>
  <si>
    <t xml:space="preserve">027-VZ-001A, 027-KZ-001A, 027-ES-001A </t>
  </si>
  <si>
    <t>Flange connections at 027-KA-001A</t>
  </si>
  <si>
    <t>Flange connections at 027-KA-001A, 1m from the bottom</t>
  </si>
  <si>
    <t>027-02</t>
  </si>
  <si>
    <t>Gas export</t>
  </si>
  <si>
    <t>027-UN-001</t>
  </si>
  <si>
    <t>Flange connections at 027-UN-001</t>
  </si>
  <si>
    <t>Flange connections at 027-UN-001, 1m from the bottom</t>
  </si>
  <si>
    <t>Yes
3"-BDV-0003A</t>
  </si>
  <si>
    <t>027-03</t>
  </si>
  <si>
    <t>Gas export to turret</t>
  </si>
  <si>
    <t>259-1</t>
  </si>
  <si>
    <t>Yes
3"-BDV-0003B</t>
  </si>
  <si>
    <t>043-01</t>
  </si>
  <si>
    <t>HP KO drum</t>
  </si>
  <si>
    <t>KOD</t>
  </si>
  <si>
    <t xml:space="preserve">043-VZ-001 </t>
  </si>
  <si>
    <t>Flange connections at 043-VZ-001</t>
  </si>
  <si>
    <t>6"-ESDV-0003</t>
  </si>
  <si>
    <t>043-02</t>
  </si>
  <si>
    <t>LP KO drum</t>
  </si>
  <si>
    <t xml:space="preserve">043-VZ-002 </t>
  </si>
  <si>
    <t>Flange connections at 043-VZ-002</t>
  </si>
  <si>
    <t>043-03</t>
  </si>
  <si>
    <t>HC gas receovery unit</t>
  </si>
  <si>
    <t>045-01</t>
  </si>
  <si>
    <t>045-HE-002</t>
  </si>
  <si>
    <t>Flange connections at 045-HE-002</t>
  </si>
  <si>
    <t>Flange connections at 045-HE-002, 1m from the bottom</t>
  </si>
  <si>
    <t>045-02</t>
  </si>
  <si>
    <t>045-VZ-001, 045-ES-001, 045-VF-001A/B</t>
  </si>
  <si>
    <t>Flange connections at 045-VZ-001</t>
  </si>
  <si>
    <t>Flange connections at 045-VZ-001, 1m from the bottom</t>
  </si>
  <si>
    <t>Yes
6"-BDV-001</t>
  </si>
  <si>
    <t>046-01</t>
  </si>
  <si>
    <t>P02</t>
  </si>
  <si>
    <t>Flange connections at 046-PR-001A/B/C,  1m from the bottom</t>
  </si>
  <si>
    <t>Flange connections,  1m from the bottom</t>
  </si>
  <si>
    <t>046-02</t>
  </si>
  <si>
    <t>Hull</t>
  </si>
  <si>
    <t>3"-ESDV-0001</t>
  </si>
  <si>
    <t>057-01</t>
  </si>
  <si>
    <t>Closed drain</t>
  </si>
  <si>
    <t>057-VZ-001</t>
  </si>
  <si>
    <t>Flange connections at 057-VZ-001</t>
  </si>
  <si>
    <t>131-01</t>
  </si>
  <si>
    <t>Condensate loading</t>
  </si>
  <si>
    <t>Flange connections to tank</t>
  </si>
  <si>
    <t>Flange connection, 1m from the bottom</t>
  </si>
  <si>
    <t>131-01-aftP</t>
  </si>
  <si>
    <t>131-01 fwdS</t>
  </si>
  <si>
    <t>131-01-aftS</t>
  </si>
  <si>
    <t>131-02</t>
  </si>
  <si>
    <t>Condensate offloading</t>
  </si>
  <si>
    <t>131-02-aftP</t>
  </si>
  <si>
    <t>131-02 fwdS</t>
  </si>
  <si>
    <t>131-02-aftS</t>
  </si>
  <si>
    <t>MP compression</t>
  </si>
  <si>
    <t>Density</t>
  </si>
  <si>
    <t>Yes
3"-BDV-0001</t>
  </si>
  <si>
    <t>Yes
3"-BDV-0002</t>
  </si>
  <si>
    <t>Yes
3"-BDV-0004</t>
  </si>
  <si>
    <t>Flowline (N2), production swivel No.2</t>
  </si>
  <si>
    <t>Flowline (N1), production swivel No.2</t>
  </si>
  <si>
    <t>Flowline (C1), production swivel No. 4</t>
  </si>
  <si>
    <t>Flowline (C2), production swivel No.3</t>
  </si>
  <si>
    <t>3-1</t>
  </si>
  <si>
    <t>4"-BDV-0005</t>
  </si>
  <si>
    <t>025-ES-001, 043-PE-001A/B, 043-PE-002A/B,057-PE-001A/B, 020-ES-001</t>
  </si>
  <si>
    <t>Yes
3"-BDV-0005</t>
  </si>
  <si>
    <t>11-2</t>
  </si>
  <si>
    <t>Flange connections at 020-PC-001A</t>
  </si>
  <si>
    <t>020-ES-002, 020-VZ-004, 020-PC-001A/B/C, 020-ES-001, 020-VF-001A, 020-VF-002A, 020-EP-002A</t>
  </si>
  <si>
    <t xml:space="preserve">023-VZ-001, 023-PE-001A/B </t>
  </si>
  <si>
    <t>2"-SDV-0020</t>
  </si>
  <si>
    <t>16"-SDV-0016</t>
  </si>
  <si>
    <t>10"-SDV-0018</t>
  </si>
  <si>
    <t>Flange connections at 023-PE-001A/B</t>
  </si>
  <si>
    <t xml:space="preserve">023-ES-003A, 023-VZ-003A, 023-KZ-003A, 023-ES-004A, 023-VZ-004A, 023-KZ-004A </t>
  </si>
  <si>
    <t>20"-SDV-0012
14"-SDV-0012A
14"-SDV-0012B
20"-SDV-0008</t>
  </si>
  <si>
    <t xml:space="preserve">Yes
4"-BDV-0003A
4"-BDV-0003B
</t>
  </si>
  <si>
    <t>Yes
4"-BDV-0001A
4"-BDV-0001B</t>
  </si>
  <si>
    <t>20"-SDV-0008
20"-SDV-0001</t>
  </si>
  <si>
    <t>20"-SDV-0001
20"-SDV-0005
4"-SDV-0003</t>
  </si>
  <si>
    <t>20"-SDV-0005
18"-SDV-0003</t>
  </si>
  <si>
    <t>Yes
6"-BDV-0002A
4"-BDV-0001B</t>
  </si>
  <si>
    <t>Yes
6"-BDV-0003A
6"-BDV-0003B</t>
  </si>
  <si>
    <t>18"-SDV-0003
16"-SDV-0009A
16"-SDV-0009B</t>
  </si>
  <si>
    <t>16"-SDV-0009A
12"-SDV-0003A</t>
  </si>
  <si>
    <t>16"-ESDV-0001
12"-SDV-0003A
12"-SDV-0003B
3"-SDV-0005</t>
  </si>
  <si>
    <t>3"-ESDV-0002</t>
  </si>
  <si>
    <t>Yes
26"-BDV-0001</t>
  </si>
  <si>
    <t>4"-ESDV-0006</t>
  </si>
  <si>
    <t>8"-ESDV-0005</t>
  </si>
  <si>
    <t>Yes
10"-BDV-0002</t>
  </si>
  <si>
    <t>3"-SDV-0005
3"-SDV-0005</t>
  </si>
  <si>
    <t>Yes
2"-BDV-0002</t>
  </si>
  <si>
    <t>045-03</t>
  </si>
  <si>
    <t>piping</t>
  </si>
  <si>
    <t>046-03</t>
  </si>
  <si>
    <t>Piping</t>
  </si>
  <si>
    <t>046-04</t>
  </si>
  <si>
    <t>6"-ESDV-0001</t>
  </si>
  <si>
    <t>013-ES-001, 013-PC-001A/B</t>
  </si>
  <si>
    <t>013-PC-002-A/B</t>
  </si>
  <si>
    <t>Flange connections at 013-PC-001A/B</t>
  </si>
  <si>
    <t>Flange connections at 013-PC-002A/B</t>
  </si>
  <si>
    <t>020-05</t>
  </si>
  <si>
    <t>020-VZ-005</t>
  </si>
  <si>
    <t>8"-ESDV-0005
6"-SDV-0001</t>
  </si>
  <si>
    <t>043-KZ-001(cooler, KO drum, blower)</t>
  </si>
  <si>
    <t>Flange connections at 043-KZ-001</t>
  </si>
  <si>
    <t>Volume</t>
  </si>
  <si>
    <t>Equipment</t>
  </si>
  <si>
    <t>cooler</t>
  </si>
  <si>
    <t>Blower</t>
  </si>
  <si>
    <t>KO drum</t>
  </si>
  <si>
    <t>Size</t>
  </si>
  <si>
    <t>length</t>
  </si>
  <si>
    <t>1600 * 300</t>
  </si>
  <si>
    <t>1800*600</t>
  </si>
  <si>
    <t>1000*1000</t>
  </si>
  <si>
    <t>volume</t>
  </si>
  <si>
    <t>assumed 2 for total</t>
  </si>
  <si>
    <t>Brief- Max</t>
  </si>
  <si>
    <t>ESDV/SDV Failure case</t>
  </si>
  <si>
    <t>6"-SDV-0004
8"-SDV-0005
12"-SDV-0003
2"-SDV-0020
4"-SDV-0007A
4"-SDV-0010A
4"-SDV-0007B
4"-SDV-0010B</t>
  </si>
  <si>
    <t>12"-SDV-0006A
14"-SDV-0012A</t>
  </si>
  <si>
    <t xml:space="preserve">Downstream
020-03-01(normally, SDV-0007A, 19.8) </t>
  </si>
  <si>
    <t>Downstream
020-03-01(normally,  SDV-0010A, 19.8)</t>
  </si>
  <si>
    <t>Downstream
043-03(normal, ESDV-0005, 2.5</t>
  </si>
  <si>
    <t>2"-SDV-0002
2"-SDV-0003</t>
  </si>
  <si>
    <t xml:space="preserve">32"-ESDV-0002
</t>
  </si>
  <si>
    <t>assumed</t>
  </si>
  <si>
    <t>1000*6</t>
  </si>
  <si>
    <t>v</t>
  </si>
  <si>
    <t>assumd 1</t>
  </si>
  <si>
    <t>2"-ESDV-0004A</t>
  </si>
  <si>
    <t>Note for ESDV/SDV failure case</t>
  </si>
  <si>
    <t>Note for BDV</t>
  </si>
  <si>
    <t>There are two types of blowdown lines provided for each flowline; 1) emergency blowdown line and 2) riser depressurisation line.
1) &amp; 2) are interlocked to prevent simultaneous  openiong.</t>
  </si>
  <si>
    <t>No BDV valve</t>
  </si>
  <si>
    <t>staged blowdown</t>
  </si>
  <si>
    <t>Another depressure line for compressor start up
(tag: XV 0008)</t>
  </si>
  <si>
    <t>Yes
6"-BDV-0001A
4"-BDV-0001B</t>
  </si>
  <si>
    <t>Yes
6"-BDV-0004A</t>
  </si>
  <si>
    <t>another depressure line for start up</t>
  </si>
  <si>
    <t>Staged blowdown</t>
  </si>
  <si>
    <t>AT downstream of the LT separator
liquid section</t>
  </si>
  <si>
    <t>013-03</t>
  </si>
  <si>
    <t>Level</t>
  </si>
  <si>
    <t>B</t>
  </si>
  <si>
    <t>A</t>
  </si>
  <si>
    <t>staged blowdown
BD report  (primary 1224, secondary 1714)</t>
  </si>
  <si>
    <t>Dynamic inventory</t>
  </si>
  <si>
    <t>Mass flow [kg/hr]</t>
  </si>
  <si>
    <t>Mass flow [kg/s]</t>
  </si>
  <si>
    <t xml:space="preserve">16"-ESDV-0001
12"-ESDV-0041
12"-ESDV-0051 
12"-ESDV-0061 </t>
  </si>
  <si>
    <t>Orifice area
(Flare and blow down report)</t>
  </si>
  <si>
    <t>1224
1714</t>
  </si>
  <si>
    <t>393
587</t>
  </si>
  <si>
    <t>540
752</t>
  </si>
  <si>
    <t>567
772</t>
  </si>
  <si>
    <t>574
785</t>
  </si>
  <si>
    <t>729
1003</t>
  </si>
  <si>
    <t>No RO</t>
  </si>
  <si>
    <t>22.37
27.35</t>
  </si>
  <si>
    <t>26.23
30.95</t>
  </si>
  <si>
    <t>26.88
31.36</t>
  </si>
  <si>
    <t>27.04
31.62</t>
  </si>
  <si>
    <t>30.47
35.75</t>
  </si>
  <si>
    <t>39.49
46.73</t>
  </si>
  <si>
    <t>Flange connections at 013-PC-001A/B, 1m from the bottom</t>
  </si>
  <si>
    <t>Flange connections at 013-PC-002A/B, 1m from the bottom</t>
  </si>
  <si>
    <t>Flange connections at 020-PC-001A, 1m from the bottom</t>
  </si>
  <si>
    <t>Flange connections to 020-VZ-005, 1m from  the bottom</t>
  </si>
  <si>
    <t>Flange connections from 020-VZ-005, 1m from  the bottom</t>
  </si>
  <si>
    <t>Flange connections at 043-VZ-001, 1m from the bottom</t>
  </si>
  <si>
    <t>Flange connections at 043-VZ-002, 1m from the bottom</t>
  </si>
  <si>
    <t>Flange connections at 043-KZ-001, 1m from the bottom</t>
  </si>
  <si>
    <t>045-VZ-001, 045-VF-001A/B</t>
  </si>
  <si>
    <t>Flange connection at 057-VZ-001, 1m from the bottom</t>
  </si>
  <si>
    <t>12"-SDV-0003</t>
  </si>
  <si>
    <t>10"-SDV-0004</t>
  </si>
  <si>
    <t>10"-SDV-0004
10"-ESDV-0001</t>
  </si>
  <si>
    <t>8"-SDV-0002</t>
  </si>
  <si>
    <t>32"-ESDV-0002</t>
  </si>
  <si>
    <t>16"-SDV-0016
10"-SDV-0013
12"-SDV-0006A
12"-SDV-0006B</t>
  </si>
  <si>
    <t>2"-SDV-0014</t>
  </si>
  <si>
    <t xml:space="preserve">023-VZ-001(P03, deck A), 023-PE-001A/B(P03, Deck A) </t>
  </si>
  <si>
    <t>024-ES-001(S03, deckB), 025-ES-001(S03, deckB), 024-VF-001A(P04, deckB)</t>
  </si>
  <si>
    <t>Description</t>
  </si>
  <si>
    <t>Assumption</t>
  </si>
  <si>
    <t>020-UN-001</t>
  </si>
  <si>
    <t>027-01-G</t>
  </si>
  <si>
    <t>Export compression train 1 &amp; 2</t>
  </si>
  <si>
    <t>bellows silencer</t>
  </si>
  <si>
    <t>valve</t>
  </si>
  <si>
    <t>blower</t>
  </si>
  <si>
    <t>2"/4</t>
  </si>
  <si>
    <t>gas</t>
  </si>
  <si>
    <t>assed</t>
  </si>
  <si>
    <t>1000*3</t>
  </si>
  <si>
    <t>062-01</t>
  </si>
  <si>
    <t>062-02</t>
  </si>
  <si>
    <t>162-PE-005-A/B</t>
  </si>
  <si>
    <t>Flange connections at PE-005 A/B</t>
  </si>
  <si>
    <t>4"-ESDV-0001</t>
  </si>
  <si>
    <t xml:space="preserve">Engine roon </t>
  </si>
  <si>
    <t>3rd deck(purifier room)</t>
  </si>
  <si>
    <t>162-PE-005-A/B
(3rd deck purifier room)</t>
  </si>
  <si>
    <t>Pump</t>
  </si>
  <si>
    <t>1m1m1m 기준</t>
  </si>
  <si>
    <t>GTG</t>
  </si>
  <si>
    <t>Filter</t>
  </si>
  <si>
    <t>console</t>
  </si>
  <si>
    <t>013-04</t>
  </si>
  <si>
    <t>013-05</t>
  </si>
  <si>
    <t>013-06</t>
  </si>
  <si>
    <t>from 8"-ESDV-0009
to 6"-ESDV-0019</t>
  </si>
  <si>
    <t>to 10"-SDV-0001</t>
  </si>
  <si>
    <t>to 14"-SDV-0020</t>
  </si>
  <si>
    <t>to 2"-SDV-0020</t>
  </si>
  <si>
    <t>from 10"-SDV-0002
10"-SDV-0018
to 10"-SDV-0013</t>
  </si>
  <si>
    <t>to 3"-SDV-0004</t>
  </si>
  <si>
    <t xml:space="preserve"> 12"-SDV-0004
</t>
  </si>
  <si>
    <t>12"-SDV-0010</t>
  </si>
  <si>
    <t xml:space="preserve"> 12"-SDV-0013</t>
  </si>
  <si>
    <t>12"-SDV-0016</t>
  </si>
  <si>
    <t>12"-ESDV-0001
 8"-ESDV-0002</t>
  </si>
  <si>
    <t>8"-ESDV-0009
 6"-ESDV-0019</t>
  </si>
  <si>
    <t>from 12”-SDV-0004
12”-SDV-0010
12”-SDV-0013
12”-SDV-0016
2"-SDV-0011
to 20"-SDV-0012
2"-SDV-0024</t>
  </si>
  <si>
    <t>12”-SDV-0004
12”-SDV-0010
12”-SDV-0013
12”-SDV-0016
20"-SDV-0012</t>
  </si>
  <si>
    <t xml:space="preserve"> 10"-SDV-0001</t>
  </si>
  <si>
    <t>from 20"-SDV-0007
20"-SDV-0009
20"-SDV-0012
 20"-SDV-0015
2"-SDV-0002
2"-SDV-0003
2"-SDV-0004
2"-SDV-0001A
2"-SDV-0001B
2"-SDV-0001A
2"-SDV-0001C
3"-SDV-0002A
2"-SDV-0001B
3"-SDV-0002B
10"-SDV-0001
2"-SDV-0014</t>
  </si>
  <si>
    <t xml:space="preserve"> 20"-SDV-0007
20"-SDV-0009
20"-SDV-0012
20"-SDV-0015
2"-SDV-0002
2"-SDV-0003
2"-SDV-0001A
2"-SDV-0001B
2"-SDV-0001A
3"-SDV-0002A
10"-SDV-0001
2"-SDV-0014</t>
  </si>
  <si>
    <t>to 2"-SDV-0015
16"-SDV-0016</t>
  </si>
  <si>
    <t>to 12"-SDV-0003
10"-SDV-0005</t>
  </si>
  <si>
    <t>from 6"-SDV-0004
8"-SDV-0005
8"-SDV-0002
12"-SDV-0003
2"-SDV-0020
6"-ESDV-0003
4"-ESDV-0006
6"-ESDV-0001
3"-ESDV-0002
6"-ESDV-0019
4"-SDV-0007A
4"-SDV-0010A
4"-SDV-0007B
4"-SDV-0010B
2"-SDV-0003</t>
  </si>
  <si>
    <t>to 2"-SDV-0017
10"-SDV-0018</t>
  </si>
  <si>
    <t>to 6"-SDV-0006
4"-SDV-0007
10"-SDV-0004</t>
  </si>
  <si>
    <t>from 10"-SDV-0004
to 2"-SDV-0031A
10"-ESDV-0001</t>
  </si>
  <si>
    <t>from 16"-SDV-0006
16"-SDV-0008
16"-SDV-0011
16"-SDV-0014
to 2"-SDV-0013
12"-SDV-0014</t>
  </si>
  <si>
    <t>16"-SDV-0006
16"-SDV-0008
16"-SDV-0011
16"-SDV-0014
 12"-SDV-0014</t>
  </si>
  <si>
    <t>to 8"-SDV-0002
4"-SDV-0022</t>
  </si>
  <si>
    <t>from 32"-ESDV-0002
32"-ESDV-0001</t>
  </si>
  <si>
    <t>from 14"-SDV-0020
3"-SDV-0004
6"-SDV-0001
3"-ESDV-0002
to 10"-SDV-0002
2"-SDV-0003</t>
  </si>
  <si>
    <t xml:space="preserve"> 14"-SDV-0020
3"-SDV-0004
6"-SDV-0001
3"-ESDV-0002
10"-SDV-0002</t>
  </si>
  <si>
    <t>from 10"-SDV-0002
2"-SDV-0003
2"-SDV-0017
10"-SDV-0018
12"-SDV-0021
to 10"-SDV-0013</t>
  </si>
  <si>
    <t>from 2"-SDV-0005A
12"-SDV-0006A
to 14"-SDV-0012A
2"-SDV-0011A</t>
  </si>
  <si>
    <t>to 4"-SDV-0007A</t>
  </si>
  <si>
    <t>to 4"-SDV-0010A</t>
  </si>
  <si>
    <t>from 2"-SDV-0011
20"-SDV-0012
2"-SDV-0011A
14"-SDV-0012A
2"-SDV-0011B
14"-SDV-0012B
to 20"-SDV-0008
2"-SDV-0009</t>
  </si>
  <si>
    <t>to 2"-SDV-0001A
3"-SDV-0002A</t>
  </si>
  <si>
    <t>from 20"-SDV-0008
2"-SDV-0009
to 20"-SDV-0001
2"-SDV-0002</t>
  </si>
  <si>
    <t>from 20"-SDV-0001
2"-SDV-0002
to 20"-SDV-0005
2"-SDV-0006
4"-SDV-0003
2"-SDV-0004</t>
  </si>
  <si>
    <t>to 2"-SDV-0014
3"-SDV-0011
3"-SDV-0012</t>
  </si>
  <si>
    <t>from 20"-SDV-0005
2"-SDV-0006
to 18"-SDV-0003</t>
  </si>
  <si>
    <t>to 6"-SDV-0004</t>
  </si>
  <si>
    <t>from 18"-SDV-0003
to 4"-SDV-0011
16"-SDV-0009A
2"-SDV-0010A
16"-SDV-0009B
2"-SDV-0010B</t>
  </si>
  <si>
    <t>to 8"-SDV-0005</t>
  </si>
  <si>
    <t>from 16"-SDV-0009A
2"-SDV-0010A
to 12"-SDV-0003A
2"-SDV-0004A</t>
  </si>
  <si>
    <t>from 16"-ESDV-0001
2"-ESDV-0003
to 12"-ESDV-0041on swivel below
12"-ESDV-0051 on swivel below
12"-ESDV-0061 on swivel below</t>
  </si>
  <si>
    <t>to 3"-ESDV-0002</t>
  </si>
  <si>
    <t>to 6"-ESDV-0003</t>
  </si>
  <si>
    <t>to 8"-ESDV-0005</t>
  </si>
  <si>
    <t>to 4"-ESDV-0006</t>
  </si>
  <si>
    <t>from 8"-ESDV-0005
to 6"-SDV-0001</t>
  </si>
  <si>
    <t>from 3"-SDV-0005
3"-SDV-0006
to 3"-SDV-0005
2"-SDV-0006</t>
  </si>
  <si>
    <t>from 2"-SDV-0024
4"-SDV-0011
4"-SDV-0003
2"-SDV-0004
2"-SDV-0001
3"-SDV-0005
2"-SDV-0006
to 2"-SDV-0017
2"-SDV-0021
4"-ESDV-0001A
4"-ESDV-0001B
4"-ESDV-0001C</t>
  </si>
  <si>
    <t>to 2"-SDV-0002
2"-SDV-0003</t>
  </si>
  <si>
    <t>from 2"-SDV-0017
to 2"-SDV-0020
2"-SDV-0008
2"-SDV-0009
2"-SDV-0010
2"-SDV-0011
2"-SDV-0007</t>
  </si>
  <si>
    <t>to 3"-ESDV-0001</t>
  </si>
  <si>
    <t>to 6"-ESDV-0001</t>
  </si>
  <si>
    <t>to 4"-ESDV-0001</t>
  </si>
  <si>
    <t>to 12"-ESDV-0001
8"-ESDV-0009
32"-ESDV-0002</t>
  </si>
  <si>
    <t>Operating Temperature (degC)</t>
  </si>
  <si>
    <t>Automatic
Blow down (Yes/No)</t>
  </si>
  <si>
    <t>Off-spec condensate</t>
  </si>
  <si>
    <t>Topsides MeOH tank</t>
  </si>
  <si>
    <t>MeOH Turret distribution pump</t>
  </si>
  <si>
    <t>MeOH Topsides distribution pump</t>
  </si>
  <si>
    <t>to 3"-ESDV-0003A
3"-ESDV-0003B
3"-ESDV-0003C</t>
  </si>
  <si>
    <t>to 2"-ESDV-0004A
2"-ESDV-0004B</t>
  </si>
  <si>
    <t>046-PR-001A/B/C,</t>
  </si>
  <si>
    <t>046-PR-002A/B</t>
  </si>
  <si>
    <t>Flange connections at 046-PR-001A/B/C, 1m from the bottom</t>
  </si>
  <si>
    <t>Flange connections at 046-PR-002A/B, 1m from the bottom</t>
  </si>
  <si>
    <t>046-VZ-001</t>
  </si>
  <si>
    <t>Flange connections at 046-VZ-001</t>
  </si>
  <si>
    <t>046-VF-001A, 046-PR-001A/B/C, 046-PR-002A/B</t>
  </si>
  <si>
    <t>3"-ESDV-0003 A or B</t>
  </si>
  <si>
    <t>Flange connections at 046-VZ-001, 1m from the bottom</t>
  </si>
  <si>
    <t>S01</t>
  </si>
  <si>
    <t>shell exchanger</t>
  </si>
  <si>
    <t>062-VF-001A/B(S02, deck A)</t>
  </si>
  <si>
    <t>080-UZ-002A/B/C(S1, deck A)
080-G-001A/B/C(S1, deck A)</t>
  </si>
  <si>
    <t>062-VF-001A/B</t>
  </si>
  <si>
    <t>080-UZ-002A/B/C
080-G-001A/B/C</t>
  </si>
  <si>
    <t>Flange connections at 062-VF-001A/B</t>
  </si>
  <si>
    <t>from  3" -ESDV-0002A
3"-ESDV-0002B or C</t>
  </si>
  <si>
    <t>Down stream
062-02-01(-ESDV 0001,3)</t>
  </si>
  <si>
    <t>Flange connections at PE-005 A/B,  1m from the bottom</t>
  </si>
  <si>
    <t>Flange connections at 062-VF-001A/B,  1m from the bottom</t>
  </si>
  <si>
    <t>Flange connections at GTG,  1m from the bottom</t>
  </si>
  <si>
    <t>Hull deck 
P05 below</t>
  </si>
  <si>
    <t>Hull deck
Below btw P04&amp;P05</t>
  </si>
  <si>
    <t>S05 deck A</t>
  </si>
  <si>
    <t>Flange connections at 024-ES-001</t>
  </si>
  <si>
    <t>Flange connections at 024-ES-001, 1m form the bottom</t>
  </si>
  <si>
    <t xml:space="preserve"> 045-HE-002(P03, deck B)</t>
  </si>
  <si>
    <t>045-VZ-001(P03, Deck A/B), 045-ES-001(P03, deckB), 045-VF-001A/B(P03, deck B)</t>
  </si>
  <si>
    <t>Fuel gas supply</t>
  </si>
  <si>
    <t>Liquid outlet from fuel gas scrubber</t>
  </si>
  <si>
    <t>Fuel gas distribution to GTG</t>
  </si>
  <si>
    <t>LP fuel gas</t>
  </si>
  <si>
    <t>080-G-001A/B/C</t>
  </si>
  <si>
    <t>Flange connections  at valve</t>
  </si>
  <si>
    <t>from 4"-ESDV-0001A
4"-ESDV-0001B
(or 4"-ESDV-0001C)</t>
  </si>
  <si>
    <t>4"-ESDV-0001A
4"-ESDV-0001B</t>
  </si>
  <si>
    <t>045-04</t>
  </si>
  <si>
    <t>4"-SDV-0003
3"-SDV-0005
2"-SDV-0017
2"-SDV-0021
4"-ESDV-0001A
4"-ESDV-0001B or C</t>
  </si>
  <si>
    <t>Buyback gas
(Fuel gas supply)</t>
  </si>
  <si>
    <t>4"</t>
  </si>
  <si>
    <t>assumed 1</t>
  </si>
  <si>
    <t>5000*2</t>
  </si>
  <si>
    <t>Note for location</t>
  </si>
  <si>
    <t>S05 deck B, Turret
CMT: ESDV/SDV connections at S05 deck B</t>
  </si>
  <si>
    <t>Upstream
046-01-01(normal SDV-002)
Down -46-01-03/04 not normal</t>
  </si>
  <si>
    <t>Yes
8"-BDV-0001
6"-BDV-0002</t>
  </si>
  <si>
    <t>from 10"-ESDV-0001</t>
  </si>
  <si>
    <t>10"-ESDV-0001</t>
  </si>
  <si>
    <t>3"-ESDV-0002A
3"-ESDV-0002B</t>
  </si>
  <si>
    <t>from  2"-ESDV-0001 on swivel below
to 8"-ESDV-0020
6"-ESDV-0003
12"SDV-0004
16"-SDV-0006
20"-SDV-0007</t>
  </si>
  <si>
    <t>from 2"-ESDV-0011 on swivel below
to 8"-ESDV-0012
12"-ESDV-0004
16"-SDV-0008
20"-SDV-0009
12"-SDV-0010</t>
  </si>
  <si>
    <t>from 2"-ESDV-0021 on swivel below
to 8"-ESDV-0014
12"-ESDV-0007
16"-SDV-0011
20"-SDV-0012
12"-SDV-0013</t>
  </si>
  <si>
    <t>from  2"-ESDV-0031 on swivel below
4"-ESDV-0021
to 8"-ESDV-0013
12"-ESDV-0008
16"-SDV-0014
20"-SDV-0015
12"-SDV-0016</t>
  </si>
  <si>
    <t>from 12"-ESDV-0001
to 8"-ESDV-0002
12"-ESDV-0013
8"-ESDV-0012
8"-ESDV-0020</t>
  </si>
  <si>
    <t>Upstream
013-02-01(-not normal, 23.15)
Swivel(-normal,  ??, ESDV-0021)
Downstream
020-01-01(-normal, 130.61, SDV-0013) with check valve
020-02-01(-not normal, 21.65) with check valve
020-05-01(-not normal, 73.15) with check valve</t>
  </si>
  <si>
    <t>Upstream
013-02-01(-not normal, 23.15)
Swivel(-normal,  ??, ESDV-0001)
027-02(-not normal, ESDV-0021)
Downstream
020-01-01(-normal, 130.61, SDV-0016) with check valve
020-02-01(-not normal, 21.65) with check valve
020-05-01(-not normal, 73.15) with check valve</t>
  </si>
  <si>
    <t>Upstream
046-04(normal, ESDV-0001, 0.3)
downstream
046-01-02(-not normal)</t>
  </si>
  <si>
    <t>from 4"-ESDV-0001
to 3" -ESDV-0002A
3"-ESDV-0002B
3"-ESDV-0002C</t>
  </si>
  <si>
    <t>Upstream
013-02-01(-not normal, 23.15)
Swivel(-normal,  ??, ESDV-0011)
Downstream
020-01-01(-normal, 130.61, SDV-0010) with check valve
020-02-01(-not normal, 21.65) with check valve
020-05-01(-not normal, 73.15) with check valve</t>
  </si>
  <si>
    <t>from 2"-SDV-0013
12"-SDV-0014
12"-SDV-0021
2"-SDV-0015
16"-SDV-0016
10"-SDV-0013
to 12"-SDV-0006A
2"-SDV-0005A
12"-SDV-0006B
2"-SDV-0005B</t>
  </si>
  <si>
    <t>from 12"-SDV-0003A
2"-SDV-0004A
12"-SDV-0003B
2"-SDV-0004B
to 16"-ESDV-0001
2"-ESDV-0003
4"-ESDV-0021
3"-SDV-0005
3"-SDV-0006</t>
  </si>
  <si>
    <t>Upstream043-02-01(normal, ESDV-0005, 60.2)
Down stream023-01-01(normal, ESDV-0001,33.7)</t>
  </si>
  <si>
    <t>2"-SDV-0017
2"-SDV-0020
2"-SDV-0008
2"-SDV-0009
2"-SDV-0010
2"-SDV-0011
2"-SDV-0007</t>
  </si>
  <si>
    <t>Upstream046-01-02(normal, -, 0.5)
downstream
046-02(-not normal)
046-03(-not normal)</t>
  </si>
  <si>
    <t>Upstream046-01-02(normal, -, 0.5)
downstream046-02(-not normal)046-03(-not normal)</t>
  </si>
  <si>
    <t>DO supply</t>
  </si>
  <si>
    <t>013-01-N1-G</t>
  </si>
  <si>
    <t>013-02-N2-G</t>
  </si>
  <si>
    <t>013-03-C1-G</t>
  </si>
  <si>
    <t>013-04-C2-G</t>
  </si>
  <si>
    <t>013-05-L</t>
  </si>
  <si>
    <t>013-06-L</t>
  </si>
  <si>
    <t>020-01-01-G</t>
  </si>
  <si>
    <t>020-01-02-L</t>
  </si>
  <si>
    <t>020-02-01-Li</t>
  </si>
  <si>
    <t>020-02-02-G</t>
  </si>
  <si>
    <t>020-02-03-Lo</t>
  </si>
  <si>
    <t>020-03-01-Li</t>
  </si>
  <si>
    <t>020-03-02-G</t>
  </si>
  <si>
    <t>020-03-03-Lo</t>
  </si>
  <si>
    <t>020-04-01-L</t>
  </si>
  <si>
    <t>020-04-02-G</t>
  </si>
  <si>
    <t>020-05-01-G</t>
  </si>
  <si>
    <t>020-05-02-L</t>
  </si>
  <si>
    <t>023-01-01-G</t>
  </si>
  <si>
    <t>023-01-02-L</t>
  </si>
  <si>
    <t>023-02-01-G</t>
  </si>
  <si>
    <t>023-02-02-L</t>
  </si>
  <si>
    <t>023-03-01-G</t>
  </si>
  <si>
    <t>023-03-02-L</t>
  </si>
  <si>
    <t>023-03-03-L</t>
  </si>
  <si>
    <t>023-04-G</t>
  </si>
  <si>
    <t>024-01-01-G</t>
  </si>
  <si>
    <t>024-01-02-L</t>
  </si>
  <si>
    <t>024-02-G</t>
  </si>
  <si>
    <t>024-03-01-G</t>
  </si>
  <si>
    <t>024-03-02-L</t>
  </si>
  <si>
    <t>025-01-01-G</t>
  </si>
  <si>
    <t>025-01-02-L</t>
  </si>
  <si>
    <t>025-02-01-G</t>
  </si>
  <si>
    <t>025-02-02-L</t>
  </si>
  <si>
    <t>027-02-G</t>
  </si>
  <si>
    <t>027-03-G</t>
  </si>
  <si>
    <t>043-01-01-G</t>
  </si>
  <si>
    <t>043-01-02-L</t>
  </si>
  <si>
    <t>043-02-01-G</t>
  </si>
  <si>
    <t>043-02-02-L</t>
  </si>
  <si>
    <t>043-03-G</t>
  </si>
  <si>
    <t>045-02-01-G</t>
  </si>
  <si>
    <t>045-02-02-L</t>
  </si>
  <si>
    <t>045-03-G</t>
  </si>
  <si>
    <t>045-04-G</t>
  </si>
  <si>
    <t>046-01-01-L</t>
  </si>
  <si>
    <t>046-01-02-L</t>
  </si>
  <si>
    <t>046-01-03-L</t>
  </si>
  <si>
    <t>046-01-04-L</t>
  </si>
  <si>
    <t>046-02-L</t>
  </si>
  <si>
    <t>046-03-L</t>
  </si>
  <si>
    <t>046-04-L</t>
  </si>
  <si>
    <t>057-01-01-G</t>
  </si>
  <si>
    <t>057-01-02-L</t>
  </si>
  <si>
    <t>062-01-L</t>
  </si>
  <si>
    <t>131-01-L</t>
  </si>
  <si>
    <t>131-02-L</t>
  </si>
  <si>
    <t>Utilisation factor</t>
  </si>
  <si>
    <t>Note for utilisation factor</t>
  </si>
  <si>
    <t>Normal operation</t>
  </si>
  <si>
    <t>2 times a month
(7 days per an operation)</t>
  </si>
  <si>
    <t>6 times a year
1 day per an operation</t>
  </si>
  <si>
    <t>Utiltisation factor of 131-02
once in every  20 days
1 day  per an operation</t>
  </si>
  <si>
    <t>Normal operation
considering two trains</t>
  </si>
  <si>
    <t>Once a year
7 days per an opeation</t>
  </si>
  <si>
    <t>once in every 20 days
1 day  per an operation</t>
  </si>
  <si>
    <t>from 3"-ESDV-0001
to 4"-SDV -0002</t>
  </si>
  <si>
    <t>from 4"-SDV-0002</t>
  </si>
  <si>
    <t>4"-SDV-0002</t>
  </si>
  <si>
    <t>BDV(primary) diameter</t>
  </si>
  <si>
    <t>045-01-G</t>
  </si>
  <si>
    <t>NA</t>
  </si>
  <si>
    <t xml:space="preserve">023-ES-001, 023-VZ-001, 023-KZ-001(023-VZ-001, 023-VZ-201) </t>
  </si>
  <si>
    <t>024-ES-001, 025-ES-001(S03), 
024-VF-001A(P03)</t>
  </si>
  <si>
    <t>utilisation factor 조정 가능</t>
  </si>
  <si>
    <t>Circulation pump</t>
  </si>
  <si>
    <t>Off spec. pump</t>
  </si>
  <si>
    <t>Reference</t>
  </si>
  <si>
    <t>2001-KGD6-D2-PF-OF-MJ1F-C000-440005618-PRJ-0012_0</t>
  </si>
  <si>
    <t>2001-KGD6-D2-PF-OF-MJ1F-C000-440005618-PRJ-0046_0</t>
  </si>
  <si>
    <t>Case</t>
  </si>
  <si>
    <t>Case2 - High T</t>
  </si>
  <si>
    <t>Case 1 -Stabilized oil recycling</t>
  </si>
  <si>
    <t>Operating Pressure (barg)</t>
  </si>
  <si>
    <t>8.8 (suction)</t>
  </si>
  <si>
    <t>Diff. pressure (bar)</t>
  </si>
  <si>
    <t>Flowrate</t>
  </si>
  <si>
    <t>Gas (kg/h)</t>
  </si>
  <si>
    <t>Oil (kg/h)</t>
  </si>
  <si>
    <t>Water (kg/h)</t>
  </si>
  <si>
    <t>Gas (kg/m3)</t>
  </si>
  <si>
    <t>Oil (kg/m3)</t>
  </si>
  <si>
    <t>Water (kg/m3)</t>
  </si>
  <si>
    <t>Composition (mol fraction)</t>
  </si>
  <si>
    <t>Nitrogen</t>
  </si>
  <si>
    <t>CO2</t>
  </si>
  <si>
    <t>Methane</t>
  </si>
  <si>
    <t>Ethane</t>
  </si>
  <si>
    <t>Propane</t>
  </si>
  <si>
    <t>i-Butane</t>
  </si>
  <si>
    <t>n-Butane</t>
  </si>
  <si>
    <t>i-Pentane</t>
  </si>
  <si>
    <t>n-Pentane</t>
  </si>
  <si>
    <t>n-Hexane</t>
  </si>
  <si>
    <t>Benzene</t>
  </si>
  <si>
    <t>C7*</t>
  </si>
  <si>
    <t>Toluene</t>
  </si>
  <si>
    <t>C8*</t>
  </si>
  <si>
    <t>E-Benzene</t>
  </si>
  <si>
    <t>p-Xylene</t>
  </si>
  <si>
    <t>C9*</t>
  </si>
  <si>
    <t>C10*</t>
  </si>
  <si>
    <t>C11*</t>
  </si>
  <si>
    <t>C12*</t>
  </si>
  <si>
    <t>C13*</t>
  </si>
  <si>
    <t>C14*</t>
  </si>
  <si>
    <t>C15*</t>
  </si>
  <si>
    <t>C16-18*</t>
  </si>
  <si>
    <t>C19-22*</t>
  </si>
  <si>
    <t>C23-29*</t>
  </si>
  <si>
    <t>C30+*</t>
  </si>
  <si>
    <t>H2O</t>
  </si>
  <si>
    <t>1. E-mail from Hongmin Kim titled as "[RUBY FPSO] Frequency Analysis Part Count 관련 LR 문의 사항 회신" with attachment "Operating conditions for circulation pump, Offspec pump, Test separator" received in 21 Jan. 2020</t>
  </si>
  <si>
    <t>27(Ref.1)</t>
  </si>
  <si>
    <t>78.12(Ref.1)</t>
  </si>
  <si>
    <t>2001-KGD6-D2-PF-OF-MJ1F-C000-440005618-PRJ-0005_0</t>
  </si>
  <si>
    <t>Case 1 - Case D'</t>
  </si>
  <si>
    <t>Stream no. of HMB</t>
  </si>
  <si>
    <t>SHI, Ref. (1)</t>
  </si>
  <si>
    <t>1, SHI Ref. (1)</t>
  </si>
  <si>
    <t>3-1, SHI Ref. (1)</t>
  </si>
  <si>
    <t>13, 4 of PRD 5203-02</t>
  </si>
  <si>
    <t>405, Ref.2</t>
  </si>
  <si>
    <t>2. PDS for HP flare KO drum, RIL DOC NO. 2001-KGD6-D2-PF-OF-MJ1F-C000-440005618-PRJ-0072, Rev. C 10-Sep-2019</t>
  </si>
  <si>
    <t>3-1, Ref.2</t>
  </si>
  <si>
    <t>405, Ref. 3</t>
  </si>
  <si>
    <t>11-1, Ref. 3</t>
  </si>
  <si>
    <t>3. PDS for LP flare KO drum, RIL DOC NO. 2001-KGD6-D2-PF-OF-MJ1F-C000-440005618-PRJ-0073, Rev. C 6-Sep-2019</t>
  </si>
  <si>
    <t>107, 1of PRD 0001-24</t>
  </si>
  <si>
    <t>13, 1 of PRD 5203-02</t>
  </si>
  <si>
    <t>2 of PRD 0001-35</t>
  </si>
  <si>
    <t>3 of PRD 0001-35</t>
  </si>
  <si>
    <t>2 of PRD 5203-06</t>
  </si>
  <si>
    <t>1 of PRD 0001-35</t>
  </si>
  <si>
    <t>3 of PRD 0001-31</t>
  </si>
  <si>
    <t>2 of PRD 0001-31</t>
  </si>
  <si>
    <t>1 of PRD 0001-31</t>
  </si>
  <si>
    <t>Iso time (t2)</t>
  </si>
  <si>
    <t>Detection time (t1)</t>
  </si>
  <si>
    <t>Vp (m3), Ref. [16]</t>
  </si>
  <si>
    <t>Veq (m3), Ref. [16]</t>
  </si>
  <si>
    <t>Density [kg/m3]</t>
  </si>
  <si>
    <t>Orifice dia
(mm)</t>
  </si>
  <si>
    <t>BD time (t3)</t>
  </si>
  <si>
    <t>Biggest ESDV/ SDV [inch]</t>
  </si>
  <si>
    <t xml:space="preserve">Phase </t>
  </si>
  <si>
    <t>Butane</t>
  </si>
  <si>
    <t>Pentane</t>
  </si>
  <si>
    <t>Hexane</t>
  </si>
  <si>
    <t>Heptane</t>
  </si>
  <si>
    <t>Octane</t>
  </si>
  <si>
    <t>Nonane</t>
  </si>
  <si>
    <t>Total</t>
  </si>
  <si>
    <t>046-VZ-001(P02 deckB)</t>
  </si>
  <si>
    <t>046-VF-001A(P02, deckB), 046-PR-001A/B/C(P02 deckA), 046-PR-002A/B(P02 deckA)</t>
  </si>
  <si>
    <t>Piping between Topsides MeOH tank and distribution pumps</t>
  </si>
  <si>
    <t>MeOH distribution piping to Turret</t>
  </si>
  <si>
    <t>MeOH distribution pipign to  Topsides</t>
  </si>
  <si>
    <t xml:space="preserve">Piping betwwen Hull MeOH storage tank to Topside MeOH storage tank </t>
  </si>
  <si>
    <t>C</t>
  </si>
  <si>
    <t>025-VZ-002(P04, deckA), 025-EM-002(P04, deck C)</t>
  </si>
  <si>
    <t>025-EM-002(P04, deck C), 025-VZ-001(P04, deckB)</t>
  </si>
  <si>
    <t>Top flange connection of 025-VZ-002</t>
  </si>
  <si>
    <t>025-HE-001(P04, deckB), 025-VC-001A/B(P04, Deck B), 025-VF-001A(P04, deck A)</t>
  </si>
  <si>
    <t>Top flange into 025-VC-001A/B(P04, Deck C),</t>
  </si>
  <si>
    <t>Flange connection to 025-VF-001A(P04, deck A)</t>
  </si>
  <si>
    <t>Flange connection to 024-ES-001</t>
  </si>
  <si>
    <t>Top flange connection of 024-VC-001</t>
  </si>
  <si>
    <t>Bottom flange of 024-VC-001</t>
  </si>
  <si>
    <t>025-ES-001(S03, DeckB), 043-PE-001A/B(Hull), 043-PE-002A/B(hull),057-PE-001A/B(hull), 020-ES-001(s04, deck b)
020-VZ-003(S04, deck B)</t>
  </si>
  <si>
    <t>Flange connection to 013-PC-001</t>
  </si>
  <si>
    <t>Flange connection to 013-PC-002</t>
  </si>
  <si>
    <t>Flange connection to 020-VZ-002</t>
  </si>
  <si>
    <t>Flange connection from 020-VZ-002</t>
  </si>
  <si>
    <t>Flange connection to 020-VZ-003</t>
  </si>
  <si>
    <t>Flange connection from 020-VZ-003</t>
  </si>
  <si>
    <t>Flange connection at 020-VZ-006</t>
  </si>
  <si>
    <t xml:space="preserve">020-ES-002, 020-VZ-004(S04, deck B), 020-PC-001A/B/C, 020-ES-001, 020-VF-001A, 020-VF-002A, 020-EP-002A                 </t>
  </si>
  <si>
    <t>Top flange connection at 020-VZ-004</t>
  </si>
  <si>
    <t>Top flange connection at 020-VZ-005</t>
  </si>
  <si>
    <t>Bottom flange connection at 020-VZ-005</t>
  </si>
  <si>
    <t>Flange connection at 021-UN-001</t>
  </si>
  <si>
    <t>Flange connection at 023-PE-001</t>
  </si>
  <si>
    <t>023-ES-001(P03, deck B),</t>
  </si>
  <si>
    <t xml:space="preserve"> 023-VZ-001(P03, deck A), 023-KZ-001(P03, deckA) </t>
  </si>
  <si>
    <t>Flange connection at 023-ES-001</t>
  </si>
  <si>
    <t>Flange connection at 023-KZ-001</t>
  </si>
  <si>
    <t xml:space="preserve">023-ES-002(P03, deck B), </t>
  </si>
  <si>
    <t xml:space="preserve">023-VZ-002(P03, DeckA), 023-KZ-002(deck A) </t>
  </si>
  <si>
    <t>023-VZ-002(P03, DeckA),</t>
  </si>
  <si>
    <t>Flange connection at 023-ES-002</t>
  </si>
  <si>
    <t>Flange connection at 023-VZ-002</t>
  </si>
  <si>
    <t>Flange connection at 023-KZ-002</t>
  </si>
  <si>
    <t>Flange connection at 023-VZ-003A</t>
  </si>
  <si>
    <t>Flange connection at 023-VZ-004A</t>
  </si>
  <si>
    <t>Flange connection at 023-KZ-003A</t>
  </si>
  <si>
    <t>Flange connections at 023-ES-004A</t>
  </si>
  <si>
    <t>023-ES-003A(S03, DeckB),023-ES-004A(S03, deck B),</t>
  </si>
  <si>
    <t>023-VZ-003A(S03, Deck A), 023-KZ-003A(S03, deckA), 023-VZ-004A(S03. deck A), 023-KZ-004A (S03, deckA)</t>
  </si>
  <si>
    <t>023-VZ-003A(S03, Deck A)</t>
  </si>
  <si>
    <t>023-VZ-004A(S03. deck A)</t>
  </si>
  <si>
    <t>Piping lines to 023-ES-003A</t>
  </si>
  <si>
    <t>027-VZ-001A(P05, deckA), 027-KZ-001A(P05, deck A),</t>
  </si>
  <si>
    <t xml:space="preserve"> 027-ES-001A(P05, deck B) </t>
  </si>
  <si>
    <t>Flange connection at 027-KZ-001A</t>
  </si>
  <si>
    <t>Flange connection at 027-UN-001</t>
  </si>
  <si>
    <t>Top flange connections at 043-VZ-001</t>
  </si>
  <si>
    <t>Bottom flange connections at 043-VZ-001</t>
  </si>
  <si>
    <t>Bottom flange connection at 045-VZ-001</t>
  </si>
  <si>
    <t>045-VZ-001(P03, Deck A/B)</t>
  </si>
  <si>
    <t>Top flange connection at 045-VZ-001</t>
  </si>
  <si>
    <t>Flange connections at piiping lines from 045-ES-001</t>
  </si>
  <si>
    <t>45-ES-001(P03, deckB),</t>
  </si>
  <si>
    <t>Flange connection to 046-VZ-001(P02 deckB)</t>
  </si>
  <si>
    <t>Flange connection from 046-VF-001A(P02, deckB)</t>
  </si>
  <si>
    <t xml:space="preserve">046-PR-001A/B/C(P02 deckA), </t>
  </si>
  <si>
    <t>046-PR-002A/B(P02 deckA)</t>
  </si>
  <si>
    <t>Flange connection at 046-PR-001A</t>
  </si>
  <si>
    <t>Flange connection at 046-PR-002A</t>
  </si>
  <si>
    <t>Flange connection at MeOH Hull tank</t>
  </si>
  <si>
    <t>Top flange connection at 057-VZ-001</t>
  </si>
  <si>
    <t>Bottom flange connection at 057-VZ-001</t>
  </si>
  <si>
    <t>062-01-01-L</t>
  </si>
  <si>
    <t>062-01-02-L</t>
  </si>
  <si>
    <t>Flange connection at 062-VF-001</t>
  </si>
  <si>
    <t>Flange connection at valve to liquid fuel console</t>
  </si>
  <si>
    <t>Modelling location</t>
  </si>
  <si>
    <t>Flange at R02 ~ R05</t>
  </si>
  <si>
    <t>021-01-02-L</t>
  </si>
  <si>
    <t>021-01-01-L</t>
  </si>
  <si>
    <t>Offloading hose reel</t>
  </si>
  <si>
    <t>Flange connection at hose reel</t>
  </si>
  <si>
    <t>Sub-isolatable section
(location)</t>
  </si>
  <si>
    <t>021-02-L</t>
  </si>
  <si>
    <t>131-01-fwdP</t>
  </si>
  <si>
    <t>131-02-fwdP</t>
  </si>
  <si>
    <t>021-02</t>
  </si>
  <si>
    <t>Centrifugal pump</t>
  </si>
  <si>
    <t>from 32"-ESDV-0001</t>
  </si>
  <si>
    <t>32"-ESDV-0001</t>
  </si>
  <si>
    <t>Leak freaquncy is taken from **</t>
  </si>
  <si>
    <t>Valve</t>
  </si>
  <si>
    <t>Not included</t>
  </si>
  <si>
    <t>centrifugal pump</t>
  </si>
  <si>
    <t xml:space="preserve">Section </t>
  </si>
  <si>
    <t>S2</t>
  </si>
  <si>
    <t>pipingdia</t>
  </si>
  <si>
    <t>piping length</t>
  </si>
  <si>
    <t>V</t>
  </si>
  <si>
    <t>Note</t>
  </si>
  <si>
    <t>Shi 가 준 내용을 Topside 에 국한됨
021-01-01 은 SHI 내용 사용</t>
  </si>
  <si>
    <t>Assumed 55</t>
  </si>
  <si>
    <t>4. E-mail from DongWook Park titles as "Offloading hose reel 관련 문건 요청"</t>
  </si>
  <si>
    <t>1.총 4군데입니다. 상세위치는 첨부 도면 참고하시기 바랍니다.
-20" Cargo Inlet
-20" Hose reel flange(Hose와 Hose drum 사이 연결부)
-16"Hose end flange(Hose 제일끝쪽)
-4" flushing connection.</t>
  </si>
  <si>
    <t xml:space="preserve">Flange connection of Offloading hose reel </t>
  </si>
  <si>
    <t>Subisolatable section</t>
  </si>
  <si>
    <t>In case isolatable section is divided into sub isolatable sections due to pipine/equipment location,  leak freqeuncy of pipin f</t>
  </si>
  <si>
    <t>021-01-03</t>
  </si>
  <si>
    <t>Offloading</t>
  </si>
  <si>
    <t>Assumed 6</t>
  </si>
  <si>
    <t>Hose reel</t>
  </si>
  <si>
    <t>Assumed 10</t>
  </si>
  <si>
    <t>Upstream
021-01-L(ESDV-0001, 78.1)</t>
  </si>
  <si>
    <r>
      <rPr>
        <b/>
        <sz val="12"/>
        <color theme="1"/>
        <rFont val="Frutiger LT 45 Light"/>
        <family val="2"/>
      </rPr>
      <t>*013-02 operates on demand</t>
    </r>
    <r>
      <rPr>
        <sz val="12"/>
        <color theme="1"/>
        <rFont val="Frutiger LT 45 Light"/>
        <family val="2"/>
      </rPr>
      <t xml:space="preserve">
Upstream
131-02(-nor mormal, ESDV-0001, 121)
downstream
131-01(not-normal, ESDV-0002, 15.92) 
013-01(-not normal, 14.6) with check valve</t>
    </r>
  </si>
  <si>
    <r>
      <rPr>
        <b/>
        <sz val="12"/>
        <color theme="1"/>
        <rFont val="Frutiger LT 45 Light"/>
        <family val="2"/>
      </rPr>
      <t xml:space="preserve">*013-02 operates on demand
</t>
    </r>
    <r>
      <rPr>
        <sz val="12"/>
        <color theme="1"/>
        <rFont val="Frutiger LT 45 Light"/>
        <family val="2"/>
      </rPr>
      <t>Upstream
131-02(-nor mormal, ESDV-0009, 121)
Downstream
020-03-01(-normally closed, ESDV-0019, 20) with check valve</t>
    </r>
  </si>
  <si>
    <t>Upstream 
013-01(-normal, SDV-0004 or, 0010 or 0013 or 0016, 14.6)
Down stream
024-01(-normal, SDV-0012, 68.9) with check valve
045-02(-not normal, 69.1) with check valve</t>
  </si>
  <si>
    <t>Downstream
020-02-01(-normal, SDV-0001, 22.7) with check valve</t>
  </si>
  <si>
    <t>Upstream
020-01-02(-normal, SDV-0001, 33.6)
013-01(-not normal, 14.6)
024-01-02(-normal, SDV-0002A or SDV-0001A, 3)
024-03-02(normal , SDV-0014, 1.6)
027-01-02(-normal, SDV-0001A  or SDV-0001B, 4.7-water)
045-02-02(-normal, SDV-0002 or, SDV-0003, 11.6)
down stream - No impact(separator, physically separated?)
020-02-03(-normal, NO SDV/ESDV, 52)</t>
  </si>
  <si>
    <t>Down stream
023-04(-normal, SDV-0016, 13.3) with check valve</t>
  </si>
  <si>
    <t>Upstream
020-02-01(-normal, No SDV/ESDV, 22.7)
Downstream
020-03-01(-normal, SDV-0003, 20) with check valve</t>
  </si>
  <si>
    <t>Upstream
020-02-03(-normal, SDV-0003, 51.9)
020-05-02(-not normal, SDV-0002, 36.6)
013-02-02(-not normal, ESDV-0019, 1.6)
023-01-02(-normal, SDV-0020, 2.1)
023-03-02(-normal, SDV-0007A, 2.1)
023-03-03(-normal, SDV-0010A, 1.6)
023-03-05(-normal, SDV-0007B, 2.1)
023-03-06(-normal, SDV-0010B, 1.6)
025-01-02(-normal, SDV-0004, 7)
025-02-02(-normal, SDV-0005, 10)
057-01-02(-normally, open when pump operates, ESDV-0001, 20.5)
043-01-02(-normal, open when pump operates, ESDV-0003, 43)
043-02-02(-normal, open when pump operates, ESDV-0006, 9.3)
013-05(-not normal)
Downstream-No impact(separator-physically separated?)
020-03-03(-normal, no SDV/ESDV, 76.7)</t>
  </si>
  <si>
    <t>Downstream
023-02-01(-normal, SDV-0018, 26.7) with check valve</t>
  </si>
  <si>
    <t>Upstream
020-03-01 (-normal, no SDV/ESDV, 19.8 )
Downstream
020-04-01(-normal, SDV-0004, 113.3) with check valve</t>
  </si>
  <si>
    <t xml:space="preserve">Upstream
020-03-03(-normal, SDV-0004, 76.8)
Downstream
131-01(-normal, ESDV-0001, 16) - no check valve </t>
  </si>
  <si>
    <t>Downstream
023-01-01(-normal, SDV-0020, 34.3) with check valve</t>
  </si>
  <si>
    <t>*020-05  operates on demand
Upstream
013-01(16"-SDV-0006, or 16"-SDV-0008 or 16"-SDV-0011 or  16"-SDV-0014, 15.3)
Down stream
023-04(SDV-0014, 12.8)  with check valve</t>
  </si>
  <si>
    <t>Downstream
020-03-01(SDV-0002, 20.6) with check valve</t>
  </si>
  <si>
    <t>Upstream
131-02(ESDV-0002, 121)
downstream
021-02-L(ESDV-001, 16.3)</t>
  </si>
  <si>
    <t>Upstream
020-04-02(-normal, SDV-0020, 32.2)
043-03(-normal, SDV-0001, 2.5)
023-02-02(-normally, open when the start-up of LP compressor, SDV-0004, 1.6)
043-01-01(normally, ESDV-0001, 214.3)
downstream
023-02-01(-normal, SDV-0002, 25.9) with check valve</t>
  </si>
  <si>
    <t>Downstream
020-03-01(-normal, SDV-0020, 20.6)</t>
  </si>
  <si>
    <t xml:space="preserve">Upstream
023-01-01(-normally, SDV-0002, 34.3)
023-04(NNF, SDV-0021-NC) 
020-03-02(-normally,SDV-0018, 29.3)
Down stream
023-04(-normally,SDV-0013, 12.71)   
</t>
  </si>
  <si>
    <t xml:space="preserve">Downstream
020-03-01(-normally , SDV-0004, 20.6) </t>
  </si>
  <si>
    <t xml:space="preserve">Upstream
023-04(-normally,  SDV-0006A, 13.3)
Downstream
024-01-01(-normal, SDV-0012A, 68.9) </t>
  </si>
  <si>
    <t>Upstream
023-02-01(normally, SDV-0013, 25.9)
020-02-02(normally,SDV-0016, 85.7)
020-05-01(NNF, SDV-0014)
down stream
023-03-01(normally, SDv-0006A, 46.5)
023-03-04(normally, SDv-0006B , 46.5)</t>
  </si>
  <si>
    <t xml:space="preserve">Upstream
023-03-01(-normally, SDV-0012A, 46.5)
023-03-04(-normally, SDV-0012B, 46.5)
020-01-01(-normally, SDV-0012, 131.5)
Downstream
024-02(-normally, SDV-0008, 65.4) </t>
  </si>
  <si>
    <t xml:space="preserve">Downstream
020-02-01(-normal, SDV-0002A or SDV-0001A, 22.7) </t>
  </si>
  <si>
    <t xml:space="preserve">Upstream
024-01-01(-normally, SDV-0008, 68.9) 
Downstream
024-03-02(-normally, SDV-0001, 5.5) </t>
  </si>
  <si>
    <t>Upstream
024-02(-normally, SDV-0001, 65.4)
Downstream
025-01-01(-normally, SDV-0005, 38)
045-02-01(-normally, SDV-0003, 69.3)</t>
  </si>
  <si>
    <t>Downstream
020-02-01(normally, SDV-0014, 22.7)</t>
  </si>
  <si>
    <t>Upstream
024-03-01(-normally, SDV-0005, 69.4)
Downstream
025-02-01(-normally, SDV-0003, 85.8)</t>
  </si>
  <si>
    <t>Downstream
020-03-01(-normally,SDV-0004,20.6)</t>
  </si>
  <si>
    <t>Upstream
025-01-01(-normally, SDV-0003, 38)
Downstream
027-02(NC valve))
045-02(NC, SDV-0011)
027-01-01(SDV-0009A or SDV-0009B, 73.3)</t>
  </si>
  <si>
    <t>Down stream
020-03-01(-normally, SDV-0005, 20.6)</t>
  </si>
  <si>
    <t>Upstream
025-02-01(normal, SDV-0009A, 85.8)
downstream
027-02(normal, SDV-0003A, 12.6)</t>
  </si>
  <si>
    <t>Upstream
027-01-01(normal, SDV-0003A or SDV-0003B, 73.3)
025-02-01(NC valve)
downstream
027-03(normal, ESDV-0001, 18)
045-01(normal, SDV-0005, 1.5)
013-01-04(NC, ESDV-0021)</t>
  </si>
  <si>
    <t>Upstream
027-02(normal, ESDV-0001, 13.1 )
Downstream
Swivel below(ESDV-0041 or 0051 or 0061 ?)</t>
  </si>
  <si>
    <t>Downstream 
023-01-01(normally, ESDV-0002, 34.3)</t>
  </si>
  <si>
    <t>Downstream
020-03-01(Open when pump operates, ESDV-0003, 20.6)</t>
  </si>
  <si>
    <t>Downstream
020-03-01(Open when pump operates, ESDV-0006, 20.6)</t>
  </si>
  <si>
    <t>Upstream
027-02(normal, SDV-0005, 13.1)
down stream
045-02-01( open with permitssive during start up, 69.3)</t>
  </si>
  <si>
    <t>Upstream
024-03-01(normal, SDV-0003, 69.9)
020-01-01(NC, SDV-0024)
025-02-01(NC, SDV-0011)
045-01( SDV0005, normal open with permitssive during start up,1.5)
Downstream
045-03(SDV-0017, normal, 1)
023-02-01(normal SDV-0021, 25.9)
045-04(normal, ESDV-0001A/B, 21)</t>
  </si>
  <si>
    <t>Downstream
020-02-01(normal SDV-0002 or SDV-0003, 22.7)</t>
  </si>
  <si>
    <t>Upstream
045-02-01(normal, SDV-0017, 69.3)</t>
  </si>
  <si>
    <t>Upstream
045-02-01(normal,ESDV-0001A/B, 69.3)</t>
  </si>
  <si>
    <t>Upstream046-01-03</t>
  </si>
  <si>
    <t>Upstream046-01-04</t>
  </si>
  <si>
    <t>down stream
046-01(normal ESDV-0001, 9.7)</t>
  </si>
  <si>
    <t>Downstream
020-03-01(ESDV-0001, open when pump operates)- however this case is considered</t>
  </si>
  <si>
    <t>Upstream
---from Hull ESDV-0001(no section) - however this is considered with assumed volume (3)
Downstream
062-01-02(ESDV 0002A or B-not filled during normal )</t>
  </si>
  <si>
    <t>Upstream
062-01-01(ESDV-0002A or B,, 3.1)</t>
  </si>
  <si>
    <t>Upstream
020-04-01(normal ESDV-0001, 113.3)</t>
  </si>
  <si>
    <t>Downstream
013-02-01(NC, ESDV-0001 open when pump operates)
013-02-02(NC, ESDV-0009 open when pump operated)
021-01(ESDV-0002, 78.1)</t>
  </si>
  <si>
    <t>Upstream
013-02-01(-not normal, 23.15)
Swivel(-normal,  ??, ESDV-0001)
Downstream
020-01-01(-normal, 130.61, SDV-0004) with check valve
020-02-01(-not normal, 21.65) with check valve
020-05-01(-not normal, 73.15) with check valve</t>
  </si>
  <si>
    <t>Flange connections of piping at S05 deck B(piping area)</t>
  </si>
  <si>
    <t>X</t>
  </si>
  <si>
    <t>Y</t>
  </si>
  <si>
    <t>Z</t>
  </si>
  <si>
    <t>Flange connections at piping</t>
  </si>
  <si>
    <t>131-UZ-001</t>
  </si>
  <si>
    <t>Flange connections of piping line to 023-ES-003A</t>
  </si>
  <si>
    <t>Flange connection of 024-VF-001A(P04, deckB)</t>
  </si>
  <si>
    <t>Piping flange connections from absorber oulet &amp; heat exchanger</t>
  </si>
  <si>
    <t>Top flange into 025-VC-001A/B</t>
  </si>
  <si>
    <t>Top flange connection of 025-VZ-001 (P04 Deck C)</t>
  </si>
  <si>
    <t>Bottom flange connection of 025-VZ-001</t>
  </si>
  <si>
    <t>Bottom flange connection of 025-VZ-002</t>
  </si>
  <si>
    <t>Flange connection to 027-ES-001A</t>
  </si>
  <si>
    <t>Flange connection of piping at P05 deck B(piping area)</t>
  </si>
  <si>
    <t>Top flange connections at 043-VZ-002</t>
  </si>
  <si>
    <t>Bottom flange connections at 043-VZ-002</t>
  </si>
  <si>
    <t>Flange connections at valve</t>
  </si>
  <si>
    <t>Flange connection from 046-VF-001A</t>
  </si>
  <si>
    <t>Flange connection at R02 ~ R05</t>
  </si>
  <si>
    <t>Isolatable section</t>
  </si>
  <si>
    <t>T 
[degC]</t>
  </si>
  <si>
    <t>P 
[bara]</t>
  </si>
  <si>
    <t>Vp&amp;eq [m3]</t>
  </si>
  <si>
    <t xml:space="preserve">023-01-01-G-DB </t>
  </si>
  <si>
    <t>023-01-01-G-DA</t>
  </si>
  <si>
    <t>023-02-01-G-DB</t>
  </si>
  <si>
    <t>023-02-01-G-DA</t>
  </si>
  <si>
    <t>023-03-01-G-DB</t>
  </si>
  <si>
    <t>023-03-01-G-DA</t>
  </si>
  <si>
    <t>024-02-G-DA</t>
  </si>
  <si>
    <t>024-02-G-DB</t>
  </si>
  <si>
    <t>024-02-G-DC</t>
  </si>
  <si>
    <t>027-01-G-DA</t>
  </si>
  <si>
    <t>027-01-G-DB</t>
  </si>
  <si>
    <t>Process Identifier</t>
  </si>
  <si>
    <t>ULF Seg No</t>
  </si>
  <si>
    <t>027-01-G-DC</t>
  </si>
  <si>
    <t>023-03-01-G-DC</t>
  </si>
  <si>
    <t>BDVs</t>
  </si>
  <si>
    <t>ESDVs from 025</t>
  </si>
  <si>
    <t>P05 Deck C</t>
  </si>
  <si>
    <t>Leak locations to be distributed around each tankheader</t>
  </si>
  <si>
    <t>Leak freq. Dist.
(%)</t>
  </si>
  <si>
    <t xml:space="preserve">Production manifold, 020-VZ-001 </t>
  </si>
  <si>
    <t xml:space="preserve">020-VZ-001 </t>
  </si>
  <si>
    <t xml:space="preserve">HP manifold, 020-VZ-002 </t>
  </si>
  <si>
    <t>021-UN-001, piping</t>
  </si>
  <si>
    <t>DO supply line</t>
  </si>
  <si>
    <t>DO distribution to GTG</t>
  </si>
  <si>
    <t>13</t>
  </si>
  <si>
    <t>104</t>
  </si>
  <si>
    <t>102</t>
  </si>
  <si>
    <t>109</t>
  </si>
  <si>
    <t>107</t>
  </si>
  <si>
    <t>318</t>
  </si>
  <si>
    <t>LP separator</t>
  </si>
  <si>
    <t>Sub-section</t>
  </si>
  <si>
    <t>Vadj
[m3]</t>
  </si>
  <si>
    <t>Vadj
[kg]</t>
  </si>
  <si>
    <t>SCYL:</t>
  </si>
  <si>
    <t>FH</t>
  </si>
  <si>
    <t>R0_</t>
  </si>
  <si>
    <t>R1_</t>
  </si>
  <si>
    <t>013-01-N2-G</t>
  </si>
  <si>
    <t>013-01-C1-G</t>
  </si>
  <si>
    <t>013-01-C2-G</t>
  </si>
  <si>
    <t>023-01-01-G-DB</t>
  </si>
  <si>
    <t>ReelStation</t>
  </si>
  <si>
    <t>131-01-L-fwdP</t>
  </si>
  <si>
    <t>131-01-L-aftP</t>
  </si>
  <si>
    <t>131-01-L-fwdS</t>
  </si>
  <si>
    <t>131-01-L-aftS</t>
  </si>
  <si>
    <t>131-02-L-fwdP</t>
  </si>
  <si>
    <t>131-02-L-aftP</t>
  </si>
  <si>
    <t>131-02-L-aftS</t>
  </si>
  <si>
    <t>131-02-L-fwdS</t>
  </si>
  <si>
    <t>Deck</t>
  </si>
  <si>
    <t>Count</t>
  </si>
  <si>
    <t>3rd 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</si>
</sst>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0.0"/>
    <numFmt numFmtId="165" formatCode="0.000"/>
    <numFmt numFmtId="166" formatCode="0.00000000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Frutiger LT 65 Bold"/>
      <family val="2"/>
    </font>
    <font>
      <sz val="12"/>
      <color theme="1"/>
      <name val="Calibri"/>
      <family val="2"/>
      <scheme val="minor"/>
    </font>
    <font>
      <b/>
      <sz val="12"/>
      <color rgb="FF414042"/>
      <name val="Frutiger LT 45 Light"/>
      <family val="2"/>
    </font>
    <font>
      <sz val="12"/>
      <color rgb="FF414042"/>
      <name val="Frutiger LT 45 Light"/>
      <family val="2"/>
    </font>
    <font>
      <sz val="12"/>
      <name val="Frutiger LT 45 Light"/>
      <family val="2"/>
    </font>
    <font>
      <sz val="12"/>
      <color theme="1"/>
      <name val="Frutiger LT 45 Light"/>
      <family val="2"/>
    </font>
    <font>
      <b/>
      <sz val="12"/>
      <color theme="1"/>
      <name val="Frutiger LT 45 Light"/>
      <family val="2"/>
    </font>
    <font>
      <sz val="12"/>
      <color theme="1"/>
      <name val="Frutiger LT 45 Light"/>
      <family val="2"/>
    </font>
    <font>
      <sz val="12"/>
      <color rgb="FFFFFFFF"/>
      <name val="Frutiger LT 65 Bold"/>
      <family val="2"/>
    </font>
    <font>
      <b/>
      <sz val="12"/>
      <color rgb="FFFF0000"/>
      <name val="Frutiger LT 65 Bold"/>
      <family val="2"/>
    </font>
    <font>
      <sz val="12"/>
      <color theme="1"/>
      <name val="Frutiger LT 45 Light"/>
      <family val="2"/>
    </font>
    <font>
      <b/>
      <sz val="12"/>
      <color rgb="FFFFFFFF"/>
      <name val="Frutiger LT 65 Bold"/>
      <family val="2"/>
    </font>
    <font>
      <sz val="12"/>
      <color theme="0" tint="-0.249977111117893"/>
      <name val="Frutiger LT 45 Light"/>
      <family val="2"/>
    </font>
  </fonts>
  <fills count="13">
    <fill>
      <patternFill patternType="none"/>
    </fill>
    <fill>
      <patternFill patternType="gray125"/>
    </fill>
    <fill>
      <patternFill patternType="solid">
        <fgColor rgb="FF3B8EDE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0" fillId="0" borderId="1" xfId="0" applyBorder="1"/>
    <xf numFmtId="165" fontId="0" fillId="0" borderId="0" xfId="0" applyNumberFormat="1"/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vertical="center" wrapText="1"/>
    </xf>
    <xf numFmtId="2" fontId="2" fillId="2" borderId="1" xfId="0" applyNumberFormat="1" applyFont="1" applyFill="1" applyBorder="1" applyAlignment="1">
      <alignment vertical="center" wrapText="1"/>
    </xf>
    <xf numFmtId="0" fontId="0" fillId="5" borderId="0" xfId="0" applyFill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1" fontId="3" fillId="0" borderId="0" xfId="0" applyNumberFormat="1" applyFont="1" applyAlignment="1">
      <alignment wrapText="1"/>
    </xf>
    <xf numFmtId="2" fontId="3" fillId="0" borderId="0" xfId="0" applyNumberFormat="1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2" fontId="5" fillId="0" borderId="1" xfId="0" applyNumberFormat="1" applyFont="1" applyBorder="1" applyAlignment="1">
      <alignment horizontal="right" vertical="center" wrapText="1"/>
    </xf>
    <xf numFmtId="0" fontId="3" fillId="0" borderId="0" xfId="0" applyFont="1" applyFill="1" applyAlignment="1">
      <alignment wrapText="1"/>
    </xf>
    <xf numFmtId="0" fontId="5" fillId="0" borderId="1" xfId="0" applyFont="1" applyFill="1" applyBorder="1" applyAlignment="1">
      <alignment horizontal="right" vertical="center" wrapText="1"/>
    </xf>
    <xf numFmtId="0" fontId="1" fillId="0" borderId="0" xfId="0" applyFont="1" applyFill="1" applyAlignment="1">
      <alignment wrapText="1"/>
    </xf>
    <xf numFmtId="0" fontId="7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1" fontId="7" fillId="0" borderId="1" xfId="0" applyNumberFormat="1" applyFont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2" fontId="7" fillId="0" borderId="1" xfId="0" applyNumberFormat="1" applyFont="1" applyBorder="1" applyAlignment="1">
      <alignment horizontal="right" vertical="center" wrapText="1"/>
    </xf>
    <xf numFmtId="0" fontId="7" fillId="0" borderId="1" xfId="0" applyFont="1" applyFill="1" applyBorder="1" applyAlignment="1">
      <alignment horizontal="right" vertical="center" wrapText="1"/>
    </xf>
    <xf numFmtId="1" fontId="7" fillId="0" borderId="1" xfId="0" applyNumberFormat="1" applyFont="1" applyFill="1" applyBorder="1" applyAlignment="1">
      <alignment horizontal="right" vertical="center" wrapText="1"/>
    </xf>
    <xf numFmtId="0" fontId="7" fillId="0" borderId="1" xfId="0" quotePrefix="1" applyFont="1" applyFill="1" applyBorder="1" applyAlignment="1">
      <alignment horizontal="right" vertical="center" wrapText="1"/>
    </xf>
    <xf numFmtId="49" fontId="7" fillId="0" borderId="1" xfId="0" applyNumberFormat="1" applyFont="1" applyBorder="1" applyAlignment="1">
      <alignment horizontal="right" vertical="center" wrapText="1"/>
    </xf>
    <xf numFmtId="0" fontId="7" fillId="0" borderId="1" xfId="0" quotePrefix="1" applyFont="1" applyBorder="1" applyAlignment="1">
      <alignment horizontal="right" vertical="center" wrapText="1"/>
    </xf>
    <xf numFmtId="0" fontId="7" fillId="5" borderId="1" xfId="0" applyFont="1" applyFill="1" applyBorder="1" applyAlignment="1">
      <alignment horizontal="right" vertical="center" wrapText="1"/>
    </xf>
    <xf numFmtId="0" fontId="7" fillId="8" borderId="1" xfId="0" applyFont="1" applyFill="1" applyBorder="1" applyAlignment="1">
      <alignment horizontal="right" vertical="center" wrapText="1"/>
    </xf>
    <xf numFmtId="1" fontId="7" fillId="0" borderId="1" xfId="0" quotePrefix="1" applyNumberFormat="1" applyFont="1" applyFill="1" applyBorder="1" applyAlignment="1">
      <alignment horizontal="right" vertical="center" wrapText="1"/>
    </xf>
    <xf numFmtId="2" fontId="7" fillId="8" borderId="1" xfId="0" applyNumberFormat="1" applyFont="1" applyFill="1" applyBorder="1" applyAlignment="1">
      <alignment horizontal="right" vertical="center" wrapText="1"/>
    </xf>
    <xf numFmtId="0" fontId="7" fillId="6" borderId="1" xfId="0" quotePrefix="1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right" vertical="center" wrapText="1"/>
    </xf>
    <xf numFmtId="49" fontId="7" fillId="8" borderId="1" xfId="0" applyNumberFormat="1" applyFont="1" applyFill="1" applyBorder="1" applyAlignment="1">
      <alignment horizontal="right" vertical="center" wrapText="1"/>
    </xf>
    <xf numFmtId="0" fontId="7" fillId="8" borderId="1" xfId="0" applyNumberFormat="1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left" wrapText="1"/>
    </xf>
    <xf numFmtId="0" fontId="7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41" fontId="7" fillId="0" borderId="1" xfId="0" applyNumberFormat="1" applyFont="1" applyBorder="1" applyAlignment="1">
      <alignment horizontal="right" vertical="center" wrapText="1"/>
    </xf>
    <xf numFmtId="41" fontId="7" fillId="0" borderId="1" xfId="0" applyNumberFormat="1" applyFont="1" applyFill="1" applyBorder="1" applyAlignment="1">
      <alignment horizontal="right" vertical="center" wrapText="1"/>
    </xf>
    <xf numFmtId="2" fontId="7" fillId="7" borderId="1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10" borderId="1" xfId="0" applyFill="1" applyBorder="1"/>
    <xf numFmtId="0" fontId="0" fillId="0" borderId="0" xfId="0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7" fillId="0" borderId="1" xfId="0" quotePrefix="1" applyNumberFormat="1" applyFont="1" applyFill="1" applyBorder="1" applyAlignment="1">
      <alignment horizontal="right" vertical="center" wrapText="1"/>
    </xf>
    <xf numFmtId="164" fontId="5" fillId="0" borderId="1" xfId="0" applyNumberFormat="1" applyFont="1" applyFill="1" applyBorder="1" applyAlignment="1">
      <alignment horizontal="right" vertical="center" wrapText="1"/>
    </xf>
    <xf numFmtId="2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right" vertical="center" wrapText="1"/>
    </xf>
    <xf numFmtId="0" fontId="10" fillId="9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1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4" borderId="0" xfId="0" applyFont="1" applyFill="1" applyAlignment="1">
      <alignment wrapText="1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right" vertical="center" wrapText="1"/>
    </xf>
    <xf numFmtId="41" fontId="7" fillId="4" borderId="1" xfId="0" applyNumberFormat="1" applyFont="1" applyFill="1" applyBorder="1" applyAlignment="1">
      <alignment horizontal="right" vertical="center" wrapText="1"/>
    </xf>
    <xf numFmtId="0" fontId="9" fillId="4" borderId="1" xfId="0" applyFont="1" applyFill="1" applyBorder="1" applyAlignment="1">
      <alignment horizontal="right" vertical="center" wrapText="1"/>
    </xf>
    <xf numFmtId="164" fontId="7" fillId="4" borderId="1" xfId="0" applyNumberFormat="1" applyFont="1" applyFill="1" applyBorder="1" applyAlignment="1">
      <alignment horizontal="right" vertical="center" wrapText="1"/>
    </xf>
    <xf numFmtId="1" fontId="7" fillId="4" borderId="1" xfId="0" applyNumberFormat="1" applyFont="1" applyFill="1" applyBorder="1" applyAlignment="1">
      <alignment horizontal="right" vertical="center" wrapText="1"/>
    </xf>
    <xf numFmtId="2" fontId="7" fillId="4" borderId="1" xfId="0" applyNumberFormat="1" applyFont="1" applyFill="1" applyBorder="1" applyAlignment="1">
      <alignment horizontal="right" vertical="center" wrapText="1"/>
    </xf>
    <xf numFmtId="0" fontId="7" fillId="4" borderId="1" xfId="0" quotePrefix="1" applyFont="1" applyFill="1" applyBorder="1" applyAlignment="1">
      <alignment horizontal="right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1" xfId="0" applyFon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0" fontId="7" fillId="0" borderId="1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0" fontId="9" fillId="0" borderId="3" xfId="0" applyFont="1" applyBorder="1" applyAlignment="1">
      <alignment horizontal="right" vertical="center" wrapText="1"/>
    </xf>
    <xf numFmtId="0" fontId="14" fillId="0" borderId="4" xfId="0" applyFont="1" applyFill="1" applyBorder="1" applyAlignment="1">
      <alignment horizontal="righ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4" fillId="0" borderId="4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7" fillId="11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49" fontId="0" fillId="0" borderId="0" xfId="0" applyNumberForma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2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1" fontId="7" fillId="0" borderId="1" xfId="0" applyNumberFormat="1" applyFont="1" applyFill="1" applyBorder="1" applyAlignment="1">
      <alignment horizontal="right" vertical="center" wrapText="1"/>
    </xf>
    <xf numFmtId="0" fontId="3" fillId="5" borderId="0" xfId="0" applyFont="1" applyFill="1" applyAlignment="1">
      <alignment wrapText="1"/>
    </xf>
    <xf numFmtId="0" fontId="7" fillId="5" borderId="1" xfId="0" applyFont="1" applyFill="1" applyBorder="1" applyAlignment="1">
      <alignment horizontal="left" vertical="center" wrapText="1"/>
    </xf>
    <xf numFmtId="41" fontId="7" fillId="5" borderId="1" xfId="0" applyNumberFormat="1" applyFont="1" applyFill="1" applyBorder="1" applyAlignment="1">
      <alignment horizontal="right" vertical="center" wrapText="1"/>
    </xf>
    <xf numFmtId="0" fontId="9" fillId="5" borderId="1" xfId="0" applyFont="1" applyFill="1" applyBorder="1" applyAlignment="1">
      <alignment horizontal="right" vertical="center" wrapText="1"/>
    </xf>
    <xf numFmtId="164" fontId="7" fillId="5" borderId="1" xfId="0" applyNumberFormat="1" applyFont="1" applyFill="1" applyBorder="1" applyAlignment="1">
      <alignment horizontal="right" vertical="center" wrapText="1"/>
    </xf>
    <xf numFmtId="1" fontId="7" fillId="5" borderId="1" xfId="0" applyNumberFormat="1" applyFont="1" applyFill="1" applyBorder="1" applyAlignment="1">
      <alignment horizontal="right" vertical="center" wrapText="1"/>
    </xf>
    <xf numFmtId="2" fontId="7" fillId="5" borderId="1" xfId="0" applyNumberFormat="1" applyFont="1" applyFill="1" applyBorder="1" applyAlignment="1">
      <alignment horizontal="right" vertical="center" wrapText="1"/>
    </xf>
    <xf numFmtId="0" fontId="7" fillId="5" borderId="1" xfId="0" quotePrefix="1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12" borderId="1" xfId="0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1" fontId="7" fillId="0" borderId="1" xfId="0" applyNumberFormat="1" applyFont="1" applyFill="1" applyBorder="1" applyAlignment="1">
      <alignment horizontal="righ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right" vertical="center" wrapText="1"/>
    </xf>
    <xf numFmtId="164" fontId="7" fillId="0" borderId="3" xfId="0" applyNumberFormat="1" applyFont="1" applyBorder="1" applyAlignment="1">
      <alignment horizontal="right" vertical="center" wrapText="1"/>
    </xf>
    <xf numFmtId="164" fontId="7" fillId="0" borderId="2" xfId="0" applyNumberFormat="1" applyFont="1" applyBorder="1" applyAlignment="1">
      <alignment horizontal="right" vertical="center" wrapText="1"/>
    </xf>
    <xf numFmtId="164" fontId="7" fillId="0" borderId="4" xfId="0" applyNumberFormat="1" applyFont="1" applyBorder="1" applyAlignment="1">
      <alignment horizontal="right" vertical="center" wrapText="1"/>
    </xf>
    <xf numFmtId="164" fontId="7" fillId="0" borderId="3" xfId="0" applyNumberFormat="1" applyFont="1" applyFill="1" applyBorder="1" applyAlignment="1">
      <alignment horizontal="right" vertical="center" wrapText="1"/>
    </xf>
    <xf numFmtId="164" fontId="7" fillId="0" borderId="2" xfId="0" applyNumberFormat="1" applyFont="1" applyFill="1" applyBorder="1" applyAlignment="1">
      <alignment horizontal="right" vertical="center" wrapText="1"/>
    </xf>
    <xf numFmtId="164" fontId="7" fillId="0" borderId="4" xfId="0" applyNumberFormat="1" applyFont="1" applyFill="1" applyBorder="1" applyAlignment="1">
      <alignment horizontal="right" vertical="center" wrapText="1"/>
    </xf>
    <xf numFmtId="1" fontId="7" fillId="0" borderId="3" xfId="0" applyNumberFormat="1" applyFont="1" applyBorder="1" applyAlignment="1">
      <alignment horizontal="right" vertical="center" wrapText="1"/>
    </xf>
    <xf numFmtId="1" fontId="7" fillId="0" borderId="2" xfId="0" applyNumberFormat="1" applyFont="1" applyBorder="1" applyAlignment="1">
      <alignment horizontal="right" vertical="center" wrapText="1"/>
    </xf>
    <xf numFmtId="1" fontId="7" fillId="0" borderId="4" xfId="0" applyNumberFormat="1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1" fontId="5" fillId="0" borderId="1" xfId="0" applyNumberFormat="1" applyFon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" fontId="7" fillId="0" borderId="1" xfId="0" applyNumberFormat="1" applyFont="1" applyFill="1" applyBorder="1" applyAlignment="1">
      <alignment horizontal="right" vertical="center" wrapText="1"/>
    </xf>
    <xf numFmtId="0" fontId="7" fillId="12" borderId="3" xfId="0" applyFont="1" applyFill="1" applyBorder="1" applyAlignment="1">
      <alignment horizontal="right" vertical="center" wrapText="1"/>
    </xf>
    <xf numFmtId="0" fontId="7" fillId="12" borderId="4" xfId="0" applyFont="1" applyFill="1" applyBorder="1" applyAlignment="1">
      <alignment horizontal="right" vertical="center" wrapText="1"/>
    </xf>
    <xf numFmtId="0" fontId="5" fillId="12" borderId="1" xfId="0" applyFont="1" applyFill="1" applyBorder="1" applyAlignment="1">
      <alignment horizontal="right" vertical="center" wrapText="1"/>
    </xf>
    <xf numFmtId="0" fontId="7" fillId="12" borderId="1" xfId="0" applyFont="1" applyFill="1" applyBorder="1" applyAlignment="1">
      <alignment horizontal="right" vertical="center" wrapText="1"/>
    </xf>
    <xf numFmtId="2" fontId="7" fillId="0" borderId="3" xfId="0" applyNumberFormat="1" applyFont="1" applyBorder="1" applyAlignment="1">
      <alignment horizontal="right" vertical="center" wrapText="1"/>
    </xf>
    <xf numFmtId="2" fontId="7" fillId="0" borderId="2" xfId="0" applyNumberFormat="1" applyFont="1" applyBorder="1" applyAlignment="1">
      <alignment horizontal="right" vertical="center" wrapText="1"/>
    </xf>
    <xf numFmtId="2" fontId="7" fillId="0" borderId="4" xfId="0" applyNumberFormat="1" applyFont="1" applyBorder="1" applyAlignment="1">
      <alignment horizontal="right" vertical="center" wrapText="1"/>
    </xf>
    <xf numFmtId="0" fontId="7" fillId="12" borderId="2" xfId="0" applyFont="1" applyFill="1" applyBorder="1" applyAlignment="1">
      <alignment horizontal="righ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41" fontId="7" fillId="0" borderId="3" xfId="0" applyNumberFormat="1" applyFont="1" applyBorder="1" applyAlignment="1">
      <alignment horizontal="right" vertical="center" wrapText="1"/>
    </xf>
    <xf numFmtId="41" fontId="7" fillId="0" borderId="2" xfId="0" applyNumberFormat="1" applyFont="1" applyBorder="1" applyAlignment="1">
      <alignment horizontal="right" vertical="center" wrapText="1"/>
    </xf>
    <xf numFmtId="41" fontId="7" fillId="0" borderId="4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164" fontId="7" fillId="8" borderId="3" xfId="0" applyNumberFormat="1" applyFont="1" applyFill="1" applyBorder="1" applyAlignment="1">
      <alignment horizontal="right" vertical="center" wrapText="1"/>
    </xf>
    <xf numFmtId="164" fontId="7" fillId="8" borderId="2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8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, Jee-A" id="{80960707-181B-4662-9FE1-60635C90EA05}" userId="S::Jee-A.Lee@lr.org::cfea377f-76c6-4135-93bf-a4aa787c4d15" providerId="AD"/>
  <person displayName="Kim, Sung-Hoon" id="{898F68DF-D52F-435B-859E-B47450FB097B}" userId="S::sung-hoon.kim@lr.org::ac53c902-feb7-45e4-8225-5711da062f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2" dT="2020-02-26T04:59:35.57" personId="{80960707-181B-4662-9FE1-60635C90EA05}" id="{D1E990B0-C9AA-4954-9956-122C1DF67460}">
    <text>-. 5% 마진을 적용하기 전의 volume 임
Colume V 의  volume 은 업데이트 되지 X
(failure case 에 대한 참고용으로 남겨둠)
-. Colume AC 의 volume 은 업데이트 된 것.</text>
  </threadedComment>
  <threadedComment ref="AD2" dT="2020-02-19T00:01:31.48" personId="{80960707-181B-4662-9FE1-60635C90EA05}" id="{496CB7E1-6877-49A5-853D-76394DBE4DAF}">
    <text>5% increased</text>
  </threadedComment>
  <threadedComment ref="AG2" dT="2020-02-24T01:52:47.45" personId="{898F68DF-D52F-435B-859E-B47450FB097B}" id="{59060254-ED05-4827-A1A0-F6D8C9E6922F}">
    <text>Largest volume of adjacent section
(considering ESDV/SDV failure case during normal operation)
(ESDV closes)</text>
  </threadedComment>
  <threadedComment ref="AQ69" dT="2020-02-19T00:28:26.07" personId="{80960707-181B-4662-9FE1-60635C90EA05}" id="{2DFDB6BF-9E0D-483C-A097-EA64E67D8A01}">
    <text>continuously connected line</text>
  </threadedComment>
  <threadedComment ref="AR69" dT="2020-02-19T00:28:26.07" personId="{80960707-181B-4662-9FE1-60635C90EA05}" id="{1F0BC560-1B35-4D59-B3D9-65A1E5C98578}">
    <text>continuously connected line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5D41-5741-4F04-ACA4-CA94CA2147AC}">
  <sheetPr codeName="Sheet1" filterMode="1">
    <pageSetUpPr fitToPage="1"/>
  </sheetPr>
  <dimension ref="A1:AY90"/>
  <sheetViews>
    <sheetView tabSelected="1" view="pageBreakPreview" zoomScale="85" zoomScaleNormal="85" zoomScaleSheetLayoutView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91" sqref="I91"/>
    </sheetView>
  </sheetViews>
  <sheetFormatPr defaultColWidth="9.140625" defaultRowHeight="15.75" x14ac:dyDescent="0.25"/>
  <cols>
    <col min="1" max="1" width="4.5703125" style="11" hidden="1" customWidth="1"/>
    <col min="2" max="2" width="16" style="12" hidden="1" customWidth="1"/>
    <col min="3" max="3" width="21.28515625" style="11" customWidth="1"/>
    <col min="4" max="4" width="9.7109375" style="11" customWidth="1"/>
    <col min="5" max="5" width="21.28515625" style="11" customWidth="1"/>
    <col min="6" max="6" width="16.28515625" style="48" customWidth="1"/>
    <col min="7" max="7" width="7.28515625" style="11" customWidth="1"/>
    <col min="8" max="8" width="9.42578125" style="11" customWidth="1"/>
    <col min="9" max="9" width="20.7109375" style="48" customWidth="1"/>
    <col min="10" max="10" width="19.7109375" style="88" customWidth="1"/>
    <col min="11" max="11" width="10.140625" style="88" customWidth="1"/>
    <col min="12" max="15" width="6.7109375" style="88" customWidth="1"/>
    <col min="16" max="16" width="9.28515625" style="11" customWidth="1"/>
    <col min="17" max="17" width="10.140625" style="11" customWidth="1"/>
    <col min="18" max="18" width="7.42578125" style="11" customWidth="1"/>
    <col min="19" max="19" width="29.85546875" style="48" customWidth="1"/>
    <col min="20" max="20" width="21" style="48" customWidth="1"/>
    <col min="21" max="21" width="9.42578125" style="13" customWidth="1"/>
    <col min="22" max="22" width="15.28515625" style="11" customWidth="1"/>
    <col min="23" max="23" width="24.28515625" style="11" customWidth="1"/>
    <col min="24" max="24" width="17.28515625" style="11" customWidth="1"/>
    <col min="25" max="25" width="9.7109375" style="11" hidden="1" customWidth="1"/>
    <col min="26" max="26" width="65.28515625" style="48" hidden="1" customWidth="1"/>
    <col min="27" max="27" width="10" style="11" hidden="1" customWidth="1"/>
    <col min="28" max="28" width="10" style="11" customWidth="1"/>
    <col min="29" max="29" width="14" style="11" hidden="1" customWidth="1"/>
    <col min="30" max="30" width="10.28515625" style="11" customWidth="1"/>
    <col min="31" max="31" width="8.5703125" style="11" customWidth="1"/>
    <col min="32" max="32" width="9.85546875" style="11" customWidth="1"/>
    <col min="33" max="34" width="9.140625" style="20" customWidth="1"/>
    <col min="35" max="35" width="13.42578125" style="11" customWidth="1"/>
    <col min="36" max="36" width="11" style="13" customWidth="1"/>
    <col min="37" max="37" width="8.7109375" style="13" customWidth="1"/>
    <col min="38" max="38" width="8.140625" style="11" customWidth="1"/>
    <col min="39" max="39" width="9.42578125" style="11" customWidth="1"/>
    <col min="40" max="40" width="11.5703125" style="11" customWidth="1"/>
    <col min="41" max="41" width="22.7109375" style="11" customWidth="1"/>
    <col min="42" max="43" width="16" style="11" customWidth="1"/>
    <col min="44" max="44" width="11.7109375" style="14" customWidth="1"/>
    <col min="45" max="45" width="16.42578125" style="11" customWidth="1"/>
    <col min="46" max="46" width="17.42578125" style="11" customWidth="1"/>
    <col min="47" max="47" width="10.28515625" style="11" customWidth="1"/>
    <col min="48" max="49" width="14.85546875" style="11" bestFit="1" customWidth="1"/>
    <col min="50" max="16384" width="9.140625" style="11"/>
  </cols>
  <sheetData>
    <row r="1" spans="1:51" x14ac:dyDescent="0.25">
      <c r="AY1" s="11">
        <v>1.05</v>
      </c>
    </row>
    <row r="2" spans="1:51" s="10" customFormat="1" ht="66" x14ac:dyDescent="0.25">
      <c r="A2" s="10" t="s">
        <v>844</v>
      </c>
      <c r="B2" s="50" t="s">
        <v>843</v>
      </c>
      <c r="C2" s="50" t="s">
        <v>828</v>
      </c>
      <c r="D2" s="50" t="s">
        <v>865</v>
      </c>
      <c r="E2" s="87" t="s">
        <v>727</v>
      </c>
      <c r="F2" s="50" t="s">
        <v>325</v>
      </c>
      <c r="G2" s="4" t="s">
        <v>0</v>
      </c>
      <c r="H2" s="4" t="s">
        <v>284</v>
      </c>
      <c r="I2" s="69" t="s">
        <v>460</v>
      </c>
      <c r="J2" s="69" t="s">
        <v>721</v>
      </c>
      <c r="K2" s="69" t="s">
        <v>851</v>
      </c>
      <c r="L2" s="69" t="s">
        <v>809</v>
      </c>
      <c r="M2" s="69" t="s">
        <v>810</v>
      </c>
      <c r="N2" s="69" t="s">
        <v>811</v>
      </c>
      <c r="O2" s="126"/>
      <c r="P2" s="4" t="s">
        <v>1</v>
      </c>
      <c r="Q2" s="4" t="s">
        <v>612</v>
      </c>
      <c r="R2" s="4" t="s">
        <v>640</v>
      </c>
      <c r="S2" s="69" t="s">
        <v>2</v>
      </c>
      <c r="T2" s="106" t="s">
        <v>3</v>
      </c>
      <c r="U2" s="7" t="s">
        <v>542</v>
      </c>
      <c r="V2" s="51" t="s">
        <v>543</v>
      </c>
      <c r="W2" s="4" t="s">
        <v>4</v>
      </c>
      <c r="X2" s="4" t="s">
        <v>259</v>
      </c>
      <c r="Y2" s="68" t="s">
        <v>639</v>
      </c>
      <c r="Z2" s="70" t="s">
        <v>272</v>
      </c>
      <c r="AA2" s="4" t="s">
        <v>633</v>
      </c>
      <c r="AB2" s="4" t="s">
        <v>632</v>
      </c>
      <c r="AC2" s="5" t="s">
        <v>5</v>
      </c>
      <c r="AD2" s="6" t="s">
        <v>634</v>
      </c>
      <c r="AE2" s="4" t="s">
        <v>635</v>
      </c>
      <c r="AF2" s="4" t="s">
        <v>831</v>
      </c>
      <c r="AG2" s="4" t="s">
        <v>866</v>
      </c>
      <c r="AH2" s="4" t="s">
        <v>867</v>
      </c>
      <c r="AI2" s="4" t="s">
        <v>288</v>
      </c>
      <c r="AJ2" s="7" t="s">
        <v>289</v>
      </c>
      <c r="AK2" s="7" t="s">
        <v>290</v>
      </c>
      <c r="AL2" s="4" t="s">
        <v>830</v>
      </c>
      <c r="AM2" s="4" t="s">
        <v>829</v>
      </c>
      <c r="AN2" s="4" t="s">
        <v>636</v>
      </c>
      <c r="AO2" s="4" t="s">
        <v>6</v>
      </c>
      <c r="AP2" s="4" t="s">
        <v>411</v>
      </c>
      <c r="AQ2" s="51" t="s">
        <v>554</v>
      </c>
      <c r="AR2" s="8" t="s">
        <v>637</v>
      </c>
      <c r="AS2" s="3" t="s">
        <v>292</v>
      </c>
      <c r="AT2" s="5" t="s">
        <v>273</v>
      </c>
      <c r="AU2" s="4" t="s">
        <v>638</v>
      </c>
      <c r="AV2" s="4"/>
    </row>
    <row r="3" spans="1:51" ht="115.5" x14ac:dyDescent="0.25">
      <c r="A3" s="11">
        <v>39</v>
      </c>
      <c r="B3" s="113" t="s">
        <v>7</v>
      </c>
      <c r="C3" s="117" t="s">
        <v>484</v>
      </c>
      <c r="D3" s="129">
        <v>1</v>
      </c>
      <c r="E3" s="117" t="s">
        <v>484</v>
      </c>
      <c r="F3" s="128" t="s">
        <v>8</v>
      </c>
      <c r="G3" s="25" t="s">
        <v>9</v>
      </c>
      <c r="H3" s="25" t="s">
        <v>285</v>
      </c>
      <c r="I3" s="117" t="s">
        <v>461</v>
      </c>
      <c r="J3" s="49" t="s">
        <v>808</v>
      </c>
      <c r="K3" s="49">
        <v>1</v>
      </c>
      <c r="L3" s="74">
        <v>176.1</v>
      </c>
      <c r="M3" s="97">
        <v>-10.4</v>
      </c>
      <c r="N3" s="97">
        <v>44.8</v>
      </c>
      <c r="O3" s="123"/>
      <c r="P3" s="23"/>
      <c r="Q3" s="26" t="s">
        <v>10</v>
      </c>
      <c r="R3" s="26" t="s">
        <v>11</v>
      </c>
      <c r="S3" s="66" t="s">
        <v>197</v>
      </c>
      <c r="T3" s="104" t="s">
        <v>808</v>
      </c>
      <c r="U3" s="52">
        <v>100</v>
      </c>
      <c r="V3" s="43" t="s">
        <v>544</v>
      </c>
      <c r="W3" s="26" t="s">
        <v>467</v>
      </c>
      <c r="X3" s="26" t="s">
        <v>359</v>
      </c>
      <c r="Y3" s="43">
        <v>12</v>
      </c>
      <c r="Z3" s="103" t="s">
        <v>807</v>
      </c>
      <c r="AA3" s="26">
        <v>120</v>
      </c>
      <c r="AB3" s="26">
        <f>AA3+Y3</f>
        <v>132</v>
      </c>
      <c r="AC3" s="26">
        <f>14.25</f>
        <v>14.25</v>
      </c>
      <c r="AD3" s="95">
        <f t="shared" ref="AD3:AD77" si="0">AC3*$AY$1</f>
        <v>14.9625</v>
      </c>
      <c r="AE3" s="28">
        <v>0.35</v>
      </c>
      <c r="AF3" s="28">
        <f>AD3+AE3</f>
        <v>15.3125</v>
      </c>
      <c r="AG3" s="46">
        <v>131.5</v>
      </c>
      <c r="AH3" s="134">
        <f>AG3*AN3</f>
        <v>15582.75</v>
      </c>
      <c r="AI3" s="26"/>
      <c r="AJ3" s="27">
        <v>148373</v>
      </c>
      <c r="AK3" s="28">
        <f>AJ3/3600</f>
        <v>41.214722222222221</v>
      </c>
      <c r="AL3" s="146">
        <v>120</v>
      </c>
      <c r="AM3" s="26">
        <v>88.9</v>
      </c>
      <c r="AN3" s="26">
        <v>118.5</v>
      </c>
      <c r="AO3" s="26" t="s">
        <v>12</v>
      </c>
      <c r="AP3" s="26" t="s">
        <v>193</v>
      </c>
      <c r="AQ3" s="43">
        <v>3</v>
      </c>
      <c r="AR3" s="29">
        <f>SQRT(AS3/3.14)*2</f>
        <v>13.162386092320499</v>
      </c>
      <c r="AS3" s="26">
        <v>136</v>
      </c>
      <c r="AT3" s="26" t="s">
        <v>274</v>
      </c>
      <c r="AU3" s="26">
        <f>AA3+30+AQ3</f>
        <v>153</v>
      </c>
      <c r="AV3" s="26"/>
    </row>
    <row r="4" spans="1:51" ht="115.5" x14ac:dyDescent="0.25">
      <c r="A4" s="11">
        <v>40</v>
      </c>
      <c r="B4" s="113" t="s">
        <v>18</v>
      </c>
      <c r="C4" s="117" t="s">
        <v>485</v>
      </c>
      <c r="D4" s="129">
        <v>1</v>
      </c>
      <c r="E4" s="117" t="s">
        <v>872</v>
      </c>
      <c r="F4" s="128" t="s">
        <v>8</v>
      </c>
      <c r="G4" s="25" t="s">
        <v>9</v>
      </c>
      <c r="H4" s="25" t="s">
        <v>285</v>
      </c>
      <c r="I4" s="117" t="s">
        <v>461</v>
      </c>
      <c r="J4" s="49" t="s">
        <v>808</v>
      </c>
      <c r="K4" s="49">
        <v>1</v>
      </c>
      <c r="L4" s="74">
        <v>189.9</v>
      </c>
      <c r="M4" s="97">
        <v>-7</v>
      </c>
      <c r="N4" s="97">
        <v>44.9</v>
      </c>
      <c r="O4" s="123"/>
      <c r="P4" s="23"/>
      <c r="Q4" s="26" t="s">
        <v>14</v>
      </c>
      <c r="R4" s="26" t="s">
        <v>11</v>
      </c>
      <c r="S4" s="66" t="s">
        <v>196</v>
      </c>
      <c r="T4" s="104" t="s">
        <v>808</v>
      </c>
      <c r="U4" s="52">
        <v>100</v>
      </c>
      <c r="V4" s="43" t="s">
        <v>544</v>
      </c>
      <c r="W4" s="26" t="s">
        <v>468</v>
      </c>
      <c r="X4" s="26" t="s">
        <v>360</v>
      </c>
      <c r="Y4" s="43">
        <v>12</v>
      </c>
      <c r="Z4" s="66" t="s">
        <v>476</v>
      </c>
      <c r="AA4" s="67">
        <v>120</v>
      </c>
      <c r="AB4" s="43">
        <f t="shared" ref="AB4:AB77" si="1">AA4+Y4</f>
        <v>132</v>
      </c>
      <c r="AC4" s="26">
        <v>14.07</v>
      </c>
      <c r="AD4" s="28">
        <f t="shared" si="0"/>
        <v>14.7735</v>
      </c>
      <c r="AE4" s="28">
        <v>0.35</v>
      </c>
      <c r="AF4" s="28">
        <f t="shared" ref="AF4:AF77" si="2">AD4+AE4</f>
        <v>15.1235</v>
      </c>
      <c r="AG4" s="46">
        <v>131.5</v>
      </c>
      <c r="AH4" s="134">
        <f t="shared" ref="AH4:AH67" si="3">AG4*AN4</f>
        <v>15845.75</v>
      </c>
      <c r="AI4" s="26"/>
      <c r="AJ4" s="27">
        <v>134947</v>
      </c>
      <c r="AK4" s="28">
        <f t="shared" ref="AK4:AK77" si="4">AJ4/3600</f>
        <v>37.485277777777775</v>
      </c>
      <c r="AL4" s="146">
        <v>120</v>
      </c>
      <c r="AM4" s="26">
        <v>85.8</v>
      </c>
      <c r="AN4" s="26">
        <v>120.5</v>
      </c>
      <c r="AO4" s="26" t="s">
        <v>12</v>
      </c>
      <c r="AP4" s="26" t="s">
        <v>194</v>
      </c>
      <c r="AQ4" s="43">
        <v>3</v>
      </c>
      <c r="AR4" s="29">
        <f t="shared" ref="AR4:AR78" si="5">SQRT(AS4/3.14)*2</f>
        <v>13.162386092320499</v>
      </c>
      <c r="AS4" s="26">
        <v>136</v>
      </c>
      <c r="AT4" s="26" t="s">
        <v>274</v>
      </c>
      <c r="AU4" s="43">
        <f>AA4+30+AQ4</f>
        <v>153</v>
      </c>
      <c r="AV4" s="26"/>
    </row>
    <row r="5" spans="1:51" ht="115.5" x14ac:dyDescent="0.25">
      <c r="A5" s="11">
        <v>41</v>
      </c>
      <c r="B5" s="113" t="s">
        <v>283</v>
      </c>
      <c r="C5" s="117" t="s">
        <v>486</v>
      </c>
      <c r="D5" s="129">
        <v>1</v>
      </c>
      <c r="E5" s="117" t="s">
        <v>873</v>
      </c>
      <c r="F5" s="128" t="s">
        <v>8</v>
      </c>
      <c r="G5" s="25" t="s">
        <v>9</v>
      </c>
      <c r="H5" s="25" t="s">
        <v>285</v>
      </c>
      <c r="I5" s="117" t="s">
        <v>461</v>
      </c>
      <c r="J5" s="49" t="s">
        <v>808</v>
      </c>
      <c r="K5" s="49">
        <v>1</v>
      </c>
      <c r="L5" s="74">
        <v>186.6</v>
      </c>
      <c r="M5" s="97">
        <v>-10.8</v>
      </c>
      <c r="N5" s="97">
        <v>45</v>
      </c>
      <c r="O5" s="123"/>
      <c r="P5" s="23"/>
      <c r="Q5" s="26" t="s">
        <v>15</v>
      </c>
      <c r="R5" s="26" t="s">
        <v>11</v>
      </c>
      <c r="S5" s="66" t="s">
        <v>198</v>
      </c>
      <c r="T5" s="104" t="s">
        <v>808</v>
      </c>
      <c r="U5" s="52">
        <v>100</v>
      </c>
      <c r="V5" s="43" t="s">
        <v>544</v>
      </c>
      <c r="W5" s="26" t="s">
        <v>469</v>
      </c>
      <c r="X5" s="26" t="s">
        <v>361</v>
      </c>
      <c r="Y5" s="43">
        <v>12</v>
      </c>
      <c r="Z5" s="66" t="s">
        <v>472</v>
      </c>
      <c r="AA5" s="67">
        <v>120</v>
      </c>
      <c r="AB5" s="43">
        <f t="shared" si="1"/>
        <v>132</v>
      </c>
      <c r="AC5" s="26">
        <v>14</v>
      </c>
      <c r="AD5" s="28">
        <f t="shared" si="0"/>
        <v>14.700000000000001</v>
      </c>
      <c r="AE5" s="28">
        <v>0.35</v>
      </c>
      <c r="AF5" s="28">
        <f t="shared" si="2"/>
        <v>15.05</v>
      </c>
      <c r="AG5" s="46">
        <v>131.5</v>
      </c>
      <c r="AH5" s="134">
        <f t="shared" si="3"/>
        <v>15332.9</v>
      </c>
      <c r="AI5" s="26"/>
      <c r="AJ5" s="27">
        <v>202282</v>
      </c>
      <c r="AK5" s="28">
        <f t="shared" si="4"/>
        <v>56.189444444444447</v>
      </c>
      <c r="AL5" s="146">
        <v>120</v>
      </c>
      <c r="AM5" s="26">
        <v>92.3</v>
      </c>
      <c r="AN5" s="26">
        <v>116.6</v>
      </c>
      <c r="AO5" s="26" t="s">
        <v>12</v>
      </c>
      <c r="AP5" s="26" t="s">
        <v>103</v>
      </c>
      <c r="AQ5" s="43">
        <v>3</v>
      </c>
      <c r="AR5" s="29">
        <f t="shared" si="5"/>
        <v>13.162386092320499</v>
      </c>
      <c r="AS5" s="26">
        <v>136</v>
      </c>
      <c r="AT5" s="26" t="s">
        <v>274</v>
      </c>
      <c r="AU5" s="43">
        <f>AA5+30+AQ5</f>
        <v>153</v>
      </c>
      <c r="AV5" s="26"/>
    </row>
    <row r="6" spans="1:51" ht="132" x14ac:dyDescent="0.25">
      <c r="A6" s="11">
        <v>42</v>
      </c>
      <c r="B6" s="113" t="s">
        <v>350</v>
      </c>
      <c r="C6" s="117" t="s">
        <v>487</v>
      </c>
      <c r="D6" s="129">
        <v>1</v>
      </c>
      <c r="E6" s="117" t="s">
        <v>874</v>
      </c>
      <c r="F6" s="128" t="s">
        <v>8</v>
      </c>
      <c r="G6" s="25" t="s">
        <v>9</v>
      </c>
      <c r="H6" s="25" t="s">
        <v>285</v>
      </c>
      <c r="I6" s="117" t="s">
        <v>461</v>
      </c>
      <c r="J6" s="49" t="s">
        <v>808</v>
      </c>
      <c r="K6" s="49">
        <v>1</v>
      </c>
      <c r="L6" s="74">
        <v>176.1</v>
      </c>
      <c r="M6" s="97">
        <v>-10.3</v>
      </c>
      <c r="N6" s="97">
        <v>44.8</v>
      </c>
      <c r="O6" s="123"/>
      <c r="P6" s="23"/>
      <c r="Q6" s="26" t="s">
        <v>16</v>
      </c>
      <c r="R6" s="26" t="s">
        <v>11</v>
      </c>
      <c r="S6" s="66" t="s">
        <v>199</v>
      </c>
      <c r="T6" s="104" t="s">
        <v>808</v>
      </c>
      <c r="U6" s="52">
        <v>100</v>
      </c>
      <c r="V6" s="43" t="s">
        <v>544</v>
      </c>
      <c r="W6" s="26" t="s">
        <v>470</v>
      </c>
      <c r="X6" s="26" t="s">
        <v>362</v>
      </c>
      <c r="Y6" s="43">
        <v>12</v>
      </c>
      <c r="Z6" s="66" t="s">
        <v>473</v>
      </c>
      <c r="AA6" s="67">
        <v>120</v>
      </c>
      <c r="AB6" s="43">
        <f t="shared" si="1"/>
        <v>132</v>
      </c>
      <c r="AC6" s="26">
        <v>14.15</v>
      </c>
      <c r="AD6" s="28">
        <f t="shared" si="0"/>
        <v>14.857500000000002</v>
      </c>
      <c r="AE6" s="28">
        <v>0.35</v>
      </c>
      <c r="AF6" s="28">
        <f t="shared" si="2"/>
        <v>15.207500000000001</v>
      </c>
      <c r="AG6" s="46">
        <v>131.5</v>
      </c>
      <c r="AH6" s="134">
        <f t="shared" si="3"/>
        <v>15687.949999999999</v>
      </c>
      <c r="AI6" s="26"/>
      <c r="AJ6" s="27">
        <v>119115</v>
      </c>
      <c r="AK6" s="28">
        <f t="shared" si="4"/>
        <v>33.087499999999999</v>
      </c>
      <c r="AL6" s="146">
        <v>120</v>
      </c>
      <c r="AM6" s="26">
        <v>87.2</v>
      </c>
      <c r="AN6" s="26">
        <v>119.3</v>
      </c>
      <c r="AO6" s="26" t="s">
        <v>12</v>
      </c>
      <c r="AP6" s="26" t="s">
        <v>195</v>
      </c>
      <c r="AQ6" s="43">
        <v>3</v>
      </c>
      <c r="AR6" s="29">
        <f t="shared" si="5"/>
        <v>13.162386092320499</v>
      </c>
      <c r="AS6" s="26">
        <v>136</v>
      </c>
      <c r="AT6" s="26" t="s">
        <v>274</v>
      </c>
      <c r="AU6" s="43">
        <f>AA6+30+AQ6</f>
        <v>153</v>
      </c>
      <c r="AV6" s="26"/>
    </row>
    <row r="7" spans="1:51" s="20" customFormat="1" ht="99" x14ac:dyDescent="0.25">
      <c r="A7" s="20">
        <v>57</v>
      </c>
      <c r="B7" s="113" t="s">
        <v>351</v>
      </c>
      <c r="C7" s="49" t="s">
        <v>488</v>
      </c>
      <c r="D7" s="129">
        <v>1</v>
      </c>
      <c r="E7" s="49" t="s">
        <v>488</v>
      </c>
      <c r="F7" s="49" t="s">
        <v>19</v>
      </c>
      <c r="G7" s="25" t="s">
        <v>173</v>
      </c>
      <c r="H7" s="25" t="s">
        <v>173</v>
      </c>
      <c r="I7" s="49" t="s">
        <v>439</v>
      </c>
      <c r="J7" s="49" t="s">
        <v>665</v>
      </c>
      <c r="K7" s="49">
        <v>1</v>
      </c>
      <c r="L7" s="49">
        <v>176.9</v>
      </c>
      <c r="M7" s="49">
        <v>20.6</v>
      </c>
      <c r="N7" s="49">
        <v>31.5</v>
      </c>
      <c r="O7" s="122"/>
      <c r="P7" s="25"/>
      <c r="Q7" s="30" t="s">
        <v>613</v>
      </c>
      <c r="R7" s="30" t="s">
        <v>24</v>
      </c>
      <c r="S7" s="49" t="s">
        <v>237</v>
      </c>
      <c r="T7" s="49" t="s">
        <v>239</v>
      </c>
      <c r="U7" s="53">
        <f>6/365*100</f>
        <v>1.6438356164383561</v>
      </c>
      <c r="V7" s="30" t="s">
        <v>546</v>
      </c>
      <c r="W7" s="30" t="s">
        <v>471</v>
      </c>
      <c r="X7" s="30" t="s">
        <v>363</v>
      </c>
      <c r="Y7" s="30">
        <v>12</v>
      </c>
      <c r="Z7" s="49" t="s">
        <v>758</v>
      </c>
      <c r="AA7" s="67">
        <v>120</v>
      </c>
      <c r="AB7" s="43">
        <f t="shared" si="1"/>
        <v>132</v>
      </c>
      <c r="AC7" s="30">
        <v>19.79</v>
      </c>
      <c r="AD7" s="28">
        <f t="shared" si="0"/>
        <v>20.779499999999999</v>
      </c>
      <c r="AE7" s="46">
        <v>3.36</v>
      </c>
      <c r="AF7" s="28">
        <f t="shared" si="2"/>
        <v>24.139499999999998</v>
      </c>
      <c r="AG7" s="46">
        <v>121</v>
      </c>
      <c r="AH7" s="134">
        <f t="shared" si="3"/>
        <v>90556.4</v>
      </c>
      <c r="AI7" s="30"/>
      <c r="AJ7" s="31">
        <v>164605.35999999999</v>
      </c>
      <c r="AK7" s="28">
        <f t="shared" si="4"/>
        <v>45.723711111111108</v>
      </c>
      <c r="AL7" s="146">
        <v>141.81</v>
      </c>
      <c r="AM7" s="30">
        <v>80</v>
      </c>
      <c r="AN7" s="30">
        <v>748.4</v>
      </c>
      <c r="AO7" s="30" t="s">
        <v>306</v>
      </c>
      <c r="AP7" s="32" t="s">
        <v>27</v>
      </c>
      <c r="AQ7" s="32" t="s">
        <v>27</v>
      </c>
      <c r="AR7" s="29">
        <f t="shared" si="5"/>
        <v>0</v>
      </c>
      <c r="AS7" s="32">
        <v>0</v>
      </c>
      <c r="AT7" s="30" t="s">
        <v>275</v>
      </c>
      <c r="AU7" s="32" t="s">
        <v>556</v>
      </c>
      <c r="AV7" s="30"/>
    </row>
    <row r="8" spans="1:51" s="20" customFormat="1" ht="82.5" x14ac:dyDescent="0.25">
      <c r="A8" s="20">
        <v>58</v>
      </c>
      <c r="B8" s="100" t="s">
        <v>352</v>
      </c>
      <c r="C8" s="49" t="s">
        <v>489</v>
      </c>
      <c r="D8" s="129">
        <v>1</v>
      </c>
      <c r="E8" s="49" t="s">
        <v>489</v>
      </c>
      <c r="F8" s="49" t="s">
        <v>412</v>
      </c>
      <c r="G8" s="25" t="s">
        <v>173</v>
      </c>
      <c r="H8" s="25" t="s">
        <v>173</v>
      </c>
      <c r="I8" s="49" t="s">
        <v>440</v>
      </c>
      <c r="J8" s="49" t="s">
        <v>666</v>
      </c>
      <c r="K8" s="49">
        <v>1</v>
      </c>
      <c r="L8" s="49">
        <v>165.5</v>
      </c>
      <c r="M8" s="49">
        <v>9.5</v>
      </c>
      <c r="N8" s="49">
        <v>30.5</v>
      </c>
      <c r="O8" s="122"/>
      <c r="P8" s="25"/>
      <c r="Q8" s="30" t="s">
        <v>613</v>
      </c>
      <c r="R8" s="30" t="s">
        <v>24</v>
      </c>
      <c r="S8" s="49" t="s">
        <v>238</v>
      </c>
      <c r="T8" s="49" t="s">
        <v>240</v>
      </c>
      <c r="U8" s="53">
        <f>6/365*100</f>
        <v>1.6438356164383561</v>
      </c>
      <c r="V8" s="30" t="s">
        <v>546</v>
      </c>
      <c r="W8" s="30" t="s">
        <v>353</v>
      </c>
      <c r="X8" s="30" t="s">
        <v>364</v>
      </c>
      <c r="Y8" s="30">
        <v>8</v>
      </c>
      <c r="Z8" s="49" t="s">
        <v>759</v>
      </c>
      <c r="AA8" s="67">
        <v>120</v>
      </c>
      <c r="AB8" s="43">
        <f t="shared" si="1"/>
        <v>128</v>
      </c>
      <c r="AC8" s="30">
        <v>1.36</v>
      </c>
      <c r="AD8" s="28">
        <f t="shared" si="0"/>
        <v>1.4280000000000002</v>
      </c>
      <c r="AE8" s="46">
        <v>0.22</v>
      </c>
      <c r="AF8" s="28">
        <f t="shared" si="2"/>
        <v>1.6480000000000001</v>
      </c>
      <c r="AG8" s="46">
        <v>121</v>
      </c>
      <c r="AH8" s="134">
        <f t="shared" si="3"/>
        <v>96473.299999999988</v>
      </c>
      <c r="AI8" s="30"/>
      <c r="AJ8" s="31">
        <v>43839.37</v>
      </c>
      <c r="AK8" s="28">
        <f t="shared" si="4"/>
        <v>12.177602777777778</v>
      </c>
      <c r="AL8" s="146">
        <v>14.67</v>
      </c>
      <c r="AM8" s="30">
        <v>16.73</v>
      </c>
      <c r="AN8" s="30">
        <v>797.3</v>
      </c>
      <c r="AO8" s="30" t="s">
        <v>307</v>
      </c>
      <c r="AP8" s="32" t="s">
        <v>27</v>
      </c>
      <c r="AQ8" s="32" t="s">
        <v>27</v>
      </c>
      <c r="AR8" s="29">
        <f t="shared" si="5"/>
        <v>0</v>
      </c>
      <c r="AS8" s="32">
        <v>0</v>
      </c>
      <c r="AT8" s="30" t="s">
        <v>275</v>
      </c>
      <c r="AU8" s="32" t="s">
        <v>556</v>
      </c>
      <c r="AV8" s="30"/>
    </row>
    <row r="9" spans="1:51" ht="115.5" x14ac:dyDescent="0.25">
      <c r="A9" s="20">
        <v>43</v>
      </c>
      <c r="B9" s="191" t="s">
        <v>20</v>
      </c>
      <c r="C9" s="117" t="s">
        <v>490</v>
      </c>
      <c r="D9" s="129">
        <v>1</v>
      </c>
      <c r="E9" s="117" t="s">
        <v>490</v>
      </c>
      <c r="F9" s="128" t="s">
        <v>21</v>
      </c>
      <c r="G9" s="118" t="s">
        <v>9</v>
      </c>
      <c r="H9" s="133" t="s">
        <v>286</v>
      </c>
      <c r="I9" s="117" t="s">
        <v>441</v>
      </c>
      <c r="J9" s="104" t="s">
        <v>22</v>
      </c>
      <c r="K9" s="49">
        <v>1</v>
      </c>
      <c r="L9" s="74">
        <v>185</v>
      </c>
      <c r="M9" s="97">
        <v>-9</v>
      </c>
      <c r="N9" s="97">
        <v>40.5</v>
      </c>
      <c r="O9" s="123">
        <f>40.5-35</f>
        <v>5.5</v>
      </c>
      <c r="P9" s="23"/>
      <c r="Q9" s="26">
        <v>1</v>
      </c>
      <c r="R9" s="26" t="s">
        <v>11</v>
      </c>
      <c r="S9" s="66" t="s">
        <v>852</v>
      </c>
      <c r="T9" s="66" t="s">
        <v>22</v>
      </c>
      <c r="U9" s="52">
        <v>100</v>
      </c>
      <c r="V9" s="43" t="s">
        <v>544</v>
      </c>
      <c r="W9" s="26" t="s">
        <v>365</v>
      </c>
      <c r="X9" s="26" t="s">
        <v>366</v>
      </c>
      <c r="Y9" s="43">
        <v>20</v>
      </c>
      <c r="Z9" s="66" t="s">
        <v>760</v>
      </c>
      <c r="AA9" s="67">
        <v>120</v>
      </c>
      <c r="AB9" s="43">
        <f t="shared" si="1"/>
        <v>140</v>
      </c>
      <c r="AC9" s="26">
        <v>16.91</v>
      </c>
      <c r="AD9" s="28">
        <f t="shared" si="0"/>
        <v>17.755500000000001</v>
      </c>
      <c r="AE9" s="28">
        <v>113.7</v>
      </c>
      <c r="AF9" s="28">
        <f t="shared" si="2"/>
        <v>131.4555</v>
      </c>
      <c r="AG9" s="46">
        <v>68.900000000000006</v>
      </c>
      <c r="AH9" s="134">
        <f t="shared" si="3"/>
        <v>7537.6600000000008</v>
      </c>
      <c r="AI9" s="26"/>
      <c r="AJ9" s="27">
        <v>604716</v>
      </c>
      <c r="AK9" s="28">
        <f t="shared" si="4"/>
        <v>167.97666666666666</v>
      </c>
      <c r="AL9" s="146">
        <v>110.5</v>
      </c>
      <c r="AM9" s="26">
        <v>87.3</v>
      </c>
      <c r="AN9" s="26">
        <v>109.4</v>
      </c>
      <c r="AO9" s="26" t="s">
        <v>23</v>
      </c>
      <c r="AP9" s="30" t="s">
        <v>463</v>
      </c>
      <c r="AQ9" s="30">
        <v>8</v>
      </c>
      <c r="AR9" s="29" t="s">
        <v>305</v>
      </c>
      <c r="AS9" s="30" t="s">
        <v>293</v>
      </c>
      <c r="AT9" s="30" t="s">
        <v>287</v>
      </c>
      <c r="AU9" s="43">
        <f>AA9+30+AQ9</f>
        <v>158</v>
      </c>
      <c r="AV9" s="26">
        <f>SQRT(1224/3.14)*2</f>
        <v>39.487158276961495</v>
      </c>
      <c r="AW9" s="26">
        <f>SQRT(1714/3.14)*2</f>
        <v>46.727288498754774</v>
      </c>
    </row>
    <row r="10" spans="1:51" ht="66" x14ac:dyDescent="0.25">
      <c r="A10" s="20">
        <v>44</v>
      </c>
      <c r="B10" s="191"/>
      <c r="C10" s="117" t="s">
        <v>491</v>
      </c>
      <c r="D10" s="129">
        <v>1</v>
      </c>
      <c r="E10" s="117" t="s">
        <v>491</v>
      </c>
      <c r="F10" s="128" t="s">
        <v>21</v>
      </c>
      <c r="G10" s="118" t="s">
        <v>9</v>
      </c>
      <c r="H10" s="133" t="s">
        <v>286</v>
      </c>
      <c r="I10" s="117" t="s">
        <v>441</v>
      </c>
      <c r="J10" s="104" t="s">
        <v>25</v>
      </c>
      <c r="K10" s="49">
        <v>1</v>
      </c>
      <c r="L10" s="74">
        <v>172.8</v>
      </c>
      <c r="M10" s="97">
        <v>-8.9</v>
      </c>
      <c r="N10" s="97">
        <v>36.1</v>
      </c>
      <c r="O10" s="123">
        <v>1.1000000000000001</v>
      </c>
      <c r="P10" s="23"/>
      <c r="Q10" s="33" t="s">
        <v>200</v>
      </c>
      <c r="R10" s="26" t="s">
        <v>24</v>
      </c>
      <c r="S10" s="66" t="s">
        <v>853</v>
      </c>
      <c r="T10" s="66" t="s">
        <v>25</v>
      </c>
      <c r="U10" s="52">
        <v>100</v>
      </c>
      <c r="V10" s="43" t="s">
        <v>544</v>
      </c>
      <c r="W10" s="26" t="s">
        <v>354</v>
      </c>
      <c r="X10" s="26" t="s">
        <v>367</v>
      </c>
      <c r="Y10" s="43">
        <v>10</v>
      </c>
      <c r="Z10" s="66" t="s">
        <v>761</v>
      </c>
      <c r="AA10" s="67">
        <v>120</v>
      </c>
      <c r="AB10" s="43">
        <f t="shared" si="1"/>
        <v>130</v>
      </c>
      <c r="AC10" s="26">
        <v>0.68</v>
      </c>
      <c r="AD10" s="28">
        <f t="shared" si="0"/>
        <v>0.71400000000000008</v>
      </c>
      <c r="AE10" s="46">
        <v>32.9</v>
      </c>
      <c r="AF10" s="28">
        <f t="shared" si="2"/>
        <v>33.613999999999997</v>
      </c>
      <c r="AG10" s="46">
        <v>22.7</v>
      </c>
      <c r="AH10" s="134">
        <f t="shared" si="3"/>
        <v>16378.05</v>
      </c>
      <c r="AI10" s="26"/>
      <c r="AJ10" s="27">
        <v>148653</v>
      </c>
      <c r="AK10" s="28">
        <f t="shared" si="4"/>
        <v>41.292499999999997</v>
      </c>
      <c r="AL10" s="146">
        <v>110.5</v>
      </c>
      <c r="AM10" s="26">
        <v>87.3</v>
      </c>
      <c r="AN10" s="26">
        <v>721.5</v>
      </c>
      <c r="AO10" s="26" t="s">
        <v>26</v>
      </c>
      <c r="AP10" s="26" t="s">
        <v>27</v>
      </c>
      <c r="AQ10" s="32" t="s">
        <v>27</v>
      </c>
      <c r="AR10" s="29">
        <f t="shared" si="5"/>
        <v>0</v>
      </c>
      <c r="AS10" s="26">
        <v>0</v>
      </c>
      <c r="AT10" s="26"/>
      <c r="AU10" s="32" t="s">
        <v>556</v>
      </c>
      <c r="AV10" s="26"/>
    </row>
    <row r="11" spans="1:51" ht="264" x14ac:dyDescent="0.25">
      <c r="A11" s="20">
        <v>45</v>
      </c>
      <c r="B11" s="191" t="s">
        <v>28</v>
      </c>
      <c r="C11" s="117" t="s">
        <v>492</v>
      </c>
      <c r="D11" s="129">
        <v>1</v>
      </c>
      <c r="E11" s="117" t="s">
        <v>492</v>
      </c>
      <c r="F11" s="128" t="s">
        <v>29</v>
      </c>
      <c r="G11" s="118" t="s">
        <v>9</v>
      </c>
      <c r="H11" s="133" t="s">
        <v>286</v>
      </c>
      <c r="I11" s="117" t="s">
        <v>441</v>
      </c>
      <c r="J11" s="74" t="s">
        <v>667</v>
      </c>
      <c r="K11" s="49">
        <v>1</v>
      </c>
      <c r="L11" s="49">
        <v>181</v>
      </c>
      <c r="M11" s="49">
        <v>-18</v>
      </c>
      <c r="N11" s="49">
        <v>41</v>
      </c>
      <c r="O11" s="122">
        <v>6</v>
      </c>
      <c r="P11" s="23"/>
      <c r="Q11" s="26">
        <v>3</v>
      </c>
      <c r="R11" s="26" t="s">
        <v>24</v>
      </c>
      <c r="S11" s="117" t="s">
        <v>854</v>
      </c>
      <c r="T11" s="66" t="s">
        <v>30</v>
      </c>
      <c r="U11" s="52">
        <v>100</v>
      </c>
      <c r="V11" s="43" t="s">
        <v>544</v>
      </c>
      <c r="W11" s="26" t="s">
        <v>368</v>
      </c>
      <c r="X11" s="26" t="s">
        <v>369</v>
      </c>
      <c r="Y11" s="43">
        <v>20</v>
      </c>
      <c r="Z11" s="66" t="s">
        <v>762</v>
      </c>
      <c r="AA11" s="67">
        <v>120</v>
      </c>
      <c r="AB11" s="43">
        <f t="shared" si="1"/>
        <v>140</v>
      </c>
      <c r="AC11" s="30">
        <v>21.65</v>
      </c>
      <c r="AD11" s="28">
        <f t="shared" si="0"/>
        <v>22.732499999999998</v>
      </c>
      <c r="AE11" s="46"/>
      <c r="AF11" s="28">
        <f t="shared" si="2"/>
        <v>22.732499999999998</v>
      </c>
      <c r="AG11" s="46">
        <v>33.6</v>
      </c>
      <c r="AH11" s="134">
        <f t="shared" si="3"/>
        <v>8571.36</v>
      </c>
      <c r="AI11" s="26"/>
      <c r="AJ11" s="27">
        <v>163575</v>
      </c>
      <c r="AK11" s="28">
        <f t="shared" si="4"/>
        <v>45.4375</v>
      </c>
      <c r="AL11" s="146">
        <v>27</v>
      </c>
      <c r="AM11" s="26">
        <v>78.900000000000006</v>
      </c>
      <c r="AN11" s="26">
        <v>255.1</v>
      </c>
      <c r="AO11" s="26" t="s">
        <v>31</v>
      </c>
      <c r="AP11" s="26" t="s">
        <v>27</v>
      </c>
      <c r="AQ11" s="32" t="s">
        <v>27</v>
      </c>
      <c r="AR11" s="29">
        <f t="shared" si="5"/>
        <v>0</v>
      </c>
      <c r="AS11" s="26">
        <v>0</v>
      </c>
      <c r="AT11" s="26"/>
      <c r="AU11" s="32" t="s">
        <v>556</v>
      </c>
      <c r="AV11" s="26"/>
    </row>
    <row r="12" spans="1:51" ht="66" x14ac:dyDescent="0.25">
      <c r="A12" s="20">
        <v>46</v>
      </c>
      <c r="B12" s="191"/>
      <c r="C12" s="117" t="s">
        <v>493</v>
      </c>
      <c r="D12" s="129">
        <v>1</v>
      </c>
      <c r="E12" s="117" t="s">
        <v>493</v>
      </c>
      <c r="F12" s="128" t="s">
        <v>29</v>
      </c>
      <c r="G12" s="118" t="s">
        <v>9</v>
      </c>
      <c r="H12" s="133" t="s">
        <v>286</v>
      </c>
      <c r="I12" s="117" t="s">
        <v>441</v>
      </c>
      <c r="J12" s="74" t="s">
        <v>668</v>
      </c>
      <c r="K12" s="49">
        <v>1</v>
      </c>
      <c r="L12" s="49">
        <v>173</v>
      </c>
      <c r="M12" s="49">
        <v>-18</v>
      </c>
      <c r="N12" s="49">
        <v>41</v>
      </c>
      <c r="O12" s="122">
        <v>6</v>
      </c>
      <c r="P12" s="23"/>
      <c r="Q12" s="26">
        <v>4</v>
      </c>
      <c r="R12" s="26" t="s">
        <v>11</v>
      </c>
      <c r="S12" s="66" t="s">
        <v>32</v>
      </c>
      <c r="T12" s="66" t="s">
        <v>33</v>
      </c>
      <c r="U12" s="52">
        <v>100</v>
      </c>
      <c r="V12" s="43" t="s">
        <v>544</v>
      </c>
      <c r="W12" s="26" t="s">
        <v>370</v>
      </c>
      <c r="X12" s="26" t="s">
        <v>209</v>
      </c>
      <c r="Y12" s="43">
        <v>16</v>
      </c>
      <c r="Z12" s="66" t="s">
        <v>763</v>
      </c>
      <c r="AA12" s="67">
        <v>120</v>
      </c>
      <c r="AB12" s="43">
        <f t="shared" si="1"/>
        <v>136</v>
      </c>
      <c r="AC12" s="30">
        <v>8.3699999999999992</v>
      </c>
      <c r="AD12" s="28">
        <f t="shared" si="0"/>
        <v>8.7884999999999991</v>
      </c>
      <c r="AE12" s="46">
        <v>76.900000000000006</v>
      </c>
      <c r="AF12" s="28">
        <f t="shared" si="2"/>
        <v>85.688500000000005</v>
      </c>
      <c r="AG12" s="46">
        <v>13.3</v>
      </c>
      <c r="AH12" s="134">
        <f t="shared" si="3"/>
        <v>288.61</v>
      </c>
      <c r="AI12" s="26"/>
      <c r="AJ12" s="27">
        <v>9523</v>
      </c>
      <c r="AK12" s="28">
        <f t="shared" si="4"/>
        <v>2.6452777777777778</v>
      </c>
      <c r="AL12" s="146">
        <v>26.9</v>
      </c>
      <c r="AM12" s="26">
        <v>78.900000000000006</v>
      </c>
      <c r="AN12" s="26">
        <v>21.7</v>
      </c>
      <c r="AO12" s="26" t="s">
        <v>31</v>
      </c>
      <c r="AP12" s="26" t="s">
        <v>34</v>
      </c>
      <c r="AQ12" s="43">
        <v>4</v>
      </c>
      <c r="AR12" s="29">
        <f t="shared" si="5"/>
        <v>41.17695230676847</v>
      </c>
      <c r="AS12" s="26">
        <v>1331</v>
      </c>
      <c r="AT12" s="26"/>
      <c r="AU12" s="43">
        <f>AA12+30+AQ12</f>
        <v>154</v>
      </c>
      <c r="AV12" s="26"/>
    </row>
    <row r="13" spans="1:51" ht="66" x14ac:dyDescent="0.25">
      <c r="A13" s="20">
        <v>47</v>
      </c>
      <c r="B13" s="191"/>
      <c r="C13" s="117" t="s">
        <v>494</v>
      </c>
      <c r="D13" s="129">
        <v>1</v>
      </c>
      <c r="E13" s="117" t="s">
        <v>494</v>
      </c>
      <c r="F13" s="128" t="s">
        <v>29</v>
      </c>
      <c r="G13" s="118" t="s">
        <v>9</v>
      </c>
      <c r="H13" s="133" t="s">
        <v>286</v>
      </c>
      <c r="I13" s="117" t="s">
        <v>441</v>
      </c>
      <c r="J13" s="74" t="s">
        <v>668</v>
      </c>
      <c r="K13" s="49">
        <v>1</v>
      </c>
      <c r="L13" s="74">
        <v>174</v>
      </c>
      <c r="M13" s="97">
        <v>-19</v>
      </c>
      <c r="N13" s="97">
        <v>36</v>
      </c>
      <c r="O13" s="123">
        <f>N13-35</f>
        <v>1</v>
      </c>
      <c r="P13" s="23"/>
      <c r="Q13" s="26">
        <v>151</v>
      </c>
      <c r="R13" s="26" t="s">
        <v>24</v>
      </c>
      <c r="S13" s="66" t="s">
        <v>32</v>
      </c>
      <c r="T13" s="66" t="s">
        <v>33</v>
      </c>
      <c r="U13" s="52">
        <v>100</v>
      </c>
      <c r="V13" s="43" t="s">
        <v>544</v>
      </c>
      <c r="W13" s="26" t="s">
        <v>371</v>
      </c>
      <c r="X13" s="26" t="s">
        <v>316</v>
      </c>
      <c r="Y13" s="43">
        <v>12</v>
      </c>
      <c r="Z13" s="66" t="s">
        <v>764</v>
      </c>
      <c r="AA13" s="67">
        <v>120</v>
      </c>
      <c r="AB13" s="43">
        <f t="shared" si="1"/>
        <v>132</v>
      </c>
      <c r="AC13" s="30">
        <v>1</v>
      </c>
      <c r="AD13" s="28">
        <f t="shared" si="0"/>
        <v>1.05</v>
      </c>
      <c r="AE13" s="46">
        <v>50.8</v>
      </c>
      <c r="AF13" s="28">
        <f t="shared" si="2"/>
        <v>51.849999999999994</v>
      </c>
      <c r="AG13" s="46">
        <v>22.7</v>
      </c>
      <c r="AH13" s="134">
        <f t="shared" si="3"/>
        <v>17197.52</v>
      </c>
      <c r="AI13" s="26"/>
      <c r="AJ13" s="27">
        <v>154052</v>
      </c>
      <c r="AK13" s="28">
        <f t="shared" si="4"/>
        <v>42.792222222222222</v>
      </c>
      <c r="AL13" s="146">
        <v>27</v>
      </c>
      <c r="AM13" s="26">
        <v>78.900000000000006</v>
      </c>
      <c r="AN13" s="26">
        <v>757.6</v>
      </c>
      <c r="AO13" s="26" t="s">
        <v>31</v>
      </c>
      <c r="AP13" s="26" t="s">
        <v>27</v>
      </c>
      <c r="AQ13" s="32" t="s">
        <v>27</v>
      </c>
      <c r="AR13" s="29">
        <f t="shared" si="5"/>
        <v>0</v>
      </c>
      <c r="AS13" s="26">
        <v>0</v>
      </c>
      <c r="AT13" s="26"/>
      <c r="AU13" s="32" t="s">
        <v>556</v>
      </c>
      <c r="AV13" s="26"/>
    </row>
    <row r="14" spans="1:51" ht="73.5" customHeight="1" x14ac:dyDescent="0.25">
      <c r="A14" s="20">
        <v>34</v>
      </c>
      <c r="B14" s="191" t="s">
        <v>39</v>
      </c>
      <c r="C14" s="117" t="s">
        <v>495</v>
      </c>
      <c r="D14" s="129">
        <v>1</v>
      </c>
      <c r="E14" s="117" t="s">
        <v>495</v>
      </c>
      <c r="F14" s="128" t="s">
        <v>40</v>
      </c>
      <c r="G14" s="118" t="s">
        <v>41</v>
      </c>
      <c r="H14" s="133" t="s">
        <v>285</v>
      </c>
      <c r="I14" s="117" t="s">
        <v>664</v>
      </c>
      <c r="J14" s="74" t="s">
        <v>669</v>
      </c>
      <c r="K14" s="49">
        <v>1</v>
      </c>
      <c r="L14" s="74">
        <v>157.9</v>
      </c>
      <c r="M14" s="97">
        <v>-9.3000000000000007</v>
      </c>
      <c r="N14" s="97">
        <v>44.8</v>
      </c>
      <c r="O14" s="123"/>
      <c r="P14" s="23"/>
      <c r="Q14" s="26">
        <v>6</v>
      </c>
      <c r="R14" s="26" t="s">
        <v>24</v>
      </c>
      <c r="S14" s="66" t="s">
        <v>202</v>
      </c>
      <c r="T14" s="66" t="s">
        <v>42</v>
      </c>
      <c r="U14" s="52">
        <v>100</v>
      </c>
      <c r="V14" s="43" t="s">
        <v>544</v>
      </c>
      <c r="W14" s="26" t="s">
        <v>372</v>
      </c>
      <c r="X14" s="26" t="s">
        <v>260</v>
      </c>
      <c r="Y14" s="43">
        <v>12</v>
      </c>
      <c r="Z14" s="66" t="s">
        <v>765</v>
      </c>
      <c r="AA14" s="67">
        <v>120</v>
      </c>
      <c r="AB14" s="43">
        <f t="shared" si="1"/>
        <v>132</v>
      </c>
      <c r="AC14" s="26">
        <v>18.11</v>
      </c>
      <c r="AD14" s="28">
        <f t="shared" si="0"/>
        <v>19.015499999999999</v>
      </c>
      <c r="AE14" s="46">
        <v>1.62</v>
      </c>
      <c r="AF14" s="28">
        <f t="shared" si="2"/>
        <v>20.6355</v>
      </c>
      <c r="AG14" s="46">
        <v>51.9</v>
      </c>
      <c r="AH14" s="134">
        <f t="shared" si="3"/>
        <v>4966.83</v>
      </c>
      <c r="AI14" s="26"/>
      <c r="AJ14" s="27">
        <v>205157</v>
      </c>
      <c r="AK14" s="28">
        <f t="shared" si="4"/>
        <v>56.988055555555555</v>
      </c>
      <c r="AL14" s="146">
        <v>10</v>
      </c>
      <c r="AM14" s="26">
        <v>62.6</v>
      </c>
      <c r="AN14" s="26">
        <v>95.7</v>
      </c>
      <c r="AO14" s="26" t="s">
        <v>44</v>
      </c>
      <c r="AP14" s="30" t="s">
        <v>201</v>
      </c>
      <c r="AQ14" s="30">
        <v>4</v>
      </c>
      <c r="AR14" s="29">
        <f t="shared" si="5"/>
        <v>16.967559906243871</v>
      </c>
      <c r="AS14" s="35">
        <v>226</v>
      </c>
      <c r="AT14" s="35" t="s">
        <v>282</v>
      </c>
      <c r="AU14" s="43">
        <f>AA14+30+AQ14</f>
        <v>154</v>
      </c>
      <c r="AV14" s="26"/>
    </row>
    <row r="15" spans="1:51" ht="49.5" x14ac:dyDescent="0.25">
      <c r="A15" s="20">
        <v>35</v>
      </c>
      <c r="B15" s="191"/>
      <c r="C15" s="117" t="s">
        <v>496</v>
      </c>
      <c r="D15" s="129">
        <v>1</v>
      </c>
      <c r="E15" s="117" t="s">
        <v>496</v>
      </c>
      <c r="F15" s="128" t="s">
        <v>40</v>
      </c>
      <c r="G15" s="118" t="s">
        <v>41</v>
      </c>
      <c r="H15" s="133" t="s">
        <v>285</v>
      </c>
      <c r="I15" s="117" t="s">
        <v>670</v>
      </c>
      <c r="J15" s="74" t="s">
        <v>670</v>
      </c>
      <c r="K15" s="49">
        <v>1</v>
      </c>
      <c r="L15" s="74">
        <v>151.9</v>
      </c>
      <c r="M15" s="97">
        <v>-14.4</v>
      </c>
      <c r="N15" s="97">
        <v>49.3</v>
      </c>
      <c r="O15" s="123"/>
      <c r="P15" s="23"/>
      <c r="Q15" s="26">
        <v>7</v>
      </c>
      <c r="R15" s="26" t="s">
        <v>11</v>
      </c>
      <c r="S15" s="66" t="s">
        <v>45</v>
      </c>
      <c r="T15" s="66" t="s">
        <v>46</v>
      </c>
      <c r="U15" s="52">
        <v>100</v>
      </c>
      <c r="V15" s="43" t="s">
        <v>544</v>
      </c>
      <c r="W15" s="26" t="s">
        <v>373</v>
      </c>
      <c r="X15" s="26" t="s">
        <v>210</v>
      </c>
      <c r="Y15" s="43">
        <v>10</v>
      </c>
      <c r="Z15" s="66" t="s">
        <v>766</v>
      </c>
      <c r="AA15" s="67">
        <v>120</v>
      </c>
      <c r="AB15" s="43">
        <f t="shared" si="1"/>
        <v>130</v>
      </c>
      <c r="AC15" s="26">
        <v>1.41</v>
      </c>
      <c r="AD15" s="28">
        <f t="shared" si="0"/>
        <v>1.4804999999999999</v>
      </c>
      <c r="AE15" s="28">
        <v>27.8</v>
      </c>
      <c r="AF15" s="28">
        <f t="shared" si="2"/>
        <v>29.2805</v>
      </c>
      <c r="AG15" s="46">
        <v>26.7</v>
      </c>
      <c r="AH15" s="134">
        <f t="shared" si="3"/>
        <v>293.7</v>
      </c>
      <c r="AI15" s="26"/>
      <c r="AJ15" s="27">
        <v>21192</v>
      </c>
      <c r="AK15" s="28">
        <f t="shared" si="4"/>
        <v>5.8866666666666667</v>
      </c>
      <c r="AL15" s="146">
        <v>9.9</v>
      </c>
      <c r="AM15" s="26">
        <v>62.5</v>
      </c>
      <c r="AN15" s="26">
        <v>11</v>
      </c>
      <c r="AO15" s="26" t="s">
        <v>47</v>
      </c>
      <c r="AP15" s="26" t="s">
        <v>203</v>
      </c>
      <c r="AQ15" s="43">
        <v>3</v>
      </c>
      <c r="AR15" s="29">
        <f t="shared" si="5"/>
        <v>34.047550114359311</v>
      </c>
      <c r="AS15" s="26">
        <v>910</v>
      </c>
      <c r="AT15" s="26"/>
      <c r="AU15" s="43">
        <f>AA15+30+AQ15</f>
        <v>153</v>
      </c>
      <c r="AV15" s="26"/>
      <c r="AX15" s="11" t="s">
        <v>43</v>
      </c>
    </row>
    <row r="16" spans="1:51" ht="66" x14ac:dyDescent="0.25">
      <c r="A16" s="20">
        <v>36</v>
      </c>
      <c r="B16" s="191"/>
      <c r="C16" s="117" t="s">
        <v>497</v>
      </c>
      <c r="D16" s="129">
        <v>1</v>
      </c>
      <c r="E16" s="117" t="s">
        <v>497</v>
      </c>
      <c r="F16" s="128" t="s">
        <v>40</v>
      </c>
      <c r="G16" s="118" t="s">
        <v>41</v>
      </c>
      <c r="H16" s="133" t="s">
        <v>286</v>
      </c>
      <c r="I16" s="117" t="s">
        <v>671</v>
      </c>
      <c r="J16" s="74" t="s">
        <v>671</v>
      </c>
      <c r="K16" s="49">
        <v>1</v>
      </c>
      <c r="L16" s="74">
        <v>161</v>
      </c>
      <c r="M16" s="97">
        <v>-18.600000000000001</v>
      </c>
      <c r="N16" s="97">
        <v>39.799999999999997</v>
      </c>
      <c r="O16" s="123"/>
      <c r="P16" s="23"/>
      <c r="Q16" s="33" t="s">
        <v>48</v>
      </c>
      <c r="R16" s="26" t="s">
        <v>24</v>
      </c>
      <c r="S16" s="66" t="s">
        <v>49</v>
      </c>
      <c r="T16" s="66" t="s">
        <v>50</v>
      </c>
      <c r="U16" s="52">
        <v>100</v>
      </c>
      <c r="V16" s="43" t="s">
        <v>544</v>
      </c>
      <c r="W16" s="26" t="s">
        <v>374</v>
      </c>
      <c r="X16" s="26" t="s">
        <v>317</v>
      </c>
      <c r="Y16" s="43">
        <v>10</v>
      </c>
      <c r="Z16" s="66" t="s">
        <v>767</v>
      </c>
      <c r="AA16" s="67">
        <v>120</v>
      </c>
      <c r="AB16" s="43">
        <f t="shared" si="1"/>
        <v>130</v>
      </c>
      <c r="AC16" s="26">
        <v>1.4</v>
      </c>
      <c r="AD16" s="28">
        <f t="shared" si="0"/>
        <v>1.47</v>
      </c>
      <c r="AE16" s="28">
        <f>32.9+42.4</f>
        <v>75.3</v>
      </c>
      <c r="AF16" s="28">
        <f t="shared" si="2"/>
        <v>76.77</v>
      </c>
      <c r="AG16" s="46">
        <v>113.3</v>
      </c>
      <c r="AH16" s="134">
        <f t="shared" si="3"/>
        <v>84793.72</v>
      </c>
      <c r="AI16" s="26"/>
      <c r="AJ16" s="27">
        <v>183965</v>
      </c>
      <c r="AK16" s="28">
        <f t="shared" si="4"/>
        <v>51.101388888888891</v>
      </c>
      <c r="AL16" s="146">
        <v>10</v>
      </c>
      <c r="AM16" s="26">
        <v>62.6</v>
      </c>
      <c r="AN16" s="26">
        <v>748.4</v>
      </c>
      <c r="AO16" s="26" t="s">
        <v>51</v>
      </c>
      <c r="AP16" s="26" t="s">
        <v>27</v>
      </c>
      <c r="AQ16" s="32" t="s">
        <v>27</v>
      </c>
      <c r="AR16" s="29">
        <f t="shared" si="5"/>
        <v>0</v>
      </c>
      <c r="AS16" s="26">
        <v>0</v>
      </c>
      <c r="AT16" s="26"/>
      <c r="AU16" s="32" t="s">
        <v>556</v>
      </c>
      <c r="AV16" s="26"/>
    </row>
    <row r="17" spans="1:48" ht="123.75" customHeight="1" x14ac:dyDescent="0.25">
      <c r="A17" s="20">
        <v>37</v>
      </c>
      <c r="B17" s="191" t="s">
        <v>52</v>
      </c>
      <c r="C17" s="117" t="s">
        <v>498</v>
      </c>
      <c r="D17" s="129">
        <v>1</v>
      </c>
      <c r="E17" s="117" t="s">
        <v>498</v>
      </c>
      <c r="F17" s="128" t="s">
        <v>864</v>
      </c>
      <c r="G17" s="118" t="s">
        <v>41</v>
      </c>
      <c r="H17" s="133" t="s">
        <v>286</v>
      </c>
      <c r="I17" s="117" t="s">
        <v>672</v>
      </c>
      <c r="J17" s="104" t="s">
        <v>205</v>
      </c>
      <c r="K17" s="49">
        <v>1</v>
      </c>
      <c r="L17" s="74">
        <v>159.5</v>
      </c>
      <c r="M17" s="97">
        <v>-7.5</v>
      </c>
      <c r="N17" s="97">
        <v>36.5</v>
      </c>
      <c r="O17" s="123">
        <v>1.5</v>
      </c>
      <c r="P17" s="23"/>
      <c r="Q17" s="34" t="s">
        <v>204</v>
      </c>
      <c r="R17" s="26" t="s">
        <v>24</v>
      </c>
      <c r="S17" s="66" t="s">
        <v>206</v>
      </c>
      <c r="T17" s="66" t="s">
        <v>205</v>
      </c>
      <c r="U17" s="52">
        <v>100</v>
      </c>
      <c r="V17" s="43" t="s">
        <v>544</v>
      </c>
      <c r="W17" s="26" t="s">
        <v>375</v>
      </c>
      <c r="X17" s="26" t="s">
        <v>318</v>
      </c>
      <c r="Y17" s="43">
        <v>10</v>
      </c>
      <c r="Z17" s="66" t="s">
        <v>768</v>
      </c>
      <c r="AA17" s="67">
        <v>120</v>
      </c>
      <c r="AB17" s="43">
        <f t="shared" si="1"/>
        <v>130</v>
      </c>
      <c r="AC17" s="26">
        <v>20.89</v>
      </c>
      <c r="AD17" s="28">
        <f t="shared" si="0"/>
        <v>21.9345</v>
      </c>
      <c r="AE17" s="28">
        <v>91.37</v>
      </c>
      <c r="AF17" s="28">
        <f t="shared" si="2"/>
        <v>113.3045</v>
      </c>
      <c r="AG17" s="46">
        <v>76.8</v>
      </c>
      <c r="AH17" s="134">
        <f t="shared" si="3"/>
        <v>57815.039999999994</v>
      </c>
      <c r="AI17" s="26"/>
      <c r="AJ17" s="27">
        <v>159092</v>
      </c>
      <c r="AK17" s="28">
        <f t="shared" si="4"/>
        <v>44.19222222222222</v>
      </c>
      <c r="AL17" s="146">
        <v>8.5</v>
      </c>
      <c r="AM17" s="26">
        <v>74.3</v>
      </c>
      <c r="AN17" s="26">
        <v>752.8</v>
      </c>
      <c r="AO17" s="26" t="s">
        <v>308</v>
      </c>
      <c r="AP17" s="26" t="s">
        <v>27</v>
      </c>
      <c r="AQ17" s="32" t="s">
        <v>27</v>
      </c>
      <c r="AR17" s="29">
        <f t="shared" si="5"/>
        <v>0</v>
      </c>
      <c r="AS17" s="26">
        <v>0</v>
      </c>
      <c r="AT17" s="26"/>
      <c r="AU17" s="32" t="s">
        <v>556</v>
      </c>
      <c r="AV17" s="26"/>
    </row>
    <row r="18" spans="1:48" ht="49.5" x14ac:dyDescent="0.25">
      <c r="A18" s="20">
        <v>38</v>
      </c>
      <c r="B18" s="191"/>
      <c r="C18" s="117" t="s">
        <v>499</v>
      </c>
      <c r="D18" s="129">
        <v>1</v>
      </c>
      <c r="E18" s="117" t="s">
        <v>499</v>
      </c>
      <c r="F18" s="128" t="s">
        <v>864</v>
      </c>
      <c r="G18" s="118" t="s">
        <v>41</v>
      </c>
      <c r="H18" s="133" t="s">
        <v>285</v>
      </c>
      <c r="I18" s="117" t="s">
        <v>673</v>
      </c>
      <c r="J18" s="74" t="s">
        <v>673</v>
      </c>
      <c r="K18" s="49">
        <v>1</v>
      </c>
      <c r="L18" s="74">
        <v>157.69999999999999</v>
      </c>
      <c r="M18" s="97">
        <v>-8.4</v>
      </c>
      <c r="N18" s="97">
        <v>48.9</v>
      </c>
      <c r="O18" s="123"/>
      <c r="P18" s="23"/>
      <c r="Q18" s="26">
        <v>10</v>
      </c>
      <c r="R18" s="26" t="s">
        <v>11</v>
      </c>
      <c r="S18" s="66" t="s">
        <v>54</v>
      </c>
      <c r="T18" s="66" t="s">
        <v>55</v>
      </c>
      <c r="U18" s="52">
        <v>100</v>
      </c>
      <c r="V18" s="43" t="s">
        <v>544</v>
      </c>
      <c r="W18" s="26" t="s">
        <v>355</v>
      </c>
      <c r="X18" s="26" t="s">
        <v>56</v>
      </c>
      <c r="Y18" s="43">
        <v>14</v>
      </c>
      <c r="Z18" s="66" t="s">
        <v>769</v>
      </c>
      <c r="AA18" s="67">
        <v>120</v>
      </c>
      <c r="AB18" s="43">
        <f t="shared" si="1"/>
        <v>134</v>
      </c>
      <c r="AC18" s="26">
        <v>0.9</v>
      </c>
      <c r="AD18" s="28">
        <f t="shared" si="0"/>
        <v>0.94500000000000006</v>
      </c>
      <c r="AE18" s="28">
        <v>31.3</v>
      </c>
      <c r="AF18" s="28">
        <f t="shared" si="2"/>
        <v>32.244999999999997</v>
      </c>
      <c r="AG18" s="46">
        <v>34.299999999999997</v>
      </c>
      <c r="AH18" s="134">
        <f t="shared" si="3"/>
        <v>116.61999999999999</v>
      </c>
      <c r="AI18" s="26"/>
      <c r="AJ18" s="27">
        <v>16877</v>
      </c>
      <c r="AK18" s="28">
        <f t="shared" si="4"/>
        <v>4.6880555555555556</v>
      </c>
      <c r="AL18" s="146">
        <v>2</v>
      </c>
      <c r="AM18" s="26">
        <v>73.900000000000006</v>
      </c>
      <c r="AN18" s="26">
        <v>3.4</v>
      </c>
      <c r="AO18" s="26" t="s">
        <v>53</v>
      </c>
      <c r="AP18" s="26" t="s">
        <v>27</v>
      </c>
      <c r="AQ18" s="32" t="s">
        <v>27</v>
      </c>
      <c r="AR18" s="29">
        <f t="shared" si="5"/>
        <v>0</v>
      </c>
      <c r="AS18" s="26">
        <v>0</v>
      </c>
      <c r="AT18" s="26"/>
      <c r="AU18" s="32" t="s">
        <v>556</v>
      </c>
      <c r="AV18" s="26"/>
    </row>
    <row r="19" spans="1:48" s="20" customFormat="1" ht="99" x14ac:dyDescent="0.25">
      <c r="A19" s="20">
        <v>48</v>
      </c>
      <c r="B19" s="191" t="s">
        <v>241</v>
      </c>
      <c r="C19" s="49" t="s">
        <v>500</v>
      </c>
      <c r="D19" s="129">
        <v>1</v>
      </c>
      <c r="E19" s="49" t="s">
        <v>500</v>
      </c>
      <c r="F19" s="129" t="s">
        <v>35</v>
      </c>
      <c r="G19" s="25" t="s">
        <v>9</v>
      </c>
      <c r="H19" s="133" t="s">
        <v>286</v>
      </c>
      <c r="I19" s="49" t="s">
        <v>674</v>
      </c>
      <c r="J19" s="49" t="s">
        <v>674</v>
      </c>
      <c r="K19" s="49">
        <v>1</v>
      </c>
      <c r="L19" s="49">
        <v>188.2</v>
      </c>
      <c r="M19" s="49">
        <v>-19.600000000000001</v>
      </c>
      <c r="N19" s="49">
        <v>40.9</v>
      </c>
      <c r="O19" s="122">
        <v>5.9</v>
      </c>
      <c r="P19" s="25"/>
      <c r="Q19" s="30" t="s">
        <v>614</v>
      </c>
      <c r="R19" s="30" t="s">
        <v>11</v>
      </c>
      <c r="S19" s="49" t="s">
        <v>242</v>
      </c>
      <c r="T19" s="49" t="s">
        <v>36</v>
      </c>
      <c r="U19" s="53">
        <f>2*12*7/365*100</f>
        <v>46.027397260273972</v>
      </c>
      <c r="V19" s="30" t="s">
        <v>545</v>
      </c>
      <c r="W19" s="30" t="s">
        <v>376</v>
      </c>
      <c r="X19" s="30" t="s">
        <v>377</v>
      </c>
      <c r="Y19" s="30">
        <v>16</v>
      </c>
      <c r="Z19" s="49" t="s">
        <v>770</v>
      </c>
      <c r="AA19" s="67">
        <v>120</v>
      </c>
      <c r="AB19" s="43">
        <f t="shared" si="1"/>
        <v>136</v>
      </c>
      <c r="AC19" s="30">
        <v>19.420000000000002</v>
      </c>
      <c r="AD19" s="28">
        <f t="shared" si="0"/>
        <v>20.391000000000002</v>
      </c>
      <c r="AE19" s="46">
        <v>53.73</v>
      </c>
      <c r="AF19" s="28">
        <f t="shared" si="2"/>
        <v>74.120999999999995</v>
      </c>
      <c r="AG19" s="46">
        <v>15.3</v>
      </c>
      <c r="AH19" s="134">
        <f t="shared" si="3"/>
        <v>1673.8200000000002</v>
      </c>
      <c r="AI19" s="30"/>
      <c r="AJ19" s="31">
        <v>604716</v>
      </c>
      <c r="AK19" s="28">
        <f t="shared" si="4"/>
        <v>167.97666666666666</v>
      </c>
      <c r="AL19" s="146" t="s">
        <v>608</v>
      </c>
      <c r="AM19" s="30" t="s">
        <v>609</v>
      </c>
      <c r="AN19" s="30">
        <v>109.4</v>
      </c>
      <c r="AO19" s="30" t="s">
        <v>309</v>
      </c>
      <c r="AP19" s="30" t="s">
        <v>38</v>
      </c>
      <c r="AQ19" s="30">
        <v>4</v>
      </c>
      <c r="AR19" s="29">
        <f t="shared" si="5"/>
        <v>30.599113263035523</v>
      </c>
      <c r="AS19" s="30">
        <v>735</v>
      </c>
      <c r="AT19" s="30"/>
      <c r="AU19" s="43">
        <f>AA19+30+AQ19</f>
        <v>154</v>
      </c>
      <c r="AV19" s="30"/>
    </row>
    <row r="20" spans="1:48" s="20" customFormat="1" ht="66" x14ac:dyDescent="0.25">
      <c r="A20" s="20">
        <v>49</v>
      </c>
      <c r="B20" s="191"/>
      <c r="C20" s="49" t="s">
        <v>501</v>
      </c>
      <c r="D20" s="129">
        <v>1</v>
      </c>
      <c r="E20" s="49" t="s">
        <v>501</v>
      </c>
      <c r="F20" s="129" t="s">
        <v>35</v>
      </c>
      <c r="G20" s="25" t="s">
        <v>9</v>
      </c>
      <c r="H20" s="133" t="s">
        <v>286</v>
      </c>
      <c r="I20" s="49" t="s">
        <v>675</v>
      </c>
      <c r="J20" s="49" t="s">
        <v>675</v>
      </c>
      <c r="K20" s="49">
        <v>1</v>
      </c>
      <c r="L20" s="49">
        <v>187.2</v>
      </c>
      <c r="M20" s="49">
        <v>-12.6</v>
      </c>
      <c r="N20" s="49">
        <v>36.299999999999997</v>
      </c>
      <c r="O20" s="122">
        <v>1.3</v>
      </c>
      <c r="P20" s="25"/>
      <c r="Q20" s="30" t="s">
        <v>615</v>
      </c>
      <c r="R20" s="30" t="s">
        <v>24</v>
      </c>
      <c r="S20" s="49" t="s">
        <v>242</v>
      </c>
      <c r="T20" s="49" t="s">
        <v>37</v>
      </c>
      <c r="U20" s="53">
        <f>2*12*7/365*100</f>
        <v>46.027397260273972</v>
      </c>
      <c r="V20" s="30" t="s">
        <v>545</v>
      </c>
      <c r="W20" s="30" t="s">
        <v>378</v>
      </c>
      <c r="X20" s="30" t="s">
        <v>319</v>
      </c>
      <c r="Y20" s="30">
        <v>8</v>
      </c>
      <c r="Z20" s="49" t="s">
        <v>771</v>
      </c>
      <c r="AA20" s="67">
        <v>120</v>
      </c>
      <c r="AB20" s="43">
        <f t="shared" si="1"/>
        <v>128</v>
      </c>
      <c r="AC20" s="30">
        <v>1.01</v>
      </c>
      <c r="AD20" s="28">
        <f t="shared" si="0"/>
        <v>1.0605</v>
      </c>
      <c r="AE20" s="46">
        <v>35.5</v>
      </c>
      <c r="AF20" s="28">
        <f t="shared" si="2"/>
        <v>36.560499999999998</v>
      </c>
      <c r="AG20" s="46">
        <v>20.6</v>
      </c>
      <c r="AH20" s="134">
        <f t="shared" si="3"/>
        <v>14862.900000000001</v>
      </c>
      <c r="AI20" s="30"/>
      <c r="AJ20" s="31">
        <v>148653</v>
      </c>
      <c r="AK20" s="28">
        <f t="shared" si="4"/>
        <v>41.292499999999997</v>
      </c>
      <c r="AL20" s="146" t="s">
        <v>608</v>
      </c>
      <c r="AM20" s="30" t="s">
        <v>609</v>
      </c>
      <c r="AN20" s="30">
        <v>721.5</v>
      </c>
      <c r="AO20" s="30" t="s">
        <v>310</v>
      </c>
      <c r="AP20" s="30" t="s">
        <v>27</v>
      </c>
      <c r="AQ20" s="32" t="s">
        <v>27</v>
      </c>
      <c r="AR20" s="29">
        <f t="shared" si="5"/>
        <v>0</v>
      </c>
      <c r="AS20" s="30">
        <v>0</v>
      </c>
      <c r="AT20" s="30"/>
      <c r="AU20" s="32" t="s">
        <v>556</v>
      </c>
      <c r="AV20" s="30"/>
    </row>
    <row r="21" spans="1:48" ht="115.5" x14ac:dyDescent="0.25">
      <c r="A21" s="20">
        <v>27</v>
      </c>
      <c r="B21" s="193" t="s">
        <v>57</v>
      </c>
      <c r="C21" s="49" t="s">
        <v>724</v>
      </c>
      <c r="D21" s="129">
        <v>1</v>
      </c>
      <c r="E21" s="49" t="s">
        <v>724</v>
      </c>
      <c r="F21" s="128" t="s">
        <v>58</v>
      </c>
      <c r="G21" s="118" t="s">
        <v>59</v>
      </c>
      <c r="H21" s="133" t="s">
        <v>286</v>
      </c>
      <c r="I21" s="117" t="s">
        <v>676</v>
      </c>
      <c r="J21" s="74" t="s">
        <v>676</v>
      </c>
      <c r="K21" s="49">
        <v>1</v>
      </c>
      <c r="L21" s="74">
        <v>111.5</v>
      </c>
      <c r="M21" s="97">
        <v>-19.600000000000001</v>
      </c>
      <c r="N21" s="97">
        <v>36.6</v>
      </c>
      <c r="O21" s="123"/>
      <c r="P21" s="23"/>
      <c r="Q21" s="26" t="s">
        <v>616</v>
      </c>
      <c r="R21" s="26" t="s">
        <v>24</v>
      </c>
      <c r="S21" s="66" t="s">
        <v>60</v>
      </c>
      <c r="T21" s="66" t="s">
        <v>61</v>
      </c>
      <c r="U21" s="52">
        <f>365/20/365*100</f>
        <v>5</v>
      </c>
      <c r="V21" s="43" t="s">
        <v>547</v>
      </c>
      <c r="W21" s="26" t="s">
        <v>379</v>
      </c>
      <c r="X21" s="26" t="s">
        <v>320</v>
      </c>
      <c r="Y21" s="43">
        <v>32</v>
      </c>
      <c r="Z21" s="66" t="s">
        <v>772</v>
      </c>
      <c r="AA21" s="67">
        <v>120</v>
      </c>
      <c r="AB21" s="43">
        <f t="shared" si="1"/>
        <v>152</v>
      </c>
      <c r="AC21" s="26">
        <f>9.64+55</f>
        <v>64.64</v>
      </c>
      <c r="AD21" s="28">
        <f t="shared" si="0"/>
        <v>67.872</v>
      </c>
      <c r="AE21" s="28">
        <v>10.18</v>
      </c>
      <c r="AF21" s="28">
        <f t="shared" si="2"/>
        <v>78.051999999999992</v>
      </c>
      <c r="AG21" s="46">
        <v>121</v>
      </c>
      <c r="AH21" s="134">
        <f t="shared" si="3"/>
        <v>94222.700000000012</v>
      </c>
      <c r="AI21" s="26"/>
      <c r="AJ21" s="31">
        <f>6000*AN21</f>
        <v>4672200</v>
      </c>
      <c r="AK21" s="28">
        <f t="shared" si="4"/>
        <v>1297.8333333333333</v>
      </c>
      <c r="AL21" s="146">
        <v>11.6</v>
      </c>
      <c r="AM21" s="26">
        <v>40</v>
      </c>
      <c r="AN21" s="30">
        <v>778.7</v>
      </c>
      <c r="AO21" s="26" t="s">
        <v>63</v>
      </c>
      <c r="AP21" s="26" t="s">
        <v>27</v>
      </c>
      <c r="AQ21" s="32" t="s">
        <v>27</v>
      </c>
      <c r="AR21" s="29">
        <f t="shared" si="5"/>
        <v>0</v>
      </c>
      <c r="AS21" s="26">
        <v>0</v>
      </c>
      <c r="AT21" s="26"/>
      <c r="AU21" s="32" t="s">
        <v>556</v>
      </c>
      <c r="AV21" s="26"/>
    </row>
    <row r="22" spans="1:48" ht="115.5" x14ac:dyDescent="0.25">
      <c r="A22" s="20">
        <v>50</v>
      </c>
      <c r="B22" s="194"/>
      <c r="C22" s="49" t="s">
        <v>723</v>
      </c>
      <c r="D22" s="129">
        <v>1</v>
      </c>
      <c r="E22" s="132" t="s">
        <v>723</v>
      </c>
      <c r="F22" s="128" t="s">
        <v>58</v>
      </c>
      <c r="G22" s="25" t="s">
        <v>173</v>
      </c>
      <c r="H22" s="152" t="s">
        <v>173</v>
      </c>
      <c r="I22" s="49" t="s">
        <v>812</v>
      </c>
      <c r="J22" s="49" t="s">
        <v>812</v>
      </c>
      <c r="K22" s="49">
        <v>1</v>
      </c>
      <c r="L22" s="90">
        <v>46.8</v>
      </c>
      <c r="M22" s="97">
        <v>-20</v>
      </c>
      <c r="N22" s="97">
        <v>32.799999999999997</v>
      </c>
      <c r="O22" s="123"/>
      <c r="P22" s="91"/>
      <c r="Q22" s="93" t="s">
        <v>616</v>
      </c>
      <c r="R22" s="93" t="s">
        <v>24</v>
      </c>
      <c r="S22" s="92" t="s">
        <v>855</v>
      </c>
      <c r="T22" s="104" t="s">
        <v>812</v>
      </c>
      <c r="U22" s="52">
        <f>365/20/365*100</f>
        <v>5</v>
      </c>
      <c r="V22" s="93" t="s">
        <v>547</v>
      </c>
      <c r="W22" s="93" t="s">
        <v>379</v>
      </c>
      <c r="X22" s="93" t="s">
        <v>320</v>
      </c>
      <c r="Y22" s="93">
        <v>32</v>
      </c>
      <c r="Z22" s="92" t="s">
        <v>772</v>
      </c>
      <c r="AA22" s="67">
        <v>120</v>
      </c>
      <c r="AB22" s="93">
        <f t="shared" ref="AB22:AB23" si="6">AA22+Y22</f>
        <v>152</v>
      </c>
      <c r="AC22" s="93">
        <f>9.64+55</f>
        <v>64.64</v>
      </c>
      <c r="AD22" s="95">
        <f t="shared" ref="AD22:AD23" si="7">AC22*$AY$1</f>
        <v>67.872</v>
      </c>
      <c r="AE22" s="95">
        <v>10.18</v>
      </c>
      <c r="AF22" s="95">
        <f t="shared" ref="AF22:AF23" si="8">AD22+AE22</f>
        <v>78.051999999999992</v>
      </c>
      <c r="AG22" s="46">
        <v>121</v>
      </c>
      <c r="AH22" s="134">
        <f t="shared" si="3"/>
        <v>94222.700000000012</v>
      </c>
      <c r="AI22" s="93"/>
      <c r="AJ22" s="153">
        <f>6000*AN22</f>
        <v>4672200</v>
      </c>
      <c r="AK22" s="95">
        <f t="shared" ref="AK22:AK23" si="9">AJ22/3600</f>
        <v>1297.8333333333333</v>
      </c>
      <c r="AL22" s="146">
        <v>11.6</v>
      </c>
      <c r="AM22" s="93">
        <v>40</v>
      </c>
      <c r="AN22" s="94">
        <v>778.7</v>
      </c>
      <c r="AO22" s="93" t="s">
        <v>63</v>
      </c>
      <c r="AP22" s="93" t="s">
        <v>27</v>
      </c>
      <c r="AQ22" s="32" t="s">
        <v>27</v>
      </c>
      <c r="AR22" s="29">
        <f t="shared" ref="AR22:AR23" si="10">SQRT(AS22/3.14)*2</f>
        <v>0</v>
      </c>
      <c r="AS22" s="93">
        <v>0</v>
      </c>
      <c r="AT22" s="93"/>
      <c r="AU22" s="32" t="s">
        <v>556</v>
      </c>
      <c r="AV22" s="89"/>
    </row>
    <row r="23" spans="1:48" ht="115.5" x14ac:dyDescent="0.25">
      <c r="A23" s="20">
        <v>64</v>
      </c>
      <c r="B23" s="114" t="s">
        <v>731</v>
      </c>
      <c r="C23" s="49" t="s">
        <v>728</v>
      </c>
      <c r="D23" s="129">
        <v>1</v>
      </c>
      <c r="E23" s="132" t="s">
        <v>728</v>
      </c>
      <c r="F23" s="117" t="s">
        <v>725</v>
      </c>
      <c r="G23" s="25" t="s">
        <v>876</v>
      </c>
      <c r="H23" s="133" t="s">
        <v>173</v>
      </c>
      <c r="I23" s="49" t="s">
        <v>726</v>
      </c>
      <c r="J23" s="49" t="s">
        <v>726</v>
      </c>
      <c r="K23" s="49">
        <v>1</v>
      </c>
      <c r="L23" s="90">
        <v>-5.6</v>
      </c>
      <c r="M23" s="97">
        <v>-5.8</v>
      </c>
      <c r="N23" s="97">
        <v>38</v>
      </c>
      <c r="O23" s="123"/>
      <c r="P23" s="91"/>
      <c r="Q23" s="93" t="s">
        <v>616</v>
      </c>
      <c r="R23" s="93" t="s">
        <v>24</v>
      </c>
      <c r="S23" s="92" t="s">
        <v>813</v>
      </c>
      <c r="T23" s="104" t="s">
        <v>726</v>
      </c>
      <c r="U23" s="52">
        <f>365/20/365*100</f>
        <v>5</v>
      </c>
      <c r="V23" s="93" t="s">
        <v>547</v>
      </c>
      <c r="W23" s="93" t="s">
        <v>733</v>
      </c>
      <c r="X23" s="93" t="s">
        <v>734</v>
      </c>
      <c r="Y23" s="93">
        <v>32</v>
      </c>
      <c r="Z23" s="92" t="s">
        <v>757</v>
      </c>
      <c r="AA23" s="67">
        <v>120</v>
      </c>
      <c r="AB23" s="93">
        <f t="shared" si="6"/>
        <v>152</v>
      </c>
      <c r="AC23" s="93">
        <v>6</v>
      </c>
      <c r="AD23" s="95">
        <f t="shared" si="7"/>
        <v>6.3000000000000007</v>
      </c>
      <c r="AE23" s="95">
        <v>10</v>
      </c>
      <c r="AF23" s="95">
        <f t="shared" si="8"/>
        <v>16.3</v>
      </c>
      <c r="AG23" s="46">
        <v>78.099999999999994</v>
      </c>
      <c r="AH23" s="134">
        <f t="shared" si="3"/>
        <v>60816.47</v>
      </c>
      <c r="AI23" s="93"/>
      <c r="AJ23" s="153">
        <f>6000*AN23</f>
        <v>4672200</v>
      </c>
      <c r="AK23" s="95">
        <f t="shared" si="9"/>
        <v>1297.8333333333333</v>
      </c>
      <c r="AL23" s="146">
        <v>11.6</v>
      </c>
      <c r="AM23" s="93">
        <v>40</v>
      </c>
      <c r="AN23" s="94">
        <v>778.7</v>
      </c>
      <c r="AO23" s="93" t="s">
        <v>63</v>
      </c>
      <c r="AP23" s="93" t="s">
        <v>27</v>
      </c>
      <c r="AQ23" s="32" t="s">
        <v>27</v>
      </c>
      <c r="AR23" s="29">
        <f t="shared" si="10"/>
        <v>0</v>
      </c>
      <c r="AS23" s="93">
        <v>0</v>
      </c>
      <c r="AT23" s="93"/>
      <c r="AU23" s="32" t="s">
        <v>556</v>
      </c>
      <c r="AV23" s="89"/>
    </row>
    <row r="24" spans="1:48" s="20" customFormat="1" ht="66.75" customHeight="1" x14ac:dyDescent="0.25">
      <c r="A24" s="201">
        <v>5</v>
      </c>
      <c r="B24" s="195" t="s">
        <v>64</v>
      </c>
      <c r="C24" s="158" t="s">
        <v>502</v>
      </c>
      <c r="D24" s="154">
        <v>2</v>
      </c>
      <c r="E24" s="132" t="s">
        <v>875</v>
      </c>
      <c r="F24" s="128" t="s">
        <v>65</v>
      </c>
      <c r="G24" s="152" t="s">
        <v>66</v>
      </c>
      <c r="H24" s="133" t="s">
        <v>285</v>
      </c>
      <c r="I24" s="49" t="s">
        <v>678</v>
      </c>
      <c r="J24" s="49" t="s">
        <v>680</v>
      </c>
      <c r="K24" s="131">
        <v>0.5</v>
      </c>
      <c r="L24" s="49">
        <v>131.5</v>
      </c>
      <c r="M24" s="49">
        <v>18.8</v>
      </c>
      <c r="N24" s="49">
        <v>47.2</v>
      </c>
      <c r="O24" s="122"/>
      <c r="P24" s="25"/>
      <c r="Q24" s="161">
        <v>104</v>
      </c>
      <c r="R24" s="161" t="s">
        <v>11</v>
      </c>
      <c r="S24" s="154" t="s">
        <v>557</v>
      </c>
      <c r="T24" s="154" t="s">
        <v>680</v>
      </c>
      <c r="U24" s="188">
        <v>100</v>
      </c>
      <c r="V24" s="108" t="s">
        <v>544</v>
      </c>
      <c r="W24" s="161" t="s">
        <v>380</v>
      </c>
      <c r="X24" s="161" t="s">
        <v>381</v>
      </c>
      <c r="Y24" s="107">
        <v>14</v>
      </c>
      <c r="Z24" s="102" t="s">
        <v>773</v>
      </c>
      <c r="AA24" s="109">
        <v>120</v>
      </c>
      <c r="AB24" s="108">
        <f t="shared" si="1"/>
        <v>134</v>
      </c>
      <c r="AC24" s="107">
        <v>12.35</v>
      </c>
      <c r="AD24" s="164">
        <f t="shared" si="0"/>
        <v>12.967499999999999</v>
      </c>
      <c r="AE24" s="164">
        <v>21.35</v>
      </c>
      <c r="AF24" s="164">
        <f t="shared" si="2"/>
        <v>34.317500000000003</v>
      </c>
      <c r="AG24" s="164">
        <v>214.3</v>
      </c>
      <c r="AH24" s="134">
        <f t="shared" si="3"/>
        <v>2614.46</v>
      </c>
      <c r="AI24" s="107"/>
      <c r="AJ24" s="170">
        <v>20277</v>
      </c>
      <c r="AK24" s="164">
        <f t="shared" si="4"/>
        <v>5.6325000000000003</v>
      </c>
      <c r="AL24" s="177">
        <v>8</v>
      </c>
      <c r="AM24" s="161">
        <v>117.5</v>
      </c>
      <c r="AN24" s="161">
        <v>12.2</v>
      </c>
      <c r="AO24" s="161" t="s">
        <v>67</v>
      </c>
      <c r="AP24" s="161" t="s">
        <v>17</v>
      </c>
      <c r="AQ24" s="107">
        <v>2</v>
      </c>
      <c r="AR24" s="181">
        <f t="shared" si="5"/>
        <v>17.917006119334079</v>
      </c>
      <c r="AS24" s="107">
        <v>252</v>
      </c>
      <c r="AT24" s="107"/>
      <c r="AU24" s="161">
        <f>AA24+30+AQ24</f>
        <v>152</v>
      </c>
      <c r="AV24" s="30"/>
    </row>
    <row r="25" spans="1:48" s="20" customFormat="1" ht="49.5" x14ac:dyDescent="0.25">
      <c r="A25" s="201"/>
      <c r="B25" s="195"/>
      <c r="C25" s="158"/>
      <c r="D25" s="156"/>
      <c r="E25" s="132" t="s">
        <v>833</v>
      </c>
      <c r="F25" s="128" t="s">
        <v>65</v>
      </c>
      <c r="G25" s="152" t="s">
        <v>66</v>
      </c>
      <c r="H25" s="133" t="s">
        <v>286</v>
      </c>
      <c r="I25" s="49" t="s">
        <v>679</v>
      </c>
      <c r="J25" s="49" t="s">
        <v>681</v>
      </c>
      <c r="K25" s="131">
        <v>0.5</v>
      </c>
      <c r="L25" s="49">
        <v>130.9</v>
      </c>
      <c r="M25" s="49">
        <v>16.899999999999999</v>
      </c>
      <c r="N25" s="49">
        <v>38.5</v>
      </c>
      <c r="O25" s="122">
        <v>3.5</v>
      </c>
      <c r="P25" s="25"/>
      <c r="Q25" s="163"/>
      <c r="R25" s="163"/>
      <c r="S25" s="156"/>
      <c r="T25" s="156"/>
      <c r="U25" s="190"/>
      <c r="V25" s="112"/>
      <c r="W25" s="163"/>
      <c r="X25" s="163"/>
      <c r="Y25" s="110"/>
      <c r="Z25" s="111"/>
      <c r="AA25" s="112"/>
      <c r="AB25" s="112"/>
      <c r="AC25" s="110"/>
      <c r="AD25" s="166"/>
      <c r="AE25" s="166"/>
      <c r="AF25" s="166"/>
      <c r="AG25" s="166"/>
      <c r="AH25" s="134">
        <f t="shared" si="3"/>
        <v>0</v>
      </c>
      <c r="AI25" s="110"/>
      <c r="AJ25" s="172"/>
      <c r="AK25" s="166"/>
      <c r="AL25" s="178"/>
      <c r="AM25" s="163"/>
      <c r="AN25" s="163"/>
      <c r="AO25" s="163"/>
      <c r="AP25" s="163"/>
      <c r="AQ25" s="110"/>
      <c r="AR25" s="183"/>
      <c r="AS25" s="110"/>
      <c r="AT25" s="110"/>
      <c r="AU25" s="163"/>
      <c r="AV25" s="73"/>
    </row>
    <row r="26" spans="1:48" s="20" customFormat="1" ht="66" x14ac:dyDescent="0.25">
      <c r="A26" s="20">
        <v>6</v>
      </c>
      <c r="B26" s="195"/>
      <c r="C26" s="49" t="s">
        <v>503</v>
      </c>
      <c r="D26" s="129">
        <v>1</v>
      </c>
      <c r="E26" s="132" t="s">
        <v>503</v>
      </c>
      <c r="F26" s="128" t="s">
        <v>65</v>
      </c>
      <c r="G26" s="25" t="s">
        <v>66</v>
      </c>
      <c r="H26" s="133" t="s">
        <v>286</v>
      </c>
      <c r="I26" s="49" t="s">
        <v>323</v>
      </c>
      <c r="J26" s="49" t="s">
        <v>677</v>
      </c>
      <c r="K26" s="49">
        <v>1</v>
      </c>
      <c r="L26" s="49">
        <v>126.1</v>
      </c>
      <c r="M26" s="49">
        <v>12.4</v>
      </c>
      <c r="N26" s="49">
        <v>35.799999999999997</v>
      </c>
      <c r="O26" s="122">
        <v>0.8</v>
      </c>
      <c r="P26" s="25"/>
      <c r="Q26" s="30">
        <v>102</v>
      </c>
      <c r="R26" s="30" t="s">
        <v>24</v>
      </c>
      <c r="S26" s="49" t="s">
        <v>207</v>
      </c>
      <c r="T26" s="49" t="s">
        <v>211</v>
      </c>
      <c r="U26" s="52">
        <v>100</v>
      </c>
      <c r="V26" s="43" t="s">
        <v>544</v>
      </c>
      <c r="W26" s="30" t="s">
        <v>356</v>
      </c>
      <c r="X26" s="30" t="s">
        <v>208</v>
      </c>
      <c r="Y26" s="30">
        <v>2</v>
      </c>
      <c r="Z26" s="49" t="s">
        <v>774</v>
      </c>
      <c r="AA26" s="67">
        <v>120</v>
      </c>
      <c r="AB26" s="43">
        <f t="shared" si="1"/>
        <v>122</v>
      </c>
      <c r="AC26" s="30">
        <v>0.52</v>
      </c>
      <c r="AD26" s="28">
        <f t="shared" si="0"/>
        <v>0.54600000000000004</v>
      </c>
      <c r="AE26" s="46">
        <v>1.59</v>
      </c>
      <c r="AF26" s="28">
        <f t="shared" si="2"/>
        <v>2.1360000000000001</v>
      </c>
      <c r="AG26" s="46">
        <v>20.6</v>
      </c>
      <c r="AH26" s="134">
        <f t="shared" si="3"/>
        <v>16148.34</v>
      </c>
      <c r="AI26" s="30"/>
      <c r="AJ26" s="31">
        <v>2973</v>
      </c>
      <c r="AK26" s="28">
        <f t="shared" si="4"/>
        <v>0.82583333333333331</v>
      </c>
      <c r="AL26" s="146">
        <v>13</v>
      </c>
      <c r="AM26" s="30">
        <v>45.3</v>
      </c>
      <c r="AN26" s="30">
        <v>783.9</v>
      </c>
      <c r="AO26" s="30" t="s">
        <v>68</v>
      </c>
      <c r="AP26" s="30" t="s">
        <v>27</v>
      </c>
      <c r="AQ26" s="32" t="s">
        <v>27</v>
      </c>
      <c r="AR26" s="29">
        <f t="shared" si="5"/>
        <v>0</v>
      </c>
      <c r="AS26" s="30">
        <v>0</v>
      </c>
      <c r="AT26" s="30"/>
      <c r="AU26" s="32" t="s">
        <v>556</v>
      </c>
      <c r="AV26" s="30"/>
    </row>
    <row r="27" spans="1:48" ht="115.5" x14ac:dyDescent="0.25">
      <c r="A27" s="20">
        <v>7</v>
      </c>
      <c r="B27" s="195" t="s">
        <v>69</v>
      </c>
      <c r="C27" s="192" t="s">
        <v>504</v>
      </c>
      <c r="D27" s="202">
        <v>2</v>
      </c>
      <c r="E27" s="132" t="s">
        <v>834</v>
      </c>
      <c r="F27" s="128" t="s">
        <v>191</v>
      </c>
      <c r="G27" s="25" t="s">
        <v>66</v>
      </c>
      <c r="H27" s="133" t="s">
        <v>285</v>
      </c>
      <c r="I27" s="49" t="s">
        <v>682</v>
      </c>
      <c r="J27" s="49" t="s">
        <v>685</v>
      </c>
      <c r="K27" s="131">
        <v>0.5</v>
      </c>
      <c r="L27" s="74">
        <v>133.30000000000001</v>
      </c>
      <c r="M27" s="97">
        <v>15.3</v>
      </c>
      <c r="N27" s="97">
        <v>47.3</v>
      </c>
      <c r="O27" s="123"/>
      <c r="P27" s="23"/>
      <c r="Q27" s="26">
        <v>109</v>
      </c>
      <c r="R27" s="26" t="s">
        <v>11</v>
      </c>
      <c r="S27" s="154" t="s">
        <v>70</v>
      </c>
      <c r="T27" s="185" t="s">
        <v>685</v>
      </c>
      <c r="U27" s="188">
        <v>100</v>
      </c>
      <c r="V27" s="43" t="s">
        <v>544</v>
      </c>
      <c r="W27" s="161" t="s">
        <v>382</v>
      </c>
      <c r="X27" s="161" t="s">
        <v>357</v>
      </c>
      <c r="Y27" s="43">
        <v>10</v>
      </c>
      <c r="Z27" s="66" t="s">
        <v>775</v>
      </c>
      <c r="AA27" s="67">
        <v>120</v>
      </c>
      <c r="AB27" s="43">
        <f t="shared" si="1"/>
        <v>130</v>
      </c>
      <c r="AC27" s="26">
        <v>18.23</v>
      </c>
      <c r="AD27" s="164">
        <f t="shared" si="0"/>
        <v>19.141500000000001</v>
      </c>
      <c r="AE27" s="164">
        <f>6.1+1.5</f>
        <v>7.6</v>
      </c>
      <c r="AF27" s="164">
        <f t="shared" si="2"/>
        <v>26.741500000000002</v>
      </c>
      <c r="AG27" s="167">
        <v>34.299999999999997</v>
      </c>
      <c r="AH27" s="134">
        <f t="shared" si="3"/>
        <v>991.26999999999987</v>
      </c>
      <c r="AI27" s="26"/>
      <c r="AJ27" s="170">
        <v>36563</v>
      </c>
      <c r="AK27" s="164">
        <f t="shared" si="4"/>
        <v>10.156388888888889</v>
      </c>
      <c r="AL27" s="177">
        <v>25.2</v>
      </c>
      <c r="AM27" s="161">
        <v>126</v>
      </c>
      <c r="AN27" s="161">
        <v>28.9</v>
      </c>
      <c r="AO27" s="30" t="s">
        <v>71</v>
      </c>
      <c r="AP27" s="161" t="s">
        <v>72</v>
      </c>
      <c r="AQ27" s="43">
        <v>2</v>
      </c>
      <c r="AR27" s="181">
        <f t="shared" si="5"/>
        <v>14.006367978496231</v>
      </c>
      <c r="AS27" s="26">
        <v>154</v>
      </c>
      <c r="AT27" s="26" t="s">
        <v>277</v>
      </c>
      <c r="AU27" s="161">
        <f>AA27+30+AQ27</f>
        <v>152</v>
      </c>
      <c r="AV27" s="26"/>
    </row>
    <row r="28" spans="1:48" ht="49.5" x14ac:dyDescent="0.25">
      <c r="A28" s="20"/>
      <c r="B28" s="195"/>
      <c r="C28" s="192"/>
      <c r="D28" s="204"/>
      <c r="E28" s="132" t="s">
        <v>835</v>
      </c>
      <c r="F28" s="128" t="s">
        <v>191</v>
      </c>
      <c r="G28" s="25" t="s">
        <v>66</v>
      </c>
      <c r="H28" s="133" t="s">
        <v>286</v>
      </c>
      <c r="I28" s="49" t="s">
        <v>683</v>
      </c>
      <c r="J28" s="49" t="s">
        <v>687</v>
      </c>
      <c r="K28" s="131">
        <v>0.5</v>
      </c>
      <c r="L28" s="74">
        <v>131.4</v>
      </c>
      <c r="M28" s="97">
        <v>12.2</v>
      </c>
      <c r="N28" s="97">
        <v>38.6</v>
      </c>
      <c r="O28" s="123">
        <v>3.6</v>
      </c>
      <c r="P28" s="75"/>
      <c r="Q28" s="93">
        <v>109</v>
      </c>
      <c r="R28" s="93" t="s">
        <v>11</v>
      </c>
      <c r="S28" s="156"/>
      <c r="T28" s="187"/>
      <c r="U28" s="190"/>
      <c r="V28" s="93"/>
      <c r="W28" s="163"/>
      <c r="X28" s="163"/>
      <c r="Y28" s="93"/>
      <c r="Z28" s="92"/>
      <c r="AA28" s="67"/>
      <c r="AB28" s="93"/>
      <c r="AC28" s="93"/>
      <c r="AD28" s="166"/>
      <c r="AE28" s="166"/>
      <c r="AF28" s="166"/>
      <c r="AG28" s="169"/>
      <c r="AH28" s="134">
        <f t="shared" si="3"/>
        <v>0</v>
      </c>
      <c r="AI28" s="93"/>
      <c r="AJ28" s="172"/>
      <c r="AK28" s="166"/>
      <c r="AL28" s="178"/>
      <c r="AM28" s="163"/>
      <c r="AN28" s="163"/>
      <c r="AO28" s="94"/>
      <c r="AP28" s="163"/>
      <c r="AQ28" s="93"/>
      <c r="AR28" s="183"/>
      <c r="AS28" s="93"/>
      <c r="AT28" s="93"/>
      <c r="AU28" s="163"/>
      <c r="AV28" s="72"/>
    </row>
    <row r="29" spans="1:48" ht="49.5" x14ac:dyDescent="0.25">
      <c r="A29" s="20">
        <v>8</v>
      </c>
      <c r="B29" s="195"/>
      <c r="C29" s="49" t="s">
        <v>505</v>
      </c>
      <c r="D29" s="129">
        <v>1</v>
      </c>
      <c r="E29" s="132" t="s">
        <v>505</v>
      </c>
      <c r="F29" s="128" t="s">
        <v>191</v>
      </c>
      <c r="G29" s="25" t="s">
        <v>66</v>
      </c>
      <c r="H29" s="133" t="s">
        <v>286</v>
      </c>
      <c r="I29" s="49" t="s">
        <v>684</v>
      </c>
      <c r="J29" s="49" t="s">
        <v>686</v>
      </c>
      <c r="K29" s="49">
        <v>1</v>
      </c>
      <c r="L29" s="74">
        <v>128</v>
      </c>
      <c r="M29" s="97">
        <v>6.2</v>
      </c>
      <c r="N29" s="97">
        <v>41</v>
      </c>
      <c r="O29" s="123">
        <v>6</v>
      </c>
      <c r="P29" s="23"/>
      <c r="Q29" s="26">
        <v>107</v>
      </c>
      <c r="R29" s="26" t="s">
        <v>24</v>
      </c>
      <c r="S29" s="66" t="s">
        <v>73</v>
      </c>
      <c r="T29" s="66" t="s">
        <v>74</v>
      </c>
      <c r="U29" s="52">
        <v>100</v>
      </c>
      <c r="V29" s="43" t="s">
        <v>544</v>
      </c>
      <c r="W29" s="26" t="s">
        <v>358</v>
      </c>
      <c r="X29" s="26" t="s">
        <v>75</v>
      </c>
      <c r="Y29" s="43">
        <v>3</v>
      </c>
      <c r="Z29" s="66" t="s">
        <v>776</v>
      </c>
      <c r="AA29" s="67">
        <v>120</v>
      </c>
      <c r="AB29" s="43">
        <f t="shared" si="1"/>
        <v>123</v>
      </c>
      <c r="AC29" s="26">
        <v>7.0000000000000007E-2</v>
      </c>
      <c r="AD29" s="28">
        <f t="shared" si="0"/>
        <v>7.350000000000001E-2</v>
      </c>
      <c r="AE29" s="28">
        <v>1.5</v>
      </c>
      <c r="AF29" s="28">
        <f t="shared" si="2"/>
        <v>1.5735000000000001</v>
      </c>
      <c r="AG29" s="46">
        <v>20.6</v>
      </c>
      <c r="AH29" s="134">
        <f t="shared" si="3"/>
        <v>13670.160000000002</v>
      </c>
      <c r="AI29" s="26"/>
      <c r="AJ29" s="27">
        <v>4906</v>
      </c>
      <c r="AK29" s="28">
        <f t="shared" si="4"/>
        <v>1.3627777777777779</v>
      </c>
      <c r="AL29" s="146">
        <v>6.7</v>
      </c>
      <c r="AM29" s="26">
        <v>44.2</v>
      </c>
      <c r="AN29" s="26">
        <v>663.6</v>
      </c>
      <c r="AO29" s="30" t="s">
        <v>76</v>
      </c>
      <c r="AP29" s="26" t="s">
        <v>27</v>
      </c>
      <c r="AQ29" s="32" t="s">
        <v>27</v>
      </c>
      <c r="AR29" s="29">
        <f t="shared" si="5"/>
        <v>0</v>
      </c>
      <c r="AS29" s="26">
        <v>0</v>
      </c>
      <c r="AT29" s="26"/>
      <c r="AU29" s="32" t="s">
        <v>556</v>
      </c>
      <c r="AV29" s="26"/>
    </row>
    <row r="30" spans="1:48" ht="33.75" customHeight="1" x14ac:dyDescent="0.25">
      <c r="A30" s="201">
        <v>29</v>
      </c>
      <c r="B30" s="196" t="s">
        <v>77</v>
      </c>
      <c r="C30" s="192" t="s">
        <v>506</v>
      </c>
      <c r="D30" s="202">
        <v>3</v>
      </c>
      <c r="E30" s="132" t="s">
        <v>846</v>
      </c>
      <c r="F30" s="128" t="s">
        <v>78</v>
      </c>
      <c r="G30" s="25" t="s">
        <v>79</v>
      </c>
      <c r="H30" s="133" t="s">
        <v>654</v>
      </c>
      <c r="I30" s="202" t="s">
        <v>692</v>
      </c>
      <c r="J30" s="49" t="s">
        <v>847</v>
      </c>
      <c r="K30" s="131">
        <v>0.2</v>
      </c>
      <c r="L30" s="117">
        <v>123.2</v>
      </c>
      <c r="M30" s="117">
        <v>-12</v>
      </c>
      <c r="N30" s="117">
        <v>55.6</v>
      </c>
      <c r="O30" s="123"/>
      <c r="P30" s="23"/>
      <c r="Q30" s="161" t="s">
        <v>80</v>
      </c>
      <c r="R30" s="161" t="s">
        <v>11</v>
      </c>
      <c r="S30" s="154" t="s">
        <v>212</v>
      </c>
      <c r="T30" s="185" t="s">
        <v>691</v>
      </c>
      <c r="U30" s="188">
        <v>200</v>
      </c>
      <c r="V30" s="43" t="s">
        <v>548</v>
      </c>
      <c r="W30" s="161" t="s">
        <v>383</v>
      </c>
      <c r="X30" s="161" t="s">
        <v>261</v>
      </c>
      <c r="Y30" s="43">
        <v>14</v>
      </c>
      <c r="Z30" s="66" t="s">
        <v>777</v>
      </c>
      <c r="AA30" s="67">
        <v>120</v>
      </c>
      <c r="AB30" s="43">
        <f t="shared" si="1"/>
        <v>134</v>
      </c>
      <c r="AC30" s="26">
        <v>23.2</v>
      </c>
      <c r="AD30" s="164">
        <f t="shared" si="0"/>
        <v>24.36</v>
      </c>
      <c r="AE30" s="164">
        <v>23.21</v>
      </c>
      <c r="AF30" s="164">
        <f t="shared" si="2"/>
        <v>47.57</v>
      </c>
      <c r="AG30" s="167">
        <v>68.900000000000006</v>
      </c>
      <c r="AH30" s="134">
        <f t="shared" si="3"/>
        <v>8040.630000000001</v>
      </c>
      <c r="AI30" s="26"/>
      <c r="AJ30" s="170">
        <v>31020</v>
      </c>
      <c r="AK30" s="164">
        <f t="shared" si="4"/>
        <v>8.6166666666666671</v>
      </c>
      <c r="AL30" s="177">
        <v>109.2</v>
      </c>
      <c r="AM30" s="161">
        <v>101.3</v>
      </c>
      <c r="AN30" s="161">
        <v>116.7</v>
      </c>
      <c r="AO30" s="26" t="s">
        <v>81</v>
      </c>
      <c r="AP30" s="161" t="s">
        <v>82</v>
      </c>
      <c r="AQ30" s="43">
        <v>4</v>
      </c>
      <c r="AR30" s="181">
        <f t="shared" si="5"/>
        <v>27.461611886204622</v>
      </c>
      <c r="AS30" s="26">
        <v>592</v>
      </c>
      <c r="AT30" s="26"/>
      <c r="AU30" s="161">
        <f>AA30+30+AQ30</f>
        <v>154</v>
      </c>
      <c r="AV30" s="26">
        <f>AG30*AM30</f>
        <v>6979.5700000000006</v>
      </c>
    </row>
    <row r="31" spans="1:48" ht="49.5" x14ac:dyDescent="0.25">
      <c r="A31" s="201"/>
      <c r="B31" s="197"/>
      <c r="C31" s="192"/>
      <c r="D31" s="203"/>
      <c r="E31" s="132" t="s">
        <v>836</v>
      </c>
      <c r="F31" s="128" t="s">
        <v>78</v>
      </c>
      <c r="G31" s="25" t="s">
        <v>79</v>
      </c>
      <c r="H31" s="133" t="s">
        <v>285</v>
      </c>
      <c r="I31" s="204"/>
      <c r="J31" s="49" t="s">
        <v>691</v>
      </c>
      <c r="K31" s="131">
        <v>0.2</v>
      </c>
      <c r="L31" s="117">
        <v>124.5</v>
      </c>
      <c r="M31" s="117">
        <v>-9</v>
      </c>
      <c r="N31" s="117">
        <v>47.6</v>
      </c>
      <c r="O31" s="123"/>
      <c r="P31" s="118"/>
      <c r="Q31" s="162"/>
      <c r="R31" s="162"/>
      <c r="S31" s="155"/>
      <c r="T31" s="186"/>
      <c r="U31" s="189"/>
      <c r="V31" s="119"/>
      <c r="W31" s="162"/>
      <c r="X31" s="162"/>
      <c r="Y31" s="119"/>
      <c r="Z31" s="117"/>
      <c r="AA31" s="67"/>
      <c r="AB31" s="119"/>
      <c r="AC31" s="119"/>
      <c r="AD31" s="165"/>
      <c r="AE31" s="165"/>
      <c r="AF31" s="165"/>
      <c r="AG31" s="168"/>
      <c r="AH31" s="134">
        <f t="shared" si="3"/>
        <v>0</v>
      </c>
      <c r="AI31" s="119"/>
      <c r="AJ31" s="171"/>
      <c r="AK31" s="165"/>
      <c r="AL31" s="184"/>
      <c r="AM31" s="162"/>
      <c r="AN31" s="162"/>
      <c r="AO31" s="119"/>
      <c r="AP31" s="162"/>
      <c r="AQ31" s="119"/>
      <c r="AR31" s="182"/>
      <c r="AS31" s="119"/>
      <c r="AT31" s="119"/>
      <c r="AU31" s="162"/>
      <c r="AV31" s="119"/>
    </row>
    <row r="32" spans="1:48" ht="99" x14ac:dyDescent="0.25">
      <c r="A32" s="201"/>
      <c r="B32" s="197"/>
      <c r="C32" s="192"/>
      <c r="D32" s="204"/>
      <c r="E32" s="132" t="s">
        <v>837</v>
      </c>
      <c r="F32" s="128" t="s">
        <v>78</v>
      </c>
      <c r="G32" s="25" t="s">
        <v>79</v>
      </c>
      <c r="H32" s="133" t="s">
        <v>286</v>
      </c>
      <c r="I32" s="49" t="s">
        <v>693</v>
      </c>
      <c r="J32" s="49" t="s">
        <v>690</v>
      </c>
      <c r="K32" s="131">
        <v>0.6</v>
      </c>
      <c r="L32" s="74">
        <v>125.9</v>
      </c>
      <c r="M32" s="97">
        <v>-15.1</v>
      </c>
      <c r="N32" s="97">
        <v>38.700000000000003</v>
      </c>
      <c r="O32" s="123"/>
      <c r="P32" s="75"/>
      <c r="Q32" s="163"/>
      <c r="R32" s="163"/>
      <c r="S32" s="156"/>
      <c r="T32" s="187"/>
      <c r="U32" s="190"/>
      <c r="V32" s="93"/>
      <c r="W32" s="163"/>
      <c r="X32" s="163"/>
      <c r="Y32" s="93"/>
      <c r="Z32" s="92"/>
      <c r="AA32" s="67"/>
      <c r="AB32" s="93"/>
      <c r="AC32" s="93"/>
      <c r="AD32" s="166"/>
      <c r="AE32" s="166"/>
      <c r="AF32" s="166"/>
      <c r="AG32" s="169"/>
      <c r="AH32" s="134">
        <f t="shared" si="3"/>
        <v>0</v>
      </c>
      <c r="AI32" s="93"/>
      <c r="AJ32" s="172"/>
      <c r="AK32" s="166"/>
      <c r="AL32" s="178"/>
      <c r="AM32" s="163"/>
      <c r="AN32" s="163"/>
      <c r="AO32" s="93"/>
      <c r="AP32" s="163"/>
      <c r="AQ32" s="93"/>
      <c r="AR32" s="183"/>
      <c r="AS32" s="93"/>
      <c r="AT32" s="93"/>
      <c r="AU32" s="163"/>
      <c r="AV32" s="72"/>
    </row>
    <row r="33" spans="1:49" ht="66" x14ac:dyDescent="0.25">
      <c r="A33" s="20">
        <v>30</v>
      </c>
      <c r="B33" s="197"/>
      <c r="C33" s="49" t="s">
        <v>507</v>
      </c>
      <c r="D33" s="129">
        <v>1</v>
      </c>
      <c r="E33" s="49" t="s">
        <v>507</v>
      </c>
      <c r="F33" s="128" t="s">
        <v>78</v>
      </c>
      <c r="G33" s="25" t="s">
        <v>79</v>
      </c>
      <c r="H33" s="133" t="s">
        <v>286</v>
      </c>
      <c r="I33" s="49" t="s">
        <v>694</v>
      </c>
      <c r="J33" s="49" t="s">
        <v>688</v>
      </c>
      <c r="K33" s="49">
        <v>1</v>
      </c>
      <c r="L33" s="74">
        <v>124.1</v>
      </c>
      <c r="M33" s="97">
        <v>-21.6</v>
      </c>
      <c r="N33" s="97">
        <v>41.4</v>
      </c>
      <c r="O33" s="123">
        <v>6.4</v>
      </c>
      <c r="P33" s="23"/>
      <c r="Q33" s="26" t="s">
        <v>83</v>
      </c>
      <c r="R33" s="26" t="s">
        <v>24</v>
      </c>
      <c r="S33" s="66" t="s">
        <v>84</v>
      </c>
      <c r="T33" s="66" t="s">
        <v>85</v>
      </c>
      <c r="U33" s="52">
        <v>200</v>
      </c>
      <c r="V33" s="43" t="s">
        <v>548</v>
      </c>
      <c r="W33" s="26" t="s">
        <v>384</v>
      </c>
      <c r="X33" s="26" t="s">
        <v>86</v>
      </c>
      <c r="Y33" s="43">
        <v>4</v>
      </c>
      <c r="Z33" s="66" t="s">
        <v>262</v>
      </c>
      <c r="AA33" s="67">
        <v>120</v>
      </c>
      <c r="AB33" s="43">
        <f t="shared" si="1"/>
        <v>124</v>
      </c>
      <c r="AC33" s="26">
        <v>0.1</v>
      </c>
      <c r="AD33" s="28">
        <f t="shared" si="0"/>
        <v>0.10500000000000001</v>
      </c>
      <c r="AE33" s="28">
        <v>2</v>
      </c>
      <c r="AF33" s="28">
        <f t="shared" si="2"/>
        <v>2.105</v>
      </c>
      <c r="AG33" s="46">
        <v>19.8</v>
      </c>
      <c r="AH33" s="134">
        <f t="shared" si="3"/>
        <v>11133.539999999999</v>
      </c>
      <c r="AI33" s="26"/>
      <c r="AJ33" s="27">
        <v>8881</v>
      </c>
      <c r="AK33" s="28">
        <f t="shared" si="4"/>
        <v>2.4669444444444446</v>
      </c>
      <c r="AL33" s="146">
        <v>23.9</v>
      </c>
      <c r="AM33" s="26">
        <v>45</v>
      </c>
      <c r="AN33" s="26">
        <v>562.29999999999995</v>
      </c>
      <c r="AO33" s="26" t="s">
        <v>87</v>
      </c>
      <c r="AP33" s="26" t="s">
        <v>27</v>
      </c>
      <c r="AQ33" s="32" t="s">
        <v>27</v>
      </c>
      <c r="AR33" s="29">
        <f t="shared" si="5"/>
        <v>0</v>
      </c>
      <c r="AS33" s="26">
        <v>0</v>
      </c>
      <c r="AT33" s="26"/>
      <c r="AU33" s="32" t="s">
        <v>556</v>
      </c>
      <c r="AV33" s="26"/>
    </row>
    <row r="34" spans="1:49" ht="66" x14ac:dyDescent="0.25">
      <c r="A34" s="20">
        <v>31</v>
      </c>
      <c r="B34" s="197"/>
      <c r="C34" s="49" t="s">
        <v>508</v>
      </c>
      <c r="D34" s="129">
        <v>1</v>
      </c>
      <c r="E34" s="49" t="s">
        <v>508</v>
      </c>
      <c r="F34" s="128" t="s">
        <v>78</v>
      </c>
      <c r="G34" s="25" t="s">
        <v>79</v>
      </c>
      <c r="H34" s="133" t="s">
        <v>286</v>
      </c>
      <c r="I34" s="49" t="s">
        <v>695</v>
      </c>
      <c r="J34" s="49" t="s">
        <v>689</v>
      </c>
      <c r="K34" s="49">
        <v>1</v>
      </c>
      <c r="L34" s="74">
        <v>128.30000000000001</v>
      </c>
      <c r="M34" s="97">
        <v>-21.5</v>
      </c>
      <c r="N34" s="97">
        <v>41.1</v>
      </c>
      <c r="O34" s="123">
        <v>6.1</v>
      </c>
      <c r="P34" s="23"/>
      <c r="Q34" s="26" t="s">
        <v>88</v>
      </c>
      <c r="R34" s="26" t="s">
        <v>24</v>
      </c>
      <c r="S34" s="66" t="s">
        <v>89</v>
      </c>
      <c r="T34" s="66" t="s">
        <v>90</v>
      </c>
      <c r="U34" s="52">
        <v>200</v>
      </c>
      <c r="V34" s="43" t="s">
        <v>548</v>
      </c>
      <c r="W34" s="26" t="s">
        <v>385</v>
      </c>
      <c r="X34" s="26" t="s">
        <v>91</v>
      </c>
      <c r="Y34" s="43">
        <v>4</v>
      </c>
      <c r="Z34" s="66" t="s">
        <v>263</v>
      </c>
      <c r="AA34" s="67">
        <v>120</v>
      </c>
      <c r="AB34" s="43">
        <f t="shared" si="1"/>
        <v>124</v>
      </c>
      <c r="AC34" s="26">
        <v>0.1</v>
      </c>
      <c r="AD34" s="28">
        <f t="shared" si="0"/>
        <v>0.10500000000000001</v>
      </c>
      <c r="AE34" s="28">
        <v>1.5</v>
      </c>
      <c r="AF34" s="28">
        <f t="shared" si="2"/>
        <v>1.605</v>
      </c>
      <c r="AG34" s="46">
        <v>19.8</v>
      </c>
      <c r="AH34" s="134">
        <f t="shared" si="3"/>
        <v>9149.58</v>
      </c>
      <c r="AI34" s="26"/>
      <c r="AJ34" s="27">
        <v>6186</v>
      </c>
      <c r="AK34" s="28">
        <f t="shared" si="4"/>
        <v>1.7183333333333333</v>
      </c>
      <c r="AL34" s="146">
        <v>53.4</v>
      </c>
      <c r="AM34" s="26">
        <v>45</v>
      </c>
      <c r="AN34" s="26">
        <v>462.1</v>
      </c>
      <c r="AO34" s="26" t="s">
        <v>92</v>
      </c>
      <c r="AP34" s="26" t="s">
        <v>27</v>
      </c>
      <c r="AQ34" s="32" t="s">
        <v>27</v>
      </c>
      <c r="AR34" s="29">
        <f t="shared" si="5"/>
        <v>0</v>
      </c>
      <c r="AS34" s="26">
        <v>0</v>
      </c>
      <c r="AT34" s="26"/>
      <c r="AU34" s="32" t="s">
        <v>556</v>
      </c>
      <c r="AV34" s="26"/>
    </row>
    <row r="35" spans="1:49" ht="165" x14ac:dyDescent="0.25">
      <c r="A35" s="20">
        <v>32</v>
      </c>
      <c r="B35" s="114" t="s">
        <v>93</v>
      </c>
      <c r="C35" s="49" t="s">
        <v>509</v>
      </c>
      <c r="D35" s="129">
        <v>1</v>
      </c>
      <c r="E35" s="49" t="s">
        <v>509</v>
      </c>
      <c r="F35" s="117" t="s">
        <v>94</v>
      </c>
      <c r="G35" s="25" t="s">
        <v>79</v>
      </c>
      <c r="H35" s="25" t="s">
        <v>285</v>
      </c>
      <c r="I35" s="49" t="s">
        <v>696</v>
      </c>
      <c r="J35" s="49" t="s">
        <v>814</v>
      </c>
      <c r="K35" s="49">
        <v>1</v>
      </c>
      <c r="L35" s="74">
        <v>128.80000000000001</v>
      </c>
      <c r="M35" s="97">
        <v>-6.4</v>
      </c>
      <c r="N35" s="97">
        <v>48</v>
      </c>
      <c r="O35" s="123"/>
      <c r="P35" s="23"/>
      <c r="Q35" s="26">
        <v>110</v>
      </c>
      <c r="R35" s="26" t="s">
        <v>11</v>
      </c>
      <c r="S35" s="66" t="s">
        <v>95</v>
      </c>
      <c r="T35" s="104" t="s">
        <v>814</v>
      </c>
      <c r="U35" s="52">
        <v>100</v>
      </c>
      <c r="V35" s="43" t="s">
        <v>544</v>
      </c>
      <c r="W35" s="26" t="s">
        <v>477</v>
      </c>
      <c r="X35" s="26" t="s">
        <v>321</v>
      </c>
      <c r="Y35" s="43">
        <v>16</v>
      </c>
      <c r="Z35" s="66" t="s">
        <v>778</v>
      </c>
      <c r="AA35" s="67">
        <v>120</v>
      </c>
      <c r="AB35" s="43">
        <f t="shared" si="1"/>
        <v>136</v>
      </c>
      <c r="AC35" s="26">
        <v>12.71</v>
      </c>
      <c r="AD35" s="28">
        <f t="shared" si="0"/>
        <v>13.345500000000001</v>
      </c>
      <c r="AE35" s="28"/>
      <c r="AF35" s="28">
        <f t="shared" si="2"/>
        <v>13.345500000000001</v>
      </c>
      <c r="AG35" s="46">
        <v>85.7</v>
      </c>
      <c r="AH35" s="134">
        <f t="shared" si="3"/>
        <v>2245.34</v>
      </c>
      <c r="AI35" s="26"/>
      <c r="AJ35" s="27">
        <v>46086</v>
      </c>
      <c r="AK35" s="28">
        <f t="shared" si="4"/>
        <v>12.801666666666666</v>
      </c>
      <c r="AL35" s="146">
        <v>25.2</v>
      </c>
      <c r="AM35" s="26">
        <v>115.6</v>
      </c>
      <c r="AN35" s="26">
        <v>26.2</v>
      </c>
      <c r="AO35" s="26" t="s">
        <v>97</v>
      </c>
      <c r="AP35" s="26" t="s">
        <v>13</v>
      </c>
      <c r="AQ35" s="43">
        <v>2</v>
      </c>
      <c r="AR35" s="29">
        <f t="shared" si="5"/>
        <v>14.759213898594281</v>
      </c>
      <c r="AS35" s="26">
        <v>171</v>
      </c>
      <c r="AT35" s="26"/>
      <c r="AU35" s="43">
        <f>AA35+30+AQ35</f>
        <v>152</v>
      </c>
      <c r="AV35" s="26"/>
    </row>
    <row r="36" spans="1:49" ht="132" x14ac:dyDescent="0.25">
      <c r="A36" s="20">
        <v>33</v>
      </c>
      <c r="B36" s="195" t="s">
        <v>98</v>
      </c>
      <c r="C36" s="49" t="s">
        <v>510</v>
      </c>
      <c r="D36" s="129">
        <v>1</v>
      </c>
      <c r="E36" s="49" t="s">
        <v>510</v>
      </c>
      <c r="F36" s="128" t="s">
        <v>99</v>
      </c>
      <c r="G36" s="25" t="s">
        <v>79</v>
      </c>
      <c r="H36" s="25" t="s">
        <v>285</v>
      </c>
      <c r="I36" s="49" t="s">
        <v>324</v>
      </c>
      <c r="J36" s="49" t="s">
        <v>661</v>
      </c>
      <c r="K36" s="49">
        <v>1</v>
      </c>
      <c r="L36" s="74">
        <v>136.6</v>
      </c>
      <c r="M36" s="97">
        <v>-16</v>
      </c>
      <c r="N36" s="97">
        <v>51.2</v>
      </c>
      <c r="O36" s="123"/>
      <c r="P36" s="23"/>
      <c r="Q36" s="26">
        <v>116</v>
      </c>
      <c r="R36" s="26" t="s">
        <v>11</v>
      </c>
      <c r="S36" s="66" t="s">
        <v>558</v>
      </c>
      <c r="T36" s="49" t="s">
        <v>442</v>
      </c>
      <c r="U36" s="52">
        <v>100</v>
      </c>
      <c r="V36" s="43" t="s">
        <v>544</v>
      </c>
      <c r="W36" s="26" t="s">
        <v>386</v>
      </c>
      <c r="X36" s="26" t="s">
        <v>213</v>
      </c>
      <c r="Y36" s="43">
        <v>20</v>
      </c>
      <c r="Z36" s="66" t="s">
        <v>779</v>
      </c>
      <c r="AA36" s="67">
        <v>120</v>
      </c>
      <c r="AB36" s="43">
        <f t="shared" si="1"/>
        <v>140</v>
      </c>
      <c r="AC36" s="26">
        <v>42.97</v>
      </c>
      <c r="AD36" s="28">
        <f t="shared" si="0"/>
        <v>45.118499999999997</v>
      </c>
      <c r="AE36" s="28">
        <v>23.8</v>
      </c>
      <c r="AF36" s="28">
        <f t="shared" si="2"/>
        <v>68.918499999999995</v>
      </c>
      <c r="AG36" s="46">
        <v>131.5</v>
      </c>
      <c r="AH36" s="134">
        <f t="shared" si="3"/>
        <v>14530.75</v>
      </c>
      <c r="AI36" s="26"/>
      <c r="AJ36" s="27">
        <v>487083</v>
      </c>
      <c r="AK36" s="28">
        <f t="shared" si="4"/>
        <v>135.30083333333334</v>
      </c>
      <c r="AL36" s="146">
        <v>107.4</v>
      </c>
      <c r="AM36" s="26">
        <v>40</v>
      </c>
      <c r="AN36" s="26">
        <v>110.5</v>
      </c>
      <c r="AO36" s="30" t="s">
        <v>443</v>
      </c>
      <c r="AP36" s="26" t="s">
        <v>214</v>
      </c>
      <c r="AQ36" s="43">
        <v>4</v>
      </c>
      <c r="AR36" s="29" t="s">
        <v>300</v>
      </c>
      <c r="AS36" s="26" t="s">
        <v>294</v>
      </c>
      <c r="AT36" s="30" t="s">
        <v>276</v>
      </c>
      <c r="AU36" s="43">
        <f>AA36+30+AQ36</f>
        <v>154</v>
      </c>
      <c r="AV36" s="26">
        <f>SQRT(393/3.14)*2</f>
        <v>22.374917713260068</v>
      </c>
      <c r="AW36" s="26">
        <f>SQRT(587/3.14)*2</f>
        <v>27.345396333513666</v>
      </c>
    </row>
    <row r="37" spans="1:49" ht="49.5" x14ac:dyDescent="0.25">
      <c r="A37" s="20">
        <v>34</v>
      </c>
      <c r="B37" s="195"/>
      <c r="C37" s="49" t="s">
        <v>511</v>
      </c>
      <c r="D37" s="129">
        <v>1</v>
      </c>
      <c r="E37" s="49" t="s">
        <v>511</v>
      </c>
      <c r="F37" s="128" t="s">
        <v>99</v>
      </c>
      <c r="G37" s="25" t="s">
        <v>100</v>
      </c>
      <c r="H37" s="25" t="s">
        <v>286</v>
      </c>
      <c r="I37" s="49" t="s">
        <v>815</v>
      </c>
      <c r="J37" s="49" t="s">
        <v>815</v>
      </c>
      <c r="K37" s="49">
        <v>1</v>
      </c>
      <c r="L37" s="74">
        <v>144.6</v>
      </c>
      <c r="M37" s="97">
        <v>7.5</v>
      </c>
      <c r="N37" s="97">
        <v>38.4</v>
      </c>
      <c r="O37" s="123"/>
      <c r="P37" s="23"/>
      <c r="Q37" s="26" t="s">
        <v>104</v>
      </c>
      <c r="R37" s="26" t="s">
        <v>24</v>
      </c>
      <c r="S37" s="66" t="s">
        <v>105</v>
      </c>
      <c r="T37" s="49" t="s">
        <v>101</v>
      </c>
      <c r="U37" s="52">
        <v>100</v>
      </c>
      <c r="V37" s="43" t="s">
        <v>544</v>
      </c>
      <c r="W37" s="26" t="s">
        <v>387</v>
      </c>
      <c r="X37" s="26" t="s">
        <v>106</v>
      </c>
      <c r="Y37" s="43">
        <v>3</v>
      </c>
      <c r="Z37" s="66" t="s">
        <v>780</v>
      </c>
      <c r="AA37" s="67">
        <v>120</v>
      </c>
      <c r="AB37" s="43">
        <f t="shared" si="1"/>
        <v>123</v>
      </c>
      <c r="AC37" s="26">
        <v>0.08</v>
      </c>
      <c r="AD37" s="28">
        <f t="shared" si="0"/>
        <v>8.4000000000000005E-2</v>
      </c>
      <c r="AE37" s="28">
        <v>2.9</v>
      </c>
      <c r="AF37" s="28">
        <f t="shared" si="2"/>
        <v>2.984</v>
      </c>
      <c r="AG37" s="46">
        <v>22.7</v>
      </c>
      <c r="AH37" s="134">
        <f t="shared" si="3"/>
        <v>14727.759999999998</v>
      </c>
      <c r="AI37" s="26"/>
      <c r="AJ37" s="27">
        <v>14256</v>
      </c>
      <c r="AK37" s="28">
        <f t="shared" si="4"/>
        <v>3.96</v>
      </c>
      <c r="AL37" s="146">
        <v>106.2</v>
      </c>
      <c r="AM37" s="26">
        <v>39.6</v>
      </c>
      <c r="AN37" s="26">
        <v>648.79999999999995</v>
      </c>
      <c r="AO37" s="30" t="s">
        <v>102</v>
      </c>
      <c r="AP37" s="26" t="s">
        <v>27</v>
      </c>
      <c r="AQ37" s="32" t="s">
        <v>27</v>
      </c>
      <c r="AR37" s="29">
        <f t="shared" si="5"/>
        <v>0</v>
      </c>
      <c r="AS37" s="26">
        <v>0</v>
      </c>
      <c r="AT37" s="26"/>
      <c r="AU37" s="32" t="s">
        <v>556</v>
      </c>
      <c r="AV37" s="26"/>
    </row>
    <row r="38" spans="1:49" ht="82.5" customHeight="1" x14ac:dyDescent="0.25">
      <c r="A38" s="201">
        <v>15</v>
      </c>
      <c r="B38" s="193" t="s">
        <v>107</v>
      </c>
      <c r="C38" s="192" t="s">
        <v>512</v>
      </c>
      <c r="D38" s="202">
        <v>3</v>
      </c>
      <c r="E38" s="115" t="s">
        <v>838</v>
      </c>
      <c r="F38" s="128" t="s">
        <v>108</v>
      </c>
      <c r="G38" s="25" t="s">
        <v>100</v>
      </c>
      <c r="H38" s="125" t="s">
        <v>286</v>
      </c>
      <c r="I38" s="192" t="s">
        <v>658</v>
      </c>
      <c r="J38" s="49" t="s">
        <v>660</v>
      </c>
      <c r="K38" s="131">
        <v>0.6</v>
      </c>
      <c r="L38" s="74">
        <v>146.69999999999999</v>
      </c>
      <c r="M38" s="97">
        <v>10.3</v>
      </c>
      <c r="N38" s="97">
        <v>49</v>
      </c>
      <c r="O38" s="123"/>
      <c r="P38" s="23"/>
      <c r="Q38" s="26">
        <v>318</v>
      </c>
      <c r="R38" s="26" t="s">
        <v>11</v>
      </c>
      <c r="S38" s="154" t="s">
        <v>109</v>
      </c>
      <c r="T38" s="66" t="s">
        <v>110</v>
      </c>
      <c r="U38" s="52">
        <v>100</v>
      </c>
      <c r="V38" s="43" t="s">
        <v>544</v>
      </c>
      <c r="W38" s="161" t="s">
        <v>388</v>
      </c>
      <c r="X38" s="161" t="s">
        <v>216</v>
      </c>
      <c r="Y38" s="43">
        <v>20</v>
      </c>
      <c r="Z38" s="66" t="s">
        <v>781</v>
      </c>
      <c r="AA38" s="67">
        <v>120</v>
      </c>
      <c r="AB38" s="43">
        <f t="shared" si="1"/>
        <v>140</v>
      </c>
      <c r="AC38" s="26">
        <v>33</v>
      </c>
      <c r="AD38" s="164">
        <f t="shared" si="0"/>
        <v>34.65</v>
      </c>
      <c r="AE38" s="164">
        <v>32.4</v>
      </c>
      <c r="AF38" s="164">
        <f t="shared" si="2"/>
        <v>67.05</v>
      </c>
      <c r="AG38" s="167">
        <v>68.900000000000006</v>
      </c>
      <c r="AH38" s="134">
        <f t="shared" si="3"/>
        <v>7241.39</v>
      </c>
      <c r="AI38" s="26"/>
      <c r="AJ38" s="170">
        <v>472827</v>
      </c>
      <c r="AK38" s="164">
        <f t="shared" si="4"/>
        <v>131.34083333333334</v>
      </c>
      <c r="AL38" s="177">
        <v>105.4</v>
      </c>
      <c r="AM38" s="161">
        <v>40.6</v>
      </c>
      <c r="AN38" s="161">
        <v>105.1</v>
      </c>
      <c r="AO38" s="26" t="s">
        <v>111</v>
      </c>
      <c r="AP38" s="161" t="s">
        <v>215</v>
      </c>
      <c r="AQ38" s="43">
        <v>4</v>
      </c>
      <c r="AR38" s="181" t="s">
        <v>301</v>
      </c>
      <c r="AS38" s="26" t="s">
        <v>295</v>
      </c>
      <c r="AT38" s="30" t="s">
        <v>276</v>
      </c>
      <c r="AU38" s="161">
        <f>AA38+30+AQ38</f>
        <v>154</v>
      </c>
      <c r="AV38" s="26">
        <f>SQRT(540/3.14)*2</f>
        <v>26.227811368316161</v>
      </c>
      <c r="AW38" s="26">
        <f>SQRT(752/3.14)*2</f>
        <v>30.950957714414759</v>
      </c>
    </row>
    <row r="39" spans="1:49" ht="66" x14ac:dyDescent="0.25">
      <c r="A39" s="201"/>
      <c r="B39" s="198"/>
      <c r="C39" s="192"/>
      <c r="D39" s="203"/>
      <c r="E39" s="115" t="s">
        <v>839</v>
      </c>
      <c r="F39" s="128" t="s">
        <v>108</v>
      </c>
      <c r="G39" s="25" t="s">
        <v>100</v>
      </c>
      <c r="H39" s="25" t="s">
        <v>285</v>
      </c>
      <c r="I39" s="192"/>
      <c r="J39" s="49" t="s">
        <v>816</v>
      </c>
      <c r="K39" s="131">
        <v>0.2</v>
      </c>
      <c r="L39" s="74">
        <v>147.30000000000001</v>
      </c>
      <c r="M39" s="97">
        <v>10.3</v>
      </c>
      <c r="N39" s="97">
        <v>49</v>
      </c>
      <c r="O39" s="123"/>
      <c r="P39" s="75"/>
      <c r="Q39" s="93">
        <v>318</v>
      </c>
      <c r="R39" s="93" t="s">
        <v>11</v>
      </c>
      <c r="S39" s="155"/>
      <c r="T39" s="104" t="s">
        <v>816</v>
      </c>
      <c r="U39" s="52">
        <v>100</v>
      </c>
      <c r="V39" s="93" t="s">
        <v>544</v>
      </c>
      <c r="W39" s="162"/>
      <c r="X39" s="162"/>
      <c r="Y39" s="93"/>
      <c r="Z39" s="92"/>
      <c r="AA39" s="67"/>
      <c r="AB39" s="93"/>
      <c r="AC39" s="93"/>
      <c r="AD39" s="165"/>
      <c r="AE39" s="165"/>
      <c r="AF39" s="165"/>
      <c r="AG39" s="168"/>
      <c r="AH39" s="134">
        <f t="shared" si="3"/>
        <v>0</v>
      </c>
      <c r="AI39" s="93"/>
      <c r="AJ39" s="171"/>
      <c r="AK39" s="165"/>
      <c r="AL39" s="184"/>
      <c r="AM39" s="162"/>
      <c r="AN39" s="162"/>
      <c r="AO39" s="93"/>
      <c r="AP39" s="162"/>
      <c r="AQ39" s="93"/>
      <c r="AR39" s="182"/>
      <c r="AS39" s="93"/>
      <c r="AT39" s="94"/>
      <c r="AU39" s="162"/>
      <c r="AV39" s="72"/>
      <c r="AW39" s="72"/>
    </row>
    <row r="40" spans="1:49" ht="66" x14ac:dyDescent="0.25">
      <c r="A40" s="201"/>
      <c r="B40" s="194"/>
      <c r="C40" s="192"/>
      <c r="D40" s="204"/>
      <c r="E40" s="115" t="s">
        <v>840</v>
      </c>
      <c r="F40" s="128" t="s">
        <v>108</v>
      </c>
      <c r="G40" s="25" t="s">
        <v>100</v>
      </c>
      <c r="H40" s="25" t="s">
        <v>654</v>
      </c>
      <c r="I40" s="192"/>
      <c r="J40" s="49" t="s">
        <v>659</v>
      </c>
      <c r="K40" s="131">
        <v>0.2</v>
      </c>
      <c r="L40" s="74">
        <v>145</v>
      </c>
      <c r="M40" s="97">
        <v>16.2</v>
      </c>
      <c r="N40" s="97">
        <v>55.4</v>
      </c>
      <c r="O40" s="123"/>
      <c r="P40" s="75"/>
      <c r="Q40" s="93">
        <v>318</v>
      </c>
      <c r="R40" s="93" t="s">
        <v>11</v>
      </c>
      <c r="S40" s="156"/>
      <c r="T40" s="92" t="s">
        <v>817</v>
      </c>
      <c r="U40" s="52">
        <v>100</v>
      </c>
      <c r="V40" s="93" t="s">
        <v>544</v>
      </c>
      <c r="W40" s="163"/>
      <c r="X40" s="163"/>
      <c r="Y40" s="93"/>
      <c r="Z40" s="92"/>
      <c r="AA40" s="67"/>
      <c r="AB40" s="93"/>
      <c r="AC40" s="93"/>
      <c r="AD40" s="166"/>
      <c r="AE40" s="166"/>
      <c r="AF40" s="166"/>
      <c r="AG40" s="169"/>
      <c r="AH40" s="134">
        <f t="shared" si="3"/>
        <v>0</v>
      </c>
      <c r="AI40" s="93"/>
      <c r="AJ40" s="172"/>
      <c r="AK40" s="166"/>
      <c r="AL40" s="178"/>
      <c r="AM40" s="163"/>
      <c r="AN40" s="163"/>
      <c r="AO40" s="93"/>
      <c r="AP40" s="163"/>
      <c r="AQ40" s="93"/>
      <c r="AR40" s="183"/>
      <c r="AS40" s="93"/>
      <c r="AT40" s="94"/>
      <c r="AU40" s="163"/>
      <c r="AV40" s="72"/>
      <c r="AW40" s="72"/>
    </row>
    <row r="41" spans="1:49" ht="99" x14ac:dyDescent="0.25">
      <c r="A41" s="20">
        <v>16</v>
      </c>
      <c r="B41" s="193" t="s">
        <v>112</v>
      </c>
      <c r="C41" s="49" t="s">
        <v>513</v>
      </c>
      <c r="D41" s="129">
        <v>1</v>
      </c>
      <c r="E41" s="49" t="s">
        <v>513</v>
      </c>
      <c r="F41" s="128" t="s">
        <v>113</v>
      </c>
      <c r="G41" s="25" t="s">
        <v>100</v>
      </c>
      <c r="H41" s="25" t="s">
        <v>285</v>
      </c>
      <c r="I41" s="49" t="s">
        <v>662</v>
      </c>
      <c r="J41" s="49" t="s">
        <v>662</v>
      </c>
      <c r="K41" s="49">
        <v>1</v>
      </c>
      <c r="L41" s="74">
        <v>145.19999999999999</v>
      </c>
      <c r="M41" s="97">
        <v>20.6</v>
      </c>
      <c r="N41" s="97">
        <v>50.8</v>
      </c>
      <c r="O41" s="123"/>
      <c r="P41" s="23"/>
      <c r="Q41" s="26">
        <v>119</v>
      </c>
      <c r="R41" s="26" t="s">
        <v>11</v>
      </c>
      <c r="S41" s="66" t="s">
        <v>114</v>
      </c>
      <c r="T41" s="66" t="s">
        <v>115</v>
      </c>
      <c r="U41" s="52">
        <v>100</v>
      </c>
      <c r="V41" s="43" t="s">
        <v>544</v>
      </c>
      <c r="W41" s="26" t="s">
        <v>389</v>
      </c>
      <c r="X41" s="26" t="s">
        <v>217</v>
      </c>
      <c r="Y41" s="43">
        <v>20</v>
      </c>
      <c r="Z41" s="66" t="s">
        <v>782</v>
      </c>
      <c r="AA41" s="67">
        <v>120</v>
      </c>
      <c r="AB41" s="43">
        <f t="shared" si="1"/>
        <v>140</v>
      </c>
      <c r="AC41" s="26">
        <v>10.199999999999999</v>
      </c>
      <c r="AD41" s="28">
        <f t="shared" si="0"/>
        <v>10.709999999999999</v>
      </c>
      <c r="AE41" s="28">
        <v>59.2</v>
      </c>
      <c r="AF41" s="28">
        <f t="shared" si="2"/>
        <v>69.91</v>
      </c>
      <c r="AG41" s="46">
        <v>69.3</v>
      </c>
      <c r="AH41" s="134">
        <f t="shared" si="3"/>
        <v>7110.1799999999994</v>
      </c>
      <c r="AI41" s="26"/>
      <c r="AJ41" s="27">
        <v>472213</v>
      </c>
      <c r="AK41" s="28">
        <f t="shared" si="4"/>
        <v>131.17027777777778</v>
      </c>
      <c r="AL41" s="146">
        <v>103.6</v>
      </c>
      <c r="AM41" s="26">
        <v>41.1</v>
      </c>
      <c r="AN41" s="26">
        <v>102.6</v>
      </c>
      <c r="AO41" s="26" t="s">
        <v>116</v>
      </c>
      <c r="AP41" s="26" t="s">
        <v>278</v>
      </c>
      <c r="AQ41" s="43">
        <v>6</v>
      </c>
      <c r="AR41" s="29" t="s">
        <v>302</v>
      </c>
      <c r="AS41" s="26" t="s">
        <v>296</v>
      </c>
      <c r="AT41" s="26" t="s">
        <v>281</v>
      </c>
      <c r="AU41" s="43">
        <f>AA41+30+AQ41</f>
        <v>156</v>
      </c>
      <c r="AV41" s="26">
        <f>SQRT(567/3.14)*2</f>
        <v>26.875509179001114</v>
      </c>
      <c r="AW41" s="26">
        <f>SQRT(772/3.14)*2</f>
        <v>31.359838814092459</v>
      </c>
    </row>
    <row r="42" spans="1:49" ht="49.5" x14ac:dyDescent="0.25">
      <c r="A42" s="20">
        <v>17</v>
      </c>
      <c r="B42" s="194"/>
      <c r="C42" s="49" t="s">
        <v>514</v>
      </c>
      <c r="D42" s="129">
        <v>1</v>
      </c>
      <c r="E42" s="49" t="s">
        <v>514</v>
      </c>
      <c r="F42" s="128" t="s">
        <v>113</v>
      </c>
      <c r="G42" s="25" t="s">
        <v>100</v>
      </c>
      <c r="H42" s="25" t="s">
        <v>286</v>
      </c>
      <c r="I42" s="49" t="s">
        <v>663</v>
      </c>
      <c r="J42" s="49" t="s">
        <v>663</v>
      </c>
      <c r="K42" s="49">
        <v>1</v>
      </c>
      <c r="L42" s="49">
        <v>146.1</v>
      </c>
      <c r="M42" s="97">
        <v>22.2</v>
      </c>
      <c r="N42" s="97">
        <v>38.4</v>
      </c>
      <c r="O42" s="123"/>
      <c r="P42" s="23"/>
      <c r="Q42" s="26">
        <v>241</v>
      </c>
      <c r="R42" s="26" t="s">
        <v>24</v>
      </c>
      <c r="S42" s="66" t="s">
        <v>114</v>
      </c>
      <c r="T42" s="66" t="s">
        <v>115</v>
      </c>
      <c r="U42" s="52">
        <v>100</v>
      </c>
      <c r="V42" s="43" t="s">
        <v>544</v>
      </c>
      <c r="W42" s="26" t="s">
        <v>390</v>
      </c>
      <c r="X42" s="26" t="s">
        <v>322</v>
      </c>
      <c r="Y42" s="43">
        <v>2</v>
      </c>
      <c r="Z42" s="66" t="s">
        <v>783</v>
      </c>
      <c r="AA42" s="67">
        <v>120</v>
      </c>
      <c r="AB42" s="43">
        <f t="shared" si="1"/>
        <v>122</v>
      </c>
      <c r="AC42" s="26">
        <v>0.21</v>
      </c>
      <c r="AD42" s="28">
        <f t="shared" si="0"/>
        <v>0.2205</v>
      </c>
      <c r="AE42" s="28">
        <v>5.2</v>
      </c>
      <c r="AF42" s="28">
        <f t="shared" si="2"/>
        <v>5.4205000000000005</v>
      </c>
      <c r="AG42" s="46">
        <v>22.7</v>
      </c>
      <c r="AH42" s="134">
        <f t="shared" si="3"/>
        <v>13560.98</v>
      </c>
      <c r="AI42" s="26"/>
      <c r="AJ42" s="27">
        <v>187</v>
      </c>
      <c r="AK42" s="28">
        <f t="shared" si="4"/>
        <v>5.1944444444444446E-2</v>
      </c>
      <c r="AL42" s="146">
        <v>104.1</v>
      </c>
      <c r="AM42" s="26">
        <v>40.1</v>
      </c>
      <c r="AN42" s="26">
        <v>597.4</v>
      </c>
      <c r="AO42" s="26" t="s">
        <v>116</v>
      </c>
      <c r="AP42" s="26" t="s">
        <v>27</v>
      </c>
      <c r="AQ42" s="32" t="s">
        <v>27</v>
      </c>
      <c r="AR42" s="29">
        <f t="shared" si="5"/>
        <v>0</v>
      </c>
      <c r="AS42" s="26">
        <v>0</v>
      </c>
      <c r="AT42" s="26"/>
      <c r="AU42" s="32" t="s">
        <v>556</v>
      </c>
      <c r="AV42" s="26"/>
    </row>
    <row r="43" spans="1:49" ht="66" x14ac:dyDescent="0.25">
      <c r="A43" s="20">
        <v>18</v>
      </c>
      <c r="B43" s="193" t="s">
        <v>117</v>
      </c>
      <c r="C43" s="49" t="s">
        <v>515</v>
      </c>
      <c r="D43" s="129">
        <v>1</v>
      </c>
      <c r="E43" s="49" t="s">
        <v>515</v>
      </c>
      <c r="F43" s="128" t="s">
        <v>118</v>
      </c>
      <c r="G43" s="25" t="s">
        <v>100</v>
      </c>
      <c r="H43" s="25" t="s">
        <v>654</v>
      </c>
      <c r="I43" s="49" t="s">
        <v>656</v>
      </c>
      <c r="J43" s="49" t="s">
        <v>818</v>
      </c>
      <c r="K43" s="49">
        <v>1</v>
      </c>
      <c r="L43" s="49">
        <v>150</v>
      </c>
      <c r="M43" s="97">
        <v>20.8</v>
      </c>
      <c r="N43" s="97">
        <v>53</v>
      </c>
      <c r="O43" s="123"/>
      <c r="P43" s="23"/>
      <c r="Q43" s="26">
        <v>122</v>
      </c>
      <c r="R43" s="26" t="s">
        <v>11</v>
      </c>
      <c r="S43" s="66" t="s">
        <v>119</v>
      </c>
      <c r="T43" s="66" t="s">
        <v>120</v>
      </c>
      <c r="U43" s="52">
        <v>100</v>
      </c>
      <c r="V43" s="43" t="s">
        <v>544</v>
      </c>
      <c r="W43" s="26" t="s">
        <v>391</v>
      </c>
      <c r="X43" s="26" t="s">
        <v>218</v>
      </c>
      <c r="Y43" s="43">
        <v>20</v>
      </c>
      <c r="Z43" s="66" t="s">
        <v>784</v>
      </c>
      <c r="AA43" s="67">
        <v>120</v>
      </c>
      <c r="AB43" s="43">
        <f t="shared" si="1"/>
        <v>140</v>
      </c>
      <c r="AC43" s="26">
        <v>13.95</v>
      </c>
      <c r="AD43" s="28">
        <f t="shared" si="0"/>
        <v>14.647499999999999</v>
      </c>
      <c r="AE43" s="28">
        <v>23.7</v>
      </c>
      <c r="AF43" s="28">
        <f t="shared" si="2"/>
        <v>38.347499999999997</v>
      </c>
      <c r="AG43" s="46">
        <v>85.8</v>
      </c>
      <c r="AH43" s="134">
        <f t="shared" si="3"/>
        <v>10767.9</v>
      </c>
      <c r="AI43" s="26"/>
      <c r="AJ43" s="27">
        <v>445055</v>
      </c>
      <c r="AK43" s="28">
        <f t="shared" si="4"/>
        <v>123.62638888888888</v>
      </c>
      <c r="AL43" s="146">
        <v>101.3</v>
      </c>
      <c r="AM43" s="26">
        <v>9.3000000000000007</v>
      </c>
      <c r="AN43" s="26">
        <v>125.5</v>
      </c>
      <c r="AO43" s="26" t="s">
        <v>121</v>
      </c>
      <c r="AP43" s="26" t="s">
        <v>219</v>
      </c>
      <c r="AQ43" s="43">
        <v>6</v>
      </c>
      <c r="AR43" s="29" t="s">
        <v>303</v>
      </c>
      <c r="AS43" s="26" t="s">
        <v>297</v>
      </c>
      <c r="AT43" s="26" t="s">
        <v>281</v>
      </c>
      <c r="AU43" s="43">
        <f>AA43+30+AQ43</f>
        <v>156</v>
      </c>
      <c r="AV43" s="26">
        <f>SQRT(574/3.14)*2</f>
        <v>27.040898488822492</v>
      </c>
      <c r="AW43" s="26">
        <f>SQRT(785/3.14)*2</f>
        <v>31.622776601683793</v>
      </c>
    </row>
    <row r="44" spans="1:49" ht="49.5" x14ac:dyDescent="0.25">
      <c r="A44" s="20">
        <v>19</v>
      </c>
      <c r="B44" s="194"/>
      <c r="C44" s="49" t="s">
        <v>516</v>
      </c>
      <c r="D44" s="129">
        <v>1</v>
      </c>
      <c r="E44" s="49" t="s">
        <v>516</v>
      </c>
      <c r="F44" s="128" t="s">
        <v>118</v>
      </c>
      <c r="G44" s="25" t="s">
        <v>100</v>
      </c>
      <c r="H44" s="25" t="s">
        <v>285</v>
      </c>
      <c r="I44" s="49" t="s">
        <v>819</v>
      </c>
      <c r="J44" s="49" t="s">
        <v>819</v>
      </c>
      <c r="K44" s="49">
        <v>1</v>
      </c>
      <c r="L44" s="49">
        <v>151.5</v>
      </c>
      <c r="M44" s="97">
        <v>21.9</v>
      </c>
      <c r="N44" s="97">
        <v>45</v>
      </c>
      <c r="O44" s="123"/>
      <c r="P44" s="23"/>
      <c r="Q44" s="26" t="s">
        <v>122</v>
      </c>
      <c r="R44" s="26" t="s">
        <v>24</v>
      </c>
      <c r="S44" s="66" t="s">
        <v>123</v>
      </c>
      <c r="T44" s="66" t="s">
        <v>120</v>
      </c>
      <c r="U44" s="52">
        <v>100</v>
      </c>
      <c r="V44" s="43" t="s">
        <v>544</v>
      </c>
      <c r="W44" s="26" t="s">
        <v>392</v>
      </c>
      <c r="X44" s="26" t="s">
        <v>124</v>
      </c>
      <c r="Y44" s="43">
        <v>6</v>
      </c>
      <c r="Z44" s="66" t="s">
        <v>785</v>
      </c>
      <c r="AA44" s="67">
        <v>120</v>
      </c>
      <c r="AB44" s="43">
        <f t="shared" si="1"/>
        <v>126</v>
      </c>
      <c r="AC44" s="26">
        <v>0.33</v>
      </c>
      <c r="AD44" s="28">
        <f t="shared" si="0"/>
        <v>0.34650000000000003</v>
      </c>
      <c r="AE44" s="28">
        <v>6.6</v>
      </c>
      <c r="AF44" s="28">
        <f t="shared" si="2"/>
        <v>6.9464999999999995</v>
      </c>
      <c r="AG44" s="46">
        <v>20.6</v>
      </c>
      <c r="AH44" s="134">
        <f t="shared" si="3"/>
        <v>10948.900000000001</v>
      </c>
      <c r="AI44" s="26"/>
      <c r="AJ44" s="27">
        <v>12609</v>
      </c>
      <c r="AK44" s="28">
        <f t="shared" si="4"/>
        <v>3.5024999999999999</v>
      </c>
      <c r="AL44" s="146">
        <v>101.4</v>
      </c>
      <c r="AM44" s="26">
        <v>9.4</v>
      </c>
      <c r="AN44" s="26">
        <v>531.5</v>
      </c>
      <c r="AO44" s="26" t="s">
        <v>121</v>
      </c>
      <c r="AP44" s="26" t="s">
        <v>27</v>
      </c>
      <c r="AQ44" s="32" t="s">
        <v>27</v>
      </c>
      <c r="AR44" s="29">
        <f t="shared" si="5"/>
        <v>0</v>
      </c>
      <c r="AS44" s="26">
        <v>0</v>
      </c>
      <c r="AT44" s="26"/>
      <c r="AU44" s="32" t="s">
        <v>556</v>
      </c>
      <c r="AV44" s="26"/>
    </row>
    <row r="45" spans="1:49" ht="99" x14ac:dyDescent="0.25">
      <c r="A45" s="20">
        <v>20</v>
      </c>
      <c r="B45" s="195" t="s">
        <v>125</v>
      </c>
      <c r="C45" s="49" t="s">
        <v>517</v>
      </c>
      <c r="D45" s="129">
        <v>1</v>
      </c>
      <c r="E45" s="49" t="s">
        <v>517</v>
      </c>
      <c r="F45" s="128" t="s">
        <v>126</v>
      </c>
      <c r="G45" s="25" t="s">
        <v>100</v>
      </c>
      <c r="H45" s="25" t="s">
        <v>285</v>
      </c>
      <c r="I45" s="49" t="s">
        <v>655</v>
      </c>
      <c r="J45" s="49" t="s">
        <v>657</v>
      </c>
      <c r="K45" s="49">
        <v>1</v>
      </c>
      <c r="L45" s="49">
        <v>145</v>
      </c>
      <c r="M45" s="97">
        <v>16</v>
      </c>
      <c r="N45" s="97">
        <v>44.6</v>
      </c>
      <c r="O45" s="123"/>
      <c r="P45" s="23"/>
      <c r="Q45" s="26">
        <v>123</v>
      </c>
      <c r="R45" s="26" t="s">
        <v>11</v>
      </c>
      <c r="S45" s="66" t="s">
        <v>127</v>
      </c>
      <c r="T45" s="66" t="s">
        <v>128</v>
      </c>
      <c r="U45" s="52">
        <v>100</v>
      </c>
      <c r="V45" s="43" t="s">
        <v>544</v>
      </c>
      <c r="W45" s="26" t="s">
        <v>393</v>
      </c>
      <c r="X45" s="26" t="s">
        <v>221</v>
      </c>
      <c r="Y45" s="43">
        <v>18</v>
      </c>
      <c r="Z45" s="66" t="s">
        <v>786</v>
      </c>
      <c r="AA45" s="67">
        <v>120</v>
      </c>
      <c r="AB45" s="43">
        <f t="shared" si="1"/>
        <v>138</v>
      </c>
      <c r="AC45" s="26">
        <v>55.9</v>
      </c>
      <c r="AD45" s="28">
        <f t="shared" si="0"/>
        <v>58.695</v>
      </c>
      <c r="AE45" s="28">
        <v>27.1</v>
      </c>
      <c r="AF45" s="28">
        <f t="shared" si="2"/>
        <v>85.795000000000002</v>
      </c>
      <c r="AG45" s="46">
        <v>73.3</v>
      </c>
      <c r="AH45" s="134">
        <f t="shared" si="3"/>
        <v>6017.9299999999994</v>
      </c>
      <c r="AI45" s="26"/>
      <c r="AJ45" s="27">
        <v>445055</v>
      </c>
      <c r="AK45" s="28">
        <f t="shared" si="4"/>
        <v>123.62638888888888</v>
      </c>
      <c r="AL45" s="146">
        <v>65.7</v>
      </c>
      <c r="AM45" s="26">
        <v>-7</v>
      </c>
      <c r="AN45" s="26">
        <v>82.1</v>
      </c>
      <c r="AO45" s="26" t="s">
        <v>129</v>
      </c>
      <c r="AP45" s="26" t="s">
        <v>220</v>
      </c>
      <c r="AQ45" s="43">
        <v>6</v>
      </c>
      <c r="AR45" s="29" t="s">
        <v>304</v>
      </c>
      <c r="AS45" s="26" t="s">
        <v>298</v>
      </c>
      <c r="AT45" s="26" t="s">
        <v>281</v>
      </c>
      <c r="AU45" s="43">
        <f>AA45+30+AQ45</f>
        <v>156</v>
      </c>
      <c r="AV45" s="26">
        <f>SQRT(729/3.14)*2</f>
        <v>30.473962991087419</v>
      </c>
      <c r="AW45" s="26">
        <f>SQRT(1003/3.14)*2</f>
        <v>35.745027715326039</v>
      </c>
    </row>
    <row r="46" spans="1:49" ht="49.5" x14ac:dyDescent="0.25">
      <c r="A46" s="20">
        <v>21</v>
      </c>
      <c r="B46" s="195"/>
      <c r="C46" s="49" t="s">
        <v>518</v>
      </c>
      <c r="D46" s="129">
        <v>1</v>
      </c>
      <c r="E46" s="49" t="s">
        <v>518</v>
      </c>
      <c r="F46" s="128" t="s">
        <v>126</v>
      </c>
      <c r="G46" s="25" t="s">
        <v>100</v>
      </c>
      <c r="H46" s="25" t="s">
        <v>286</v>
      </c>
      <c r="I46" s="49" t="s">
        <v>820</v>
      </c>
      <c r="J46" s="49" t="s">
        <v>820</v>
      </c>
      <c r="K46" s="49">
        <v>1</v>
      </c>
      <c r="L46" s="49">
        <v>147</v>
      </c>
      <c r="M46" s="97">
        <v>15.5</v>
      </c>
      <c r="N46" s="97">
        <v>35.700000000000003</v>
      </c>
      <c r="O46" s="123"/>
      <c r="P46" s="23"/>
      <c r="Q46" s="26">
        <v>124</v>
      </c>
      <c r="R46" s="26" t="s">
        <v>24</v>
      </c>
      <c r="S46" s="66" t="s">
        <v>130</v>
      </c>
      <c r="T46" s="66" t="s">
        <v>128</v>
      </c>
      <c r="U46" s="52">
        <v>100</v>
      </c>
      <c r="V46" s="43" t="s">
        <v>544</v>
      </c>
      <c r="W46" s="26" t="s">
        <v>394</v>
      </c>
      <c r="X46" s="26" t="s">
        <v>131</v>
      </c>
      <c r="Y46" s="43">
        <v>8</v>
      </c>
      <c r="Z46" s="66" t="s">
        <v>787</v>
      </c>
      <c r="AA46" s="67">
        <v>120</v>
      </c>
      <c r="AB46" s="43">
        <f t="shared" si="1"/>
        <v>128</v>
      </c>
      <c r="AC46" s="26">
        <v>1.82</v>
      </c>
      <c r="AD46" s="28">
        <f t="shared" si="0"/>
        <v>1.9110000000000003</v>
      </c>
      <c r="AE46" s="28">
        <v>8.1</v>
      </c>
      <c r="AF46" s="28">
        <f t="shared" si="2"/>
        <v>10.010999999999999</v>
      </c>
      <c r="AG46" s="46">
        <v>20.6</v>
      </c>
      <c r="AH46" s="134">
        <f t="shared" si="3"/>
        <v>11070.44</v>
      </c>
      <c r="AI46" s="26"/>
      <c r="AJ46" s="27">
        <v>19864</v>
      </c>
      <c r="AK46" s="28">
        <f t="shared" si="4"/>
        <v>5.5177777777777779</v>
      </c>
      <c r="AL46" s="146">
        <v>65.7</v>
      </c>
      <c r="AM46" s="26">
        <v>-7</v>
      </c>
      <c r="AN46" s="26">
        <v>537.4</v>
      </c>
      <c r="AO46" s="26" t="s">
        <v>129</v>
      </c>
      <c r="AP46" s="26" t="s">
        <v>27</v>
      </c>
      <c r="AQ46" s="32" t="s">
        <v>27</v>
      </c>
      <c r="AR46" s="29">
        <f t="shared" si="5"/>
        <v>0</v>
      </c>
      <c r="AS46" s="26">
        <v>0</v>
      </c>
      <c r="AT46" s="26"/>
      <c r="AU46" s="32" t="s">
        <v>556</v>
      </c>
      <c r="AV46" s="26"/>
    </row>
    <row r="47" spans="1:49" ht="66" x14ac:dyDescent="0.25">
      <c r="A47" s="201">
        <v>22</v>
      </c>
      <c r="B47" s="193" t="s">
        <v>132</v>
      </c>
      <c r="C47" s="202" t="s">
        <v>328</v>
      </c>
      <c r="D47" s="202">
        <v>3</v>
      </c>
      <c r="E47" s="115" t="s">
        <v>845</v>
      </c>
      <c r="F47" s="130" t="s">
        <v>329</v>
      </c>
      <c r="G47" s="25" t="s">
        <v>133</v>
      </c>
      <c r="H47" s="25" t="s">
        <v>654</v>
      </c>
      <c r="I47" s="49" t="s">
        <v>849</v>
      </c>
      <c r="J47" s="49" t="s">
        <v>848</v>
      </c>
      <c r="K47" s="131">
        <v>0.5</v>
      </c>
      <c r="L47" s="49">
        <v>180.1</v>
      </c>
      <c r="M47" s="117">
        <v>13.2</v>
      </c>
      <c r="N47" s="117">
        <v>47.8</v>
      </c>
      <c r="O47" s="123"/>
      <c r="P47" s="23"/>
      <c r="Q47" s="161">
        <v>132</v>
      </c>
      <c r="R47" s="161" t="s">
        <v>11</v>
      </c>
      <c r="S47" s="154" t="s">
        <v>134</v>
      </c>
      <c r="T47" s="66" t="s">
        <v>135</v>
      </c>
      <c r="U47" s="188">
        <v>200</v>
      </c>
      <c r="V47" s="43" t="s">
        <v>548</v>
      </c>
      <c r="W47" s="161" t="s">
        <v>395</v>
      </c>
      <c r="X47" s="161" t="s">
        <v>222</v>
      </c>
      <c r="Y47" s="43">
        <v>16</v>
      </c>
      <c r="Z47" s="66" t="s">
        <v>788</v>
      </c>
      <c r="AA47" s="67">
        <v>120</v>
      </c>
      <c r="AB47" s="43">
        <f t="shared" si="1"/>
        <v>136</v>
      </c>
      <c r="AC47" s="36">
        <v>43.21</v>
      </c>
      <c r="AD47" s="164">
        <f t="shared" si="0"/>
        <v>45.3705</v>
      </c>
      <c r="AE47" s="205">
        <v>27.9</v>
      </c>
      <c r="AF47" s="164">
        <f t="shared" si="2"/>
        <v>73.270499999999998</v>
      </c>
      <c r="AG47" s="167">
        <v>85.8</v>
      </c>
      <c r="AH47" s="134">
        <f t="shared" si="3"/>
        <v>7541.8200000000006</v>
      </c>
      <c r="AI47" s="26"/>
      <c r="AJ47" s="170">
        <v>212596</v>
      </c>
      <c r="AK47" s="164">
        <f t="shared" si="4"/>
        <v>59.054444444444442</v>
      </c>
      <c r="AL47" s="177">
        <v>122.6</v>
      </c>
      <c r="AM47" s="161">
        <v>93.7</v>
      </c>
      <c r="AN47" s="161">
        <v>87.9</v>
      </c>
      <c r="AO47" s="26" t="s">
        <v>136</v>
      </c>
      <c r="AP47" s="161" t="s">
        <v>279</v>
      </c>
      <c r="AQ47" s="43">
        <v>6</v>
      </c>
      <c r="AR47" s="181">
        <f t="shared" si="5"/>
        <v>26.348956638234593</v>
      </c>
      <c r="AS47" s="26">
        <v>545</v>
      </c>
      <c r="AT47" s="26" t="s">
        <v>280</v>
      </c>
      <c r="AU47" s="161">
        <f>AA47+30+AQ47</f>
        <v>156</v>
      </c>
      <c r="AV47" s="26"/>
    </row>
    <row r="48" spans="1:49" ht="49.5" x14ac:dyDescent="0.25">
      <c r="A48" s="201"/>
      <c r="B48" s="198"/>
      <c r="C48" s="203"/>
      <c r="D48" s="203"/>
      <c r="E48" s="115" t="s">
        <v>842</v>
      </c>
      <c r="F48" s="130" t="s">
        <v>329</v>
      </c>
      <c r="G48" s="25" t="s">
        <v>133</v>
      </c>
      <c r="H48" s="25" t="s">
        <v>285</v>
      </c>
      <c r="I48" s="49" t="s">
        <v>698</v>
      </c>
      <c r="J48" s="49" t="s">
        <v>821</v>
      </c>
      <c r="K48" s="131">
        <v>0.3</v>
      </c>
      <c r="L48" s="49">
        <v>178.5</v>
      </c>
      <c r="M48" s="97">
        <v>13.1</v>
      </c>
      <c r="N48" s="97">
        <v>48.2</v>
      </c>
      <c r="O48" s="123"/>
      <c r="P48" s="75"/>
      <c r="Q48" s="162"/>
      <c r="R48" s="162"/>
      <c r="S48" s="155"/>
      <c r="T48" s="104" t="s">
        <v>821</v>
      </c>
      <c r="U48" s="189"/>
      <c r="V48" s="93"/>
      <c r="W48" s="162"/>
      <c r="X48" s="162"/>
      <c r="Y48" s="93"/>
      <c r="Z48" s="92"/>
      <c r="AA48" s="67"/>
      <c r="AB48" s="93"/>
      <c r="AC48" s="36"/>
      <c r="AD48" s="165"/>
      <c r="AE48" s="206"/>
      <c r="AF48" s="165"/>
      <c r="AG48" s="168"/>
      <c r="AH48" s="134">
        <f t="shared" si="3"/>
        <v>0</v>
      </c>
      <c r="AI48" s="93"/>
      <c r="AJ48" s="171"/>
      <c r="AK48" s="165"/>
      <c r="AL48" s="184"/>
      <c r="AM48" s="162"/>
      <c r="AN48" s="162"/>
      <c r="AO48" s="93"/>
      <c r="AP48" s="162"/>
      <c r="AQ48" s="93"/>
      <c r="AR48" s="182"/>
      <c r="AS48" s="93"/>
      <c r="AT48" s="93"/>
      <c r="AU48" s="162"/>
      <c r="AV48" s="72"/>
    </row>
    <row r="49" spans="1:48" ht="49.5" x14ac:dyDescent="0.25">
      <c r="A49" s="121"/>
      <c r="B49" s="198"/>
      <c r="C49" s="203"/>
      <c r="D49" s="204"/>
      <c r="E49" s="115" t="s">
        <v>841</v>
      </c>
      <c r="F49" s="130" t="s">
        <v>329</v>
      </c>
      <c r="G49" s="25" t="s">
        <v>133</v>
      </c>
      <c r="H49" s="25" t="s">
        <v>286</v>
      </c>
      <c r="I49" s="49" t="s">
        <v>697</v>
      </c>
      <c r="J49" s="49" t="s">
        <v>699</v>
      </c>
      <c r="K49" s="131">
        <v>0.2</v>
      </c>
      <c r="L49" s="49">
        <v>173.5</v>
      </c>
      <c r="M49" s="117">
        <v>11.6</v>
      </c>
      <c r="N49" s="117">
        <v>38.799999999999997</v>
      </c>
      <c r="O49" s="123"/>
      <c r="P49" s="118"/>
      <c r="Q49" s="162"/>
      <c r="R49" s="162"/>
      <c r="S49" s="155"/>
      <c r="T49" s="104"/>
      <c r="U49" s="189"/>
      <c r="V49" s="119"/>
      <c r="W49" s="162"/>
      <c r="X49" s="162"/>
      <c r="Y49" s="119"/>
      <c r="Z49" s="117"/>
      <c r="AA49" s="67"/>
      <c r="AB49" s="119"/>
      <c r="AC49" s="36"/>
      <c r="AD49" s="165"/>
      <c r="AE49" s="206"/>
      <c r="AF49" s="165"/>
      <c r="AG49" s="168"/>
      <c r="AH49" s="134">
        <f t="shared" si="3"/>
        <v>0</v>
      </c>
      <c r="AI49" s="119"/>
      <c r="AJ49" s="171"/>
      <c r="AK49" s="165"/>
      <c r="AL49" s="184"/>
      <c r="AM49" s="162"/>
      <c r="AN49" s="162"/>
      <c r="AO49" s="119"/>
      <c r="AP49" s="162"/>
      <c r="AQ49" s="119"/>
      <c r="AR49" s="182"/>
      <c r="AS49" s="119"/>
      <c r="AT49" s="119"/>
      <c r="AU49" s="162"/>
      <c r="AV49" s="119"/>
    </row>
    <row r="50" spans="1:48" ht="148.5" x14ac:dyDescent="0.25">
      <c r="A50" s="11">
        <v>23</v>
      </c>
      <c r="B50" s="114" t="s">
        <v>137</v>
      </c>
      <c r="C50" s="49" t="s">
        <v>519</v>
      </c>
      <c r="D50" s="129">
        <v>1</v>
      </c>
      <c r="E50" s="49" t="s">
        <v>519</v>
      </c>
      <c r="F50" s="117" t="s">
        <v>138</v>
      </c>
      <c r="G50" s="25" t="s">
        <v>133</v>
      </c>
      <c r="H50" s="25" t="s">
        <v>285</v>
      </c>
      <c r="I50" s="117" t="s">
        <v>700</v>
      </c>
      <c r="J50" s="74" t="s">
        <v>700</v>
      </c>
      <c r="K50" s="49">
        <v>1</v>
      </c>
      <c r="L50" s="74">
        <v>174.8</v>
      </c>
      <c r="M50" s="97">
        <v>10.1</v>
      </c>
      <c r="N50" s="97">
        <v>47</v>
      </c>
      <c r="O50" s="123"/>
      <c r="P50" s="23"/>
      <c r="Q50" s="26">
        <v>259</v>
      </c>
      <c r="R50" s="26" t="s">
        <v>11</v>
      </c>
      <c r="S50" s="66" t="s">
        <v>139</v>
      </c>
      <c r="T50" s="66" t="s">
        <v>140</v>
      </c>
      <c r="U50" s="52">
        <v>100</v>
      </c>
      <c r="V50" s="43" t="s">
        <v>544</v>
      </c>
      <c r="W50" s="26" t="s">
        <v>478</v>
      </c>
      <c r="X50" s="26" t="s">
        <v>223</v>
      </c>
      <c r="Y50" s="43">
        <v>16</v>
      </c>
      <c r="Z50" s="66" t="s">
        <v>789</v>
      </c>
      <c r="AA50" s="67">
        <v>120</v>
      </c>
      <c r="AB50" s="43">
        <f t="shared" si="1"/>
        <v>136</v>
      </c>
      <c r="AC50" s="26">
        <v>11.04</v>
      </c>
      <c r="AD50" s="28">
        <f t="shared" si="0"/>
        <v>11.591999999999999</v>
      </c>
      <c r="AE50" s="28">
        <v>1.5</v>
      </c>
      <c r="AF50" s="28">
        <f t="shared" si="2"/>
        <v>13.091999999999999</v>
      </c>
      <c r="AG50" s="46">
        <v>73.3</v>
      </c>
      <c r="AH50" s="134">
        <f t="shared" si="3"/>
        <v>7887.079999999999</v>
      </c>
      <c r="AI50" s="26"/>
      <c r="AJ50" s="27">
        <v>425191</v>
      </c>
      <c r="AK50" s="28">
        <f t="shared" si="4"/>
        <v>118.10861111111112</v>
      </c>
      <c r="AL50" s="146">
        <v>120.2</v>
      </c>
      <c r="AM50" s="26">
        <v>49.6</v>
      </c>
      <c r="AN50" s="26">
        <v>107.6</v>
      </c>
      <c r="AO50" s="26" t="s">
        <v>141</v>
      </c>
      <c r="AP50" s="26" t="s">
        <v>142</v>
      </c>
      <c r="AQ50" s="43">
        <v>3</v>
      </c>
      <c r="AR50" s="29">
        <f t="shared" si="5"/>
        <v>15.760953121943542</v>
      </c>
      <c r="AS50" s="26">
        <v>195</v>
      </c>
      <c r="AT50" s="26"/>
      <c r="AU50" s="43">
        <f>AA50+30+AQ50</f>
        <v>153</v>
      </c>
      <c r="AV50" s="26"/>
    </row>
    <row r="51" spans="1:48" ht="132" x14ac:dyDescent="0.25">
      <c r="A51" s="11">
        <v>24</v>
      </c>
      <c r="B51" s="114" t="s">
        <v>143</v>
      </c>
      <c r="C51" s="49" t="s">
        <v>520</v>
      </c>
      <c r="D51" s="129">
        <v>1</v>
      </c>
      <c r="E51" s="49" t="s">
        <v>520</v>
      </c>
      <c r="F51" s="117" t="s">
        <v>144</v>
      </c>
      <c r="G51" s="25" t="s">
        <v>133</v>
      </c>
      <c r="H51" s="25" t="s">
        <v>285</v>
      </c>
      <c r="I51" s="117" t="s">
        <v>822</v>
      </c>
      <c r="J51" s="74" t="s">
        <v>822</v>
      </c>
      <c r="K51" s="49">
        <v>1</v>
      </c>
      <c r="L51" s="74">
        <v>188.9</v>
      </c>
      <c r="M51" s="97">
        <v>24.5</v>
      </c>
      <c r="N51" s="97">
        <v>45</v>
      </c>
      <c r="O51" s="123"/>
      <c r="P51" s="23"/>
      <c r="Q51" s="26" t="s">
        <v>145</v>
      </c>
      <c r="R51" s="26" t="s">
        <v>11</v>
      </c>
      <c r="S51" s="66" t="s">
        <v>95</v>
      </c>
      <c r="T51" s="104" t="s">
        <v>822</v>
      </c>
      <c r="U51" s="52">
        <v>100</v>
      </c>
      <c r="V51" s="43" t="s">
        <v>544</v>
      </c>
      <c r="W51" s="26" t="s">
        <v>396</v>
      </c>
      <c r="X51" s="26" t="s">
        <v>291</v>
      </c>
      <c r="Y51" s="43">
        <v>16</v>
      </c>
      <c r="Z51" s="66" t="s">
        <v>790</v>
      </c>
      <c r="AA51" s="67">
        <v>120</v>
      </c>
      <c r="AB51" s="43">
        <f t="shared" si="1"/>
        <v>136</v>
      </c>
      <c r="AC51" s="26">
        <v>17.95</v>
      </c>
      <c r="AD51" s="28">
        <f t="shared" si="0"/>
        <v>18.8475</v>
      </c>
      <c r="AE51" s="28">
        <v>0.5</v>
      </c>
      <c r="AF51" s="28">
        <f t="shared" si="2"/>
        <v>19.3475</v>
      </c>
      <c r="AG51" s="46">
        <v>13.1</v>
      </c>
      <c r="AH51" s="134">
        <f t="shared" si="3"/>
        <v>1392.53</v>
      </c>
      <c r="AI51" s="26"/>
      <c r="AJ51" s="27">
        <v>425191</v>
      </c>
      <c r="AK51" s="28">
        <f t="shared" si="4"/>
        <v>118.10861111111112</v>
      </c>
      <c r="AL51" s="146">
        <v>118.5</v>
      </c>
      <c r="AM51" s="26">
        <v>49.1</v>
      </c>
      <c r="AN51" s="26">
        <v>106.3</v>
      </c>
      <c r="AO51" s="26" t="s">
        <v>97</v>
      </c>
      <c r="AP51" s="26" t="s">
        <v>146</v>
      </c>
      <c r="AQ51" s="43">
        <v>3</v>
      </c>
      <c r="AR51" s="29">
        <f t="shared" si="5"/>
        <v>17.521597228185321</v>
      </c>
      <c r="AS51" s="26">
        <v>241</v>
      </c>
      <c r="AT51" s="26"/>
      <c r="AU51" s="43">
        <f>AA51+30+AQ51</f>
        <v>153</v>
      </c>
      <c r="AV51" s="26"/>
    </row>
    <row r="52" spans="1:48" ht="49.5" x14ac:dyDescent="0.25">
      <c r="A52" s="11">
        <v>53</v>
      </c>
      <c r="B52" s="195" t="s">
        <v>147</v>
      </c>
      <c r="C52" s="49" t="s">
        <v>521</v>
      </c>
      <c r="D52" s="129">
        <v>1</v>
      </c>
      <c r="E52" s="49" t="s">
        <v>521</v>
      </c>
      <c r="F52" s="128" t="s">
        <v>148</v>
      </c>
      <c r="G52" s="25" t="s">
        <v>149</v>
      </c>
      <c r="H52" s="151" t="s">
        <v>286</v>
      </c>
      <c r="I52" s="117" t="s">
        <v>701</v>
      </c>
      <c r="J52" s="74" t="s">
        <v>701</v>
      </c>
      <c r="K52" s="49">
        <v>1</v>
      </c>
      <c r="L52" s="74">
        <v>210.7</v>
      </c>
      <c r="M52" s="97">
        <v>13.2</v>
      </c>
      <c r="N52" s="97">
        <v>39.5</v>
      </c>
      <c r="O52" s="123"/>
      <c r="P52" s="23"/>
      <c r="Q52" s="36" t="s">
        <v>617</v>
      </c>
      <c r="R52" s="26" t="s">
        <v>11</v>
      </c>
      <c r="S52" s="66" t="s">
        <v>150</v>
      </c>
      <c r="T52" s="66" t="s">
        <v>151</v>
      </c>
      <c r="U52" s="52">
        <v>100</v>
      </c>
      <c r="V52" s="43" t="s">
        <v>544</v>
      </c>
      <c r="W52" s="26" t="s">
        <v>397</v>
      </c>
      <c r="X52" s="26" t="s">
        <v>224</v>
      </c>
      <c r="Y52" s="43">
        <v>3</v>
      </c>
      <c r="Z52" s="66" t="s">
        <v>791</v>
      </c>
      <c r="AA52" s="67">
        <v>120</v>
      </c>
      <c r="AB52" s="43">
        <f t="shared" si="1"/>
        <v>123</v>
      </c>
      <c r="AC52" s="26">
        <v>10.48</v>
      </c>
      <c r="AD52" s="28">
        <f t="shared" si="0"/>
        <v>11.004000000000001</v>
      </c>
      <c r="AE52" s="28">
        <v>203.3</v>
      </c>
      <c r="AF52" s="28">
        <f t="shared" si="2"/>
        <v>214.304</v>
      </c>
      <c r="AG52" s="46">
        <v>34.299999999999997</v>
      </c>
      <c r="AH52" s="134">
        <f t="shared" si="3"/>
        <v>1251.9499999999998</v>
      </c>
      <c r="AI52" s="30"/>
      <c r="AJ52" s="37">
        <v>2069</v>
      </c>
      <c r="AK52" s="46">
        <f t="shared" si="4"/>
        <v>0.57472222222222225</v>
      </c>
      <c r="AL52" s="146">
        <v>2.2000000000000002</v>
      </c>
      <c r="AM52" s="30">
        <v>45</v>
      </c>
      <c r="AN52" s="30">
        <v>36.5</v>
      </c>
      <c r="AO52" s="26" t="s">
        <v>311</v>
      </c>
      <c r="AP52" s="36" t="s">
        <v>225</v>
      </c>
      <c r="AQ52" s="36">
        <v>26</v>
      </c>
      <c r="AR52" s="38">
        <v>660.4</v>
      </c>
      <c r="AS52" s="39" t="s">
        <v>62</v>
      </c>
      <c r="AT52" s="40" t="s">
        <v>299</v>
      </c>
      <c r="AU52" s="43">
        <f>AA52+30+AQ52</f>
        <v>176</v>
      </c>
      <c r="AV52" s="26"/>
    </row>
    <row r="53" spans="1:48" ht="49.5" x14ac:dyDescent="0.25">
      <c r="A53" s="11">
        <v>54</v>
      </c>
      <c r="B53" s="195"/>
      <c r="C53" s="49" t="s">
        <v>522</v>
      </c>
      <c r="D53" s="129">
        <v>1</v>
      </c>
      <c r="E53" s="49" t="s">
        <v>522</v>
      </c>
      <c r="F53" s="128" t="s">
        <v>148</v>
      </c>
      <c r="G53" s="25" t="s">
        <v>149</v>
      </c>
      <c r="H53" s="151" t="s">
        <v>286</v>
      </c>
      <c r="I53" s="117" t="s">
        <v>702</v>
      </c>
      <c r="J53" s="74" t="s">
        <v>702</v>
      </c>
      <c r="K53" s="49">
        <v>1</v>
      </c>
      <c r="L53" s="74">
        <v>205.1</v>
      </c>
      <c r="M53" s="97">
        <v>10.5</v>
      </c>
      <c r="N53" s="97">
        <v>36.1</v>
      </c>
      <c r="O53" s="123"/>
      <c r="P53" s="23"/>
      <c r="Q53" s="41" t="s">
        <v>619</v>
      </c>
      <c r="R53" s="26" t="s">
        <v>24</v>
      </c>
      <c r="S53" s="66" t="s">
        <v>150</v>
      </c>
      <c r="T53" s="66" t="s">
        <v>151</v>
      </c>
      <c r="U53" s="52">
        <v>100</v>
      </c>
      <c r="V53" s="43" t="s">
        <v>544</v>
      </c>
      <c r="W53" s="26" t="s">
        <v>398</v>
      </c>
      <c r="X53" s="26" t="s">
        <v>152</v>
      </c>
      <c r="Y53" s="43">
        <v>6</v>
      </c>
      <c r="Z53" s="66" t="s">
        <v>792</v>
      </c>
      <c r="AA53" s="67">
        <v>120</v>
      </c>
      <c r="AB53" s="43">
        <f t="shared" si="1"/>
        <v>126</v>
      </c>
      <c r="AC53" s="26">
        <v>0.14000000000000001</v>
      </c>
      <c r="AD53" s="28">
        <f t="shared" si="0"/>
        <v>0.14700000000000002</v>
      </c>
      <c r="AE53" s="28">
        <v>42.8</v>
      </c>
      <c r="AF53" s="28">
        <f t="shared" si="2"/>
        <v>42.946999999999996</v>
      </c>
      <c r="AG53" s="46">
        <v>20.6</v>
      </c>
      <c r="AH53" s="134">
        <f t="shared" si="3"/>
        <v>14862.900000000001</v>
      </c>
      <c r="AI53" s="30"/>
      <c r="AJ53" s="31">
        <f>53.9*AN53</f>
        <v>38888.85</v>
      </c>
      <c r="AK53" s="37">
        <f>AJ53/3600</f>
        <v>10.802458333333332</v>
      </c>
      <c r="AL53" s="146">
        <v>2.2000000000000002</v>
      </c>
      <c r="AM53" s="30">
        <v>45</v>
      </c>
      <c r="AN53" s="30">
        <v>721.5</v>
      </c>
      <c r="AO53" s="26" t="s">
        <v>311</v>
      </c>
      <c r="AP53" s="36" t="s">
        <v>27</v>
      </c>
      <c r="AQ53" s="32" t="s">
        <v>27</v>
      </c>
      <c r="AR53" s="38">
        <f t="shared" si="5"/>
        <v>0</v>
      </c>
      <c r="AS53" s="26">
        <v>0</v>
      </c>
      <c r="AT53" s="26"/>
      <c r="AU53" s="32" t="s">
        <v>556</v>
      </c>
      <c r="AV53" s="26"/>
    </row>
    <row r="54" spans="1:48" ht="49.5" x14ac:dyDescent="0.25">
      <c r="A54" s="11">
        <v>55</v>
      </c>
      <c r="B54" s="195" t="s">
        <v>153</v>
      </c>
      <c r="C54" s="49" t="s">
        <v>523</v>
      </c>
      <c r="D54" s="129">
        <v>1</v>
      </c>
      <c r="E54" s="49" t="s">
        <v>523</v>
      </c>
      <c r="F54" s="128" t="s">
        <v>154</v>
      </c>
      <c r="G54" s="25" t="s">
        <v>149</v>
      </c>
      <c r="H54" s="151" t="s">
        <v>286</v>
      </c>
      <c r="I54" s="117" t="s">
        <v>823</v>
      </c>
      <c r="J54" s="74" t="s">
        <v>823</v>
      </c>
      <c r="K54" s="49">
        <v>1</v>
      </c>
      <c r="L54" s="74">
        <v>207.6</v>
      </c>
      <c r="M54" s="97">
        <v>21.2</v>
      </c>
      <c r="N54" s="97">
        <v>36.5</v>
      </c>
      <c r="O54" s="123"/>
      <c r="P54" s="23"/>
      <c r="Q54" s="42" t="s">
        <v>620</v>
      </c>
      <c r="R54" s="26" t="s">
        <v>11</v>
      </c>
      <c r="S54" s="66" t="s">
        <v>155</v>
      </c>
      <c r="T54" s="66" t="s">
        <v>156</v>
      </c>
      <c r="U54" s="52">
        <v>100</v>
      </c>
      <c r="V54" s="43" t="s">
        <v>544</v>
      </c>
      <c r="W54" s="26" t="s">
        <v>399</v>
      </c>
      <c r="X54" s="26" t="s">
        <v>227</v>
      </c>
      <c r="Y54" s="43">
        <v>8</v>
      </c>
      <c r="Z54" s="66" t="s">
        <v>264</v>
      </c>
      <c r="AA54" s="67">
        <v>120</v>
      </c>
      <c r="AB54" s="43">
        <f t="shared" si="1"/>
        <v>128</v>
      </c>
      <c r="AC54" s="26">
        <v>0.4</v>
      </c>
      <c r="AD54" s="28">
        <f t="shared" si="0"/>
        <v>0.42000000000000004</v>
      </c>
      <c r="AE54" s="46">
        <v>59.8</v>
      </c>
      <c r="AF54" s="28">
        <f t="shared" si="2"/>
        <v>60.22</v>
      </c>
      <c r="AG54" s="46">
        <v>2.5</v>
      </c>
      <c r="AH54" s="134">
        <f t="shared" si="3"/>
        <v>91.25</v>
      </c>
      <c r="AI54" s="30"/>
      <c r="AJ54" s="37">
        <v>2069</v>
      </c>
      <c r="AK54" s="46">
        <f t="shared" si="4"/>
        <v>0.57472222222222225</v>
      </c>
      <c r="AL54" s="146">
        <v>1.2</v>
      </c>
      <c r="AM54" s="30">
        <v>45</v>
      </c>
      <c r="AN54" s="30">
        <v>36.5</v>
      </c>
      <c r="AO54" s="26" t="s">
        <v>312</v>
      </c>
      <c r="AP54" s="36" t="s">
        <v>228</v>
      </c>
      <c r="AQ54" s="36">
        <v>10</v>
      </c>
      <c r="AR54" s="38">
        <v>254</v>
      </c>
      <c r="AS54" s="39" t="s">
        <v>62</v>
      </c>
      <c r="AT54" s="40" t="s">
        <v>299</v>
      </c>
      <c r="AU54" s="43">
        <f>AA54+30+AQ54</f>
        <v>160</v>
      </c>
      <c r="AV54" s="26"/>
    </row>
    <row r="55" spans="1:48" ht="49.5" x14ac:dyDescent="0.25">
      <c r="A55" s="11">
        <v>56</v>
      </c>
      <c r="B55" s="195"/>
      <c r="C55" s="49" t="s">
        <v>524</v>
      </c>
      <c r="D55" s="129">
        <v>1</v>
      </c>
      <c r="E55" s="49" t="s">
        <v>524</v>
      </c>
      <c r="F55" s="128" t="s">
        <v>154</v>
      </c>
      <c r="G55" s="25" t="s">
        <v>149</v>
      </c>
      <c r="H55" s="151" t="s">
        <v>286</v>
      </c>
      <c r="I55" s="117" t="s">
        <v>824</v>
      </c>
      <c r="J55" s="74" t="s">
        <v>824</v>
      </c>
      <c r="K55" s="49">
        <v>1</v>
      </c>
      <c r="L55" s="74">
        <v>206.1</v>
      </c>
      <c r="M55" s="97">
        <v>23.2</v>
      </c>
      <c r="N55" s="97">
        <v>34.299999999999997</v>
      </c>
      <c r="O55" s="123"/>
      <c r="P55" s="23"/>
      <c r="Q55" s="41" t="s">
        <v>621</v>
      </c>
      <c r="R55" s="26" t="s">
        <v>24</v>
      </c>
      <c r="S55" s="66" t="s">
        <v>155</v>
      </c>
      <c r="T55" s="66" t="s">
        <v>156</v>
      </c>
      <c r="U55" s="52">
        <v>100</v>
      </c>
      <c r="V55" s="43" t="s">
        <v>544</v>
      </c>
      <c r="W55" s="26" t="s">
        <v>400</v>
      </c>
      <c r="X55" s="26" t="s">
        <v>226</v>
      </c>
      <c r="Y55" s="43">
        <v>4</v>
      </c>
      <c r="Z55" s="66" t="s">
        <v>793</v>
      </c>
      <c r="AA55" s="67">
        <v>120</v>
      </c>
      <c r="AB55" s="43">
        <f t="shared" si="1"/>
        <v>124</v>
      </c>
      <c r="AC55" s="26">
        <v>0.1</v>
      </c>
      <c r="AD55" s="28">
        <f t="shared" si="0"/>
        <v>0.10500000000000001</v>
      </c>
      <c r="AE55" s="28">
        <v>9.1999999999999993</v>
      </c>
      <c r="AF55" s="28">
        <f t="shared" si="2"/>
        <v>9.3049999999999997</v>
      </c>
      <c r="AG55" s="46">
        <v>20.6</v>
      </c>
      <c r="AH55" s="134">
        <f t="shared" si="3"/>
        <v>15497.380000000001</v>
      </c>
      <c r="AI55" s="30"/>
      <c r="AJ55" s="31">
        <f>18*AN55</f>
        <v>13541.4</v>
      </c>
      <c r="AK55" s="63">
        <f>AJ55/3600</f>
        <v>3.7614999999999998</v>
      </c>
      <c r="AL55" s="146">
        <v>1.2</v>
      </c>
      <c r="AM55" s="30">
        <v>45</v>
      </c>
      <c r="AN55" s="30">
        <v>752.3</v>
      </c>
      <c r="AO55" s="26" t="s">
        <v>312</v>
      </c>
      <c r="AP55" s="26" t="s">
        <v>27</v>
      </c>
      <c r="AQ55" s="32" t="s">
        <v>27</v>
      </c>
      <c r="AR55" s="29">
        <f t="shared" si="5"/>
        <v>0</v>
      </c>
      <c r="AS55" s="26">
        <v>0</v>
      </c>
      <c r="AT55" s="26"/>
      <c r="AU55" s="32" t="s">
        <v>556</v>
      </c>
      <c r="AV55" s="26"/>
    </row>
    <row r="56" spans="1:48" s="20" customFormat="1" ht="49.5" x14ac:dyDescent="0.25">
      <c r="A56" s="22">
        <v>9</v>
      </c>
      <c r="B56" s="114" t="s">
        <v>157</v>
      </c>
      <c r="C56" s="49" t="s">
        <v>525</v>
      </c>
      <c r="D56" s="129">
        <v>1</v>
      </c>
      <c r="E56" s="49" t="s">
        <v>525</v>
      </c>
      <c r="F56" s="49" t="s">
        <v>158</v>
      </c>
      <c r="G56" s="25" t="s">
        <v>66</v>
      </c>
      <c r="H56" s="25" t="s">
        <v>285</v>
      </c>
      <c r="I56" s="49" t="s">
        <v>245</v>
      </c>
      <c r="J56" s="49" t="s">
        <v>245</v>
      </c>
      <c r="K56" s="49">
        <v>1</v>
      </c>
      <c r="L56" s="49">
        <v>127.4</v>
      </c>
      <c r="M56" s="49">
        <v>22.2</v>
      </c>
      <c r="N56" s="49">
        <v>45.1</v>
      </c>
      <c r="O56" s="122"/>
      <c r="P56" s="25"/>
      <c r="Q56" s="36">
        <v>21</v>
      </c>
      <c r="R56" s="30" t="s">
        <v>11</v>
      </c>
      <c r="S56" s="49" t="s">
        <v>244</v>
      </c>
      <c r="T56" s="49" t="s">
        <v>245</v>
      </c>
      <c r="U56" s="52">
        <v>100</v>
      </c>
      <c r="V56" s="43" t="s">
        <v>544</v>
      </c>
      <c r="W56" s="30" t="s">
        <v>401</v>
      </c>
      <c r="X56" s="30" t="s">
        <v>243</v>
      </c>
      <c r="Y56" s="30">
        <v>8</v>
      </c>
      <c r="Z56" s="49" t="s">
        <v>479</v>
      </c>
      <c r="AA56" s="67">
        <v>120</v>
      </c>
      <c r="AB56" s="43">
        <f t="shared" si="1"/>
        <v>128</v>
      </c>
      <c r="AC56" s="30">
        <v>0.5</v>
      </c>
      <c r="AD56" s="28">
        <f t="shared" si="0"/>
        <v>0.52500000000000002</v>
      </c>
      <c r="AE56" s="46">
        <v>2</v>
      </c>
      <c r="AF56" s="28">
        <f t="shared" si="2"/>
        <v>2.5249999999999999</v>
      </c>
      <c r="AG56" s="46">
        <v>60.2</v>
      </c>
      <c r="AH56" s="134">
        <f t="shared" si="3"/>
        <v>66.220000000000013</v>
      </c>
      <c r="AI56" s="30"/>
      <c r="AJ56" s="37">
        <v>1467</v>
      </c>
      <c r="AK56" s="46">
        <f t="shared" si="4"/>
        <v>0.40749999999999997</v>
      </c>
      <c r="AL56" s="146">
        <v>2</v>
      </c>
      <c r="AM56" s="30">
        <v>162.1</v>
      </c>
      <c r="AN56" s="30">
        <v>1.1000000000000001</v>
      </c>
      <c r="AO56" s="30" t="s">
        <v>313</v>
      </c>
      <c r="AP56" s="30" t="s">
        <v>27</v>
      </c>
      <c r="AQ56" s="32" t="s">
        <v>27</v>
      </c>
      <c r="AR56" s="29">
        <f t="shared" si="5"/>
        <v>0</v>
      </c>
      <c r="AS56" s="30">
        <v>0</v>
      </c>
      <c r="AT56" s="30"/>
      <c r="AU56" s="32" t="s">
        <v>556</v>
      </c>
      <c r="AV56" s="30"/>
    </row>
    <row r="57" spans="1:48" ht="66" x14ac:dyDescent="0.25">
      <c r="A57" s="11">
        <v>10</v>
      </c>
      <c r="B57" s="113" t="s">
        <v>159</v>
      </c>
      <c r="C57" s="117" t="s">
        <v>555</v>
      </c>
      <c r="D57" s="128">
        <v>1</v>
      </c>
      <c r="E57" s="117" t="s">
        <v>555</v>
      </c>
      <c r="F57" s="117" t="s">
        <v>456</v>
      </c>
      <c r="G57" s="25" t="s">
        <v>66</v>
      </c>
      <c r="H57" s="25" t="s">
        <v>285</v>
      </c>
      <c r="I57" s="117" t="s">
        <v>444</v>
      </c>
      <c r="J57" s="74" t="s">
        <v>161</v>
      </c>
      <c r="K57" s="49">
        <v>1</v>
      </c>
      <c r="L57" s="74">
        <v>133.69999999999999</v>
      </c>
      <c r="M57" s="97">
        <v>11.1</v>
      </c>
      <c r="N57" s="97">
        <v>45.4</v>
      </c>
      <c r="O57" s="123"/>
      <c r="P57" s="23"/>
      <c r="Q57" s="26">
        <v>259</v>
      </c>
      <c r="R57" s="26" t="s">
        <v>11</v>
      </c>
      <c r="S57" s="66" t="s">
        <v>160</v>
      </c>
      <c r="T57" s="66" t="s">
        <v>161</v>
      </c>
      <c r="U57" s="52">
        <v>100</v>
      </c>
      <c r="V57" s="43" t="s">
        <v>544</v>
      </c>
      <c r="W57" s="26" t="s">
        <v>402</v>
      </c>
      <c r="X57" s="26" t="s">
        <v>229</v>
      </c>
      <c r="Y57" s="43">
        <v>3</v>
      </c>
      <c r="Z57" s="66" t="s">
        <v>794</v>
      </c>
      <c r="AA57" s="67">
        <v>120</v>
      </c>
      <c r="AB57" s="43">
        <f t="shared" si="1"/>
        <v>123</v>
      </c>
      <c r="AC57" s="26">
        <v>0.46</v>
      </c>
      <c r="AD57" s="28">
        <f t="shared" si="0"/>
        <v>0.48300000000000004</v>
      </c>
      <c r="AE57" s="28">
        <v>1</v>
      </c>
      <c r="AF57" s="28">
        <f t="shared" si="2"/>
        <v>1.4830000000000001</v>
      </c>
      <c r="AG57" s="46">
        <v>13.1</v>
      </c>
      <c r="AH57" s="134">
        <f t="shared" si="3"/>
        <v>1409.56</v>
      </c>
      <c r="AI57" s="30"/>
      <c r="AJ57" s="31">
        <v>425191</v>
      </c>
      <c r="AK57" s="46">
        <f t="shared" si="4"/>
        <v>118.10861111111112</v>
      </c>
      <c r="AL57" s="146">
        <v>220.2</v>
      </c>
      <c r="AM57" s="26">
        <v>49.6</v>
      </c>
      <c r="AN57" s="26">
        <v>107.6</v>
      </c>
      <c r="AO57" s="26" t="s">
        <v>162</v>
      </c>
      <c r="AP57" s="26" t="s">
        <v>230</v>
      </c>
      <c r="AQ57" s="43">
        <v>2</v>
      </c>
      <c r="AR57" s="29">
        <f t="shared" si="5"/>
        <v>5.9723353731113589</v>
      </c>
      <c r="AS57" s="26">
        <v>28</v>
      </c>
      <c r="AT57" s="26"/>
      <c r="AU57" s="43">
        <f>AA57+30+AQ57</f>
        <v>152</v>
      </c>
      <c r="AV57" s="26"/>
    </row>
    <row r="58" spans="1:48" ht="198" x14ac:dyDescent="0.25">
      <c r="A58" s="11">
        <v>11</v>
      </c>
      <c r="B58" s="196" t="s">
        <v>163</v>
      </c>
      <c r="C58" s="117" t="s">
        <v>526</v>
      </c>
      <c r="D58" s="128">
        <v>1</v>
      </c>
      <c r="E58" s="117" t="s">
        <v>526</v>
      </c>
      <c r="F58" s="117" t="s">
        <v>446</v>
      </c>
      <c r="G58" s="25" t="s">
        <v>66</v>
      </c>
      <c r="H58" s="25" t="s">
        <v>285</v>
      </c>
      <c r="I58" s="117" t="s">
        <v>445</v>
      </c>
      <c r="J58" s="74" t="s">
        <v>705</v>
      </c>
      <c r="K58" s="49">
        <v>1</v>
      </c>
      <c r="L58" s="74">
        <v>125.5</v>
      </c>
      <c r="M58" s="97">
        <v>8.5</v>
      </c>
      <c r="N58" s="97">
        <v>44.8</v>
      </c>
      <c r="O58" s="123"/>
      <c r="P58" s="23"/>
      <c r="Q58" s="26">
        <v>403</v>
      </c>
      <c r="R58" s="26" t="s">
        <v>11</v>
      </c>
      <c r="S58" s="66" t="s">
        <v>164</v>
      </c>
      <c r="T58" s="66" t="s">
        <v>165</v>
      </c>
      <c r="U58" s="52">
        <v>100</v>
      </c>
      <c r="V58" s="43" t="s">
        <v>544</v>
      </c>
      <c r="W58" s="26" t="s">
        <v>403</v>
      </c>
      <c r="X58" s="26" t="s">
        <v>455</v>
      </c>
      <c r="Y58" s="43">
        <v>4</v>
      </c>
      <c r="Z58" s="66" t="s">
        <v>795</v>
      </c>
      <c r="AA58" s="67">
        <v>120</v>
      </c>
      <c r="AB58" s="43">
        <f t="shared" si="1"/>
        <v>124</v>
      </c>
      <c r="AC58" s="26">
        <v>3.05</v>
      </c>
      <c r="AD58" s="28">
        <f t="shared" si="0"/>
        <v>3.2025000000000001</v>
      </c>
      <c r="AE58" s="28">
        <v>66.05</v>
      </c>
      <c r="AF58" s="28">
        <f t="shared" si="2"/>
        <v>69.252499999999998</v>
      </c>
      <c r="AG58" s="46">
        <v>69.900000000000006</v>
      </c>
      <c r="AH58" s="134">
        <f t="shared" si="3"/>
        <v>3075.6000000000004</v>
      </c>
      <c r="AI58" s="30"/>
      <c r="AJ58" s="31">
        <v>14069</v>
      </c>
      <c r="AK58" s="46">
        <f t="shared" si="4"/>
        <v>3.9080555555555554</v>
      </c>
      <c r="AL58" s="146">
        <v>45.9</v>
      </c>
      <c r="AM58" s="26">
        <v>16.600000000000001</v>
      </c>
      <c r="AN58" s="26">
        <v>44</v>
      </c>
      <c r="AO58" s="26" t="s">
        <v>166</v>
      </c>
      <c r="AP58" s="26" t="s">
        <v>167</v>
      </c>
      <c r="AQ58" s="43">
        <v>6</v>
      </c>
      <c r="AR58" s="29">
        <f t="shared" si="5"/>
        <v>37.755499030026996</v>
      </c>
      <c r="AS58" s="26">
        <v>1119</v>
      </c>
      <c r="AT58" s="26"/>
      <c r="AU58" s="43">
        <f>AA58+30+AQ58</f>
        <v>156</v>
      </c>
      <c r="AV58" s="26"/>
    </row>
    <row r="59" spans="1:48" s="135" customFormat="1" ht="49.5" x14ac:dyDescent="0.25">
      <c r="A59" s="135">
        <v>12</v>
      </c>
      <c r="B59" s="199"/>
      <c r="C59" s="136" t="s">
        <v>527</v>
      </c>
      <c r="D59" s="136">
        <v>1</v>
      </c>
      <c r="E59" s="136" t="s">
        <v>527</v>
      </c>
      <c r="F59" s="136" t="s">
        <v>447</v>
      </c>
      <c r="G59" s="125" t="s">
        <v>66</v>
      </c>
      <c r="H59" s="125" t="s">
        <v>286</v>
      </c>
      <c r="I59" s="136" t="s">
        <v>704</v>
      </c>
      <c r="J59" s="136" t="s">
        <v>703</v>
      </c>
      <c r="K59" s="136">
        <v>1</v>
      </c>
      <c r="L59" s="136">
        <v>122</v>
      </c>
      <c r="M59" s="136">
        <v>7.2</v>
      </c>
      <c r="N59" s="136">
        <v>39.700000000000003</v>
      </c>
      <c r="O59" s="136"/>
      <c r="P59" s="125"/>
      <c r="Q59" s="35">
        <v>408</v>
      </c>
      <c r="R59" s="35" t="s">
        <v>24</v>
      </c>
      <c r="S59" s="136" t="s">
        <v>314</v>
      </c>
      <c r="T59" s="136" t="s">
        <v>165</v>
      </c>
      <c r="U59" s="137">
        <v>100</v>
      </c>
      <c r="V59" s="35" t="s">
        <v>544</v>
      </c>
      <c r="W59" s="35" t="s">
        <v>404</v>
      </c>
      <c r="X59" s="35" t="s">
        <v>265</v>
      </c>
      <c r="Y59" s="35">
        <v>2</v>
      </c>
      <c r="Z59" s="136" t="s">
        <v>796</v>
      </c>
      <c r="AA59" s="138">
        <v>120</v>
      </c>
      <c r="AB59" s="35">
        <f t="shared" si="1"/>
        <v>122</v>
      </c>
      <c r="AC59" s="35">
        <v>0.03</v>
      </c>
      <c r="AD59" s="139">
        <f t="shared" si="0"/>
        <v>3.15E-2</v>
      </c>
      <c r="AE59" s="139">
        <v>11.5</v>
      </c>
      <c r="AF59" s="139">
        <f t="shared" si="2"/>
        <v>11.531499999999999</v>
      </c>
      <c r="AG59" s="139">
        <v>22.7</v>
      </c>
      <c r="AH59" s="134">
        <f t="shared" si="3"/>
        <v>14378.179999999998</v>
      </c>
      <c r="AI59" s="35"/>
      <c r="AJ59" s="140">
        <v>479</v>
      </c>
      <c r="AK59" s="139">
        <f t="shared" si="4"/>
        <v>0.13305555555555557</v>
      </c>
      <c r="AL59" s="146">
        <v>46</v>
      </c>
      <c r="AM59" s="35">
        <v>16.7</v>
      </c>
      <c r="AN59" s="35">
        <v>633.4</v>
      </c>
      <c r="AO59" s="35" t="s">
        <v>166</v>
      </c>
      <c r="AP59" s="35" t="s">
        <v>27</v>
      </c>
      <c r="AQ59" s="35" t="s">
        <v>27</v>
      </c>
      <c r="AR59" s="141">
        <f t="shared" si="5"/>
        <v>0</v>
      </c>
      <c r="AS59" s="35"/>
      <c r="AT59" s="35"/>
      <c r="AU59" s="142" t="s">
        <v>556</v>
      </c>
      <c r="AV59" s="35"/>
    </row>
    <row r="60" spans="1:48" ht="115.5" x14ac:dyDescent="0.25">
      <c r="A60" s="11">
        <v>13</v>
      </c>
      <c r="B60" s="99" t="s">
        <v>231</v>
      </c>
      <c r="C60" s="117" t="s">
        <v>528</v>
      </c>
      <c r="D60" s="128">
        <v>1</v>
      </c>
      <c r="E60" s="117" t="s">
        <v>528</v>
      </c>
      <c r="F60" s="117" t="s">
        <v>449</v>
      </c>
      <c r="G60" s="25" t="s">
        <v>66</v>
      </c>
      <c r="H60" s="25" t="s">
        <v>285</v>
      </c>
      <c r="I60" s="117" t="s">
        <v>707</v>
      </c>
      <c r="J60" s="74" t="s">
        <v>706</v>
      </c>
      <c r="K60" s="49">
        <v>1</v>
      </c>
      <c r="L60" s="74">
        <v>129.1</v>
      </c>
      <c r="M60" s="97">
        <v>7.1</v>
      </c>
      <c r="N60" s="97">
        <v>44.6</v>
      </c>
      <c r="O60" s="123"/>
      <c r="P60" s="23"/>
      <c r="Q60" s="36">
        <v>405</v>
      </c>
      <c r="R60" s="26" t="s">
        <v>11</v>
      </c>
      <c r="S60" s="66" t="s">
        <v>232</v>
      </c>
      <c r="T60" s="66" t="s">
        <v>96</v>
      </c>
      <c r="U60" s="52">
        <v>100</v>
      </c>
      <c r="V60" s="43" t="s">
        <v>544</v>
      </c>
      <c r="W60" s="26" t="s">
        <v>405</v>
      </c>
      <c r="X60" s="26" t="s">
        <v>480</v>
      </c>
      <c r="Y60" s="43">
        <v>2</v>
      </c>
      <c r="Z60" s="66" t="s">
        <v>797</v>
      </c>
      <c r="AA60" s="67">
        <v>120</v>
      </c>
      <c r="AB60" s="43">
        <f t="shared" si="1"/>
        <v>122</v>
      </c>
      <c r="AC60" s="30">
        <v>1</v>
      </c>
      <c r="AD60" s="28">
        <f t="shared" si="0"/>
        <v>1.05</v>
      </c>
      <c r="AE60" s="46"/>
      <c r="AF60" s="28">
        <f t="shared" si="2"/>
        <v>1.05</v>
      </c>
      <c r="AG60" s="46">
        <v>69.3</v>
      </c>
      <c r="AH60" s="134">
        <f t="shared" si="3"/>
        <v>2529.4499999999998</v>
      </c>
      <c r="AI60" s="30"/>
      <c r="AJ60" s="31">
        <v>2069</v>
      </c>
      <c r="AK60" s="46">
        <f t="shared" si="4"/>
        <v>0.57472222222222225</v>
      </c>
      <c r="AL60" s="146">
        <v>44.9</v>
      </c>
      <c r="AM60" s="26">
        <v>49.6</v>
      </c>
      <c r="AN60" s="26">
        <v>36.5</v>
      </c>
      <c r="AO60" s="26" t="s">
        <v>97</v>
      </c>
      <c r="AP60" s="26" t="s">
        <v>27</v>
      </c>
      <c r="AQ60" s="43" t="s">
        <v>27</v>
      </c>
      <c r="AR60" s="29">
        <f t="shared" si="5"/>
        <v>0</v>
      </c>
      <c r="AS60" s="26"/>
      <c r="AT60" s="26"/>
      <c r="AU60" s="32" t="s">
        <v>556</v>
      </c>
      <c r="AV60" s="26"/>
    </row>
    <row r="61" spans="1:48" ht="99" x14ac:dyDescent="0.25">
      <c r="A61" s="11">
        <v>25</v>
      </c>
      <c r="B61" s="101" t="s">
        <v>454</v>
      </c>
      <c r="C61" s="117" t="s">
        <v>529</v>
      </c>
      <c r="D61" s="128">
        <v>1</v>
      </c>
      <c r="E61" s="117" t="s">
        <v>529</v>
      </c>
      <c r="F61" s="117" t="s">
        <v>448</v>
      </c>
      <c r="G61" s="25" t="s">
        <v>427</v>
      </c>
      <c r="H61" s="25" t="s">
        <v>286</v>
      </c>
      <c r="I61" s="117" t="s">
        <v>430</v>
      </c>
      <c r="J61" s="74" t="s">
        <v>825</v>
      </c>
      <c r="K61" s="49">
        <v>1</v>
      </c>
      <c r="L61" s="74">
        <v>77.900000000000006</v>
      </c>
      <c r="M61" s="97">
        <v>-22.2</v>
      </c>
      <c r="N61" s="97">
        <v>35.5</v>
      </c>
      <c r="O61" s="123"/>
      <c r="P61" s="23"/>
      <c r="Q61" s="26">
        <v>415</v>
      </c>
      <c r="R61" s="26" t="s">
        <v>11</v>
      </c>
      <c r="S61" s="66" t="s">
        <v>450</v>
      </c>
      <c r="T61" s="66" t="s">
        <v>451</v>
      </c>
      <c r="U61" s="52">
        <v>100</v>
      </c>
      <c r="V61" s="43" t="s">
        <v>544</v>
      </c>
      <c r="W61" s="26" t="s">
        <v>452</v>
      </c>
      <c r="X61" s="26" t="s">
        <v>453</v>
      </c>
      <c r="Y61" s="43">
        <v>4</v>
      </c>
      <c r="Z61" s="66" t="s">
        <v>798</v>
      </c>
      <c r="AA61" s="67">
        <v>120</v>
      </c>
      <c r="AB61" s="43">
        <f t="shared" si="1"/>
        <v>124</v>
      </c>
      <c r="AC61" s="26">
        <v>1</v>
      </c>
      <c r="AD61" s="28">
        <f t="shared" si="0"/>
        <v>1.05</v>
      </c>
      <c r="AE61" s="28">
        <v>20</v>
      </c>
      <c r="AF61" s="28">
        <f t="shared" si="2"/>
        <v>21.05</v>
      </c>
      <c r="AG61" s="46">
        <v>69.3</v>
      </c>
      <c r="AH61" s="134">
        <f t="shared" si="3"/>
        <v>2508.6600000000003</v>
      </c>
      <c r="AI61" s="30"/>
      <c r="AJ61" s="31">
        <v>12000</v>
      </c>
      <c r="AK61" s="46">
        <f t="shared" si="4"/>
        <v>3.3333333333333335</v>
      </c>
      <c r="AL61" s="146">
        <v>44.5</v>
      </c>
      <c r="AM61" s="26">
        <v>49.4</v>
      </c>
      <c r="AN61" s="26">
        <v>36.200000000000003</v>
      </c>
      <c r="AO61" s="26" t="s">
        <v>97</v>
      </c>
      <c r="AP61" s="26" t="s">
        <v>27</v>
      </c>
      <c r="AQ61" s="43" t="s">
        <v>27</v>
      </c>
      <c r="AR61" s="29">
        <f t="shared" si="5"/>
        <v>0</v>
      </c>
      <c r="AS61" s="26"/>
      <c r="AT61" s="26"/>
      <c r="AU61" s="32" t="s">
        <v>556</v>
      </c>
      <c r="AV61" s="26"/>
    </row>
    <row r="62" spans="1:48" ht="66" x14ac:dyDescent="0.25">
      <c r="A62" s="11">
        <v>1</v>
      </c>
      <c r="B62" s="196" t="s">
        <v>168</v>
      </c>
      <c r="C62" s="117" t="s">
        <v>530</v>
      </c>
      <c r="D62" s="128">
        <v>1</v>
      </c>
      <c r="E62" s="117" t="s">
        <v>530</v>
      </c>
      <c r="F62" s="117" t="s">
        <v>413</v>
      </c>
      <c r="G62" s="25" t="s">
        <v>169</v>
      </c>
      <c r="H62" s="25" t="s">
        <v>285</v>
      </c>
      <c r="I62" s="117" t="s">
        <v>648</v>
      </c>
      <c r="J62" s="74" t="s">
        <v>708</v>
      </c>
      <c r="K62" s="49">
        <v>1</v>
      </c>
      <c r="L62" s="74">
        <v>114.4</v>
      </c>
      <c r="M62" s="97">
        <v>19.8</v>
      </c>
      <c r="N62" s="97">
        <v>47.4</v>
      </c>
      <c r="O62" s="123"/>
      <c r="P62" s="23"/>
      <c r="Q62" s="30" t="s">
        <v>631</v>
      </c>
      <c r="R62" s="26" t="s">
        <v>24</v>
      </c>
      <c r="S62" s="66" t="s">
        <v>422</v>
      </c>
      <c r="T62" s="66" t="s">
        <v>423</v>
      </c>
      <c r="U62" s="52">
        <v>100</v>
      </c>
      <c r="V62" s="43" t="s">
        <v>544</v>
      </c>
      <c r="W62" s="26" t="s">
        <v>551</v>
      </c>
      <c r="X62" s="26" t="s">
        <v>174</v>
      </c>
      <c r="Y62" s="43">
        <v>3</v>
      </c>
      <c r="Z62" s="66" t="s">
        <v>474</v>
      </c>
      <c r="AA62" s="67">
        <v>120</v>
      </c>
      <c r="AB62" s="43">
        <f t="shared" si="1"/>
        <v>123</v>
      </c>
      <c r="AC62" s="30">
        <v>0.23</v>
      </c>
      <c r="AD62" s="28">
        <f t="shared" si="0"/>
        <v>0.24150000000000002</v>
      </c>
      <c r="AE62" s="46">
        <v>9.5</v>
      </c>
      <c r="AF62" s="28">
        <f t="shared" si="2"/>
        <v>9.7415000000000003</v>
      </c>
      <c r="AG62" s="46">
        <v>0.3</v>
      </c>
      <c r="AH62" s="134">
        <f t="shared" si="3"/>
        <v>245.61</v>
      </c>
      <c r="AI62" s="30"/>
      <c r="AJ62" s="31">
        <f>20*AN62</f>
        <v>16374</v>
      </c>
      <c r="AK62" s="46">
        <f t="shared" si="4"/>
        <v>4.5483333333333329</v>
      </c>
      <c r="AL62" s="146">
        <v>5</v>
      </c>
      <c r="AM62" s="30">
        <v>15.56</v>
      </c>
      <c r="AN62" s="30">
        <v>818.7</v>
      </c>
      <c r="AO62" s="26" t="s">
        <v>426</v>
      </c>
      <c r="AP62" s="26" t="s">
        <v>27</v>
      </c>
      <c r="AQ62" s="43" t="s">
        <v>27</v>
      </c>
      <c r="AR62" s="29">
        <f t="shared" si="5"/>
        <v>0</v>
      </c>
      <c r="AS62" s="26"/>
      <c r="AT62" s="26"/>
      <c r="AU62" s="32" t="s">
        <v>556</v>
      </c>
      <c r="AV62" s="26"/>
    </row>
    <row r="63" spans="1:48" ht="115.5" x14ac:dyDescent="0.25">
      <c r="A63" s="11">
        <v>2</v>
      </c>
      <c r="B63" s="197"/>
      <c r="C63" s="117" t="s">
        <v>531</v>
      </c>
      <c r="D63" s="128">
        <v>1</v>
      </c>
      <c r="E63" s="117" t="s">
        <v>531</v>
      </c>
      <c r="F63" s="117" t="s">
        <v>650</v>
      </c>
      <c r="G63" s="25" t="s">
        <v>169</v>
      </c>
      <c r="H63" s="25" t="s">
        <v>285</v>
      </c>
      <c r="I63" s="117" t="s">
        <v>649</v>
      </c>
      <c r="J63" s="74" t="s">
        <v>709</v>
      </c>
      <c r="K63" s="49">
        <v>1</v>
      </c>
      <c r="L63" s="74">
        <v>117.5</v>
      </c>
      <c r="M63" s="97">
        <v>17.3</v>
      </c>
      <c r="N63" s="97">
        <v>45.7</v>
      </c>
      <c r="O63" s="123"/>
      <c r="P63" s="23"/>
      <c r="Q63" s="30" t="s">
        <v>631</v>
      </c>
      <c r="R63" s="26" t="s">
        <v>24</v>
      </c>
      <c r="S63" s="66" t="s">
        <v>424</v>
      </c>
      <c r="T63" s="104" t="s">
        <v>826</v>
      </c>
      <c r="U63" s="52">
        <f>7*1/365*100</f>
        <v>1.9178082191780823</v>
      </c>
      <c r="V63" s="43" t="s">
        <v>549</v>
      </c>
      <c r="W63" s="26" t="s">
        <v>552</v>
      </c>
      <c r="X63" s="26" t="s">
        <v>553</v>
      </c>
      <c r="Y63" s="43">
        <v>4</v>
      </c>
      <c r="Z63" s="66" t="s">
        <v>462</v>
      </c>
      <c r="AA63" s="67">
        <v>120</v>
      </c>
      <c r="AB63" s="43">
        <f t="shared" si="1"/>
        <v>124</v>
      </c>
      <c r="AC63" s="30">
        <v>0.44</v>
      </c>
      <c r="AD63" s="28">
        <f t="shared" si="0"/>
        <v>0.46200000000000002</v>
      </c>
      <c r="AE63" s="46">
        <v>0.05</v>
      </c>
      <c r="AF63" s="28">
        <f t="shared" si="2"/>
        <v>0.51200000000000001</v>
      </c>
      <c r="AG63" s="46">
        <v>9.6999999999999993</v>
      </c>
      <c r="AH63" s="134">
        <f t="shared" si="3"/>
        <v>7941.3899999999994</v>
      </c>
      <c r="AI63" s="30"/>
      <c r="AJ63" s="31">
        <f>20*AN63</f>
        <v>16374</v>
      </c>
      <c r="AK63" s="46">
        <f t="shared" ref="AK63" si="11">AJ63/3600</f>
        <v>4.5483333333333329</v>
      </c>
      <c r="AL63" s="146">
        <v>5</v>
      </c>
      <c r="AM63" s="30">
        <v>15.56</v>
      </c>
      <c r="AN63" s="30">
        <v>818.7</v>
      </c>
      <c r="AO63" s="26" t="s">
        <v>170</v>
      </c>
      <c r="AP63" s="26" t="s">
        <v>27</v>
      </c>
      <c r="AQ63" s="43" t="s">
        <v>27</v>
      </c>
      <c r="AR63" s="29">
        <f t="shared" ref="AR63" si="12">SQRT(AS63/3.14)*2</f>
        <v>0</v>
      </c>
      <c r="AS63" s="26"/>
      <c r="AT63" s="26"/>
      <c r="AU63" s="32" t="s">
        <v>556</v>
      </c>
      <c r="AV63" s="26"/>
    </row>
    <row r="64" spans="1:48" ht="66" x14ac:dyDescent="0.25">
      <c r="A64" s="11">
        <v>3</v>
      </c>
      <c r="B64" s="197"/>
      <c r="C64" s="117" t="s">
        <v>532</v>
      </c>
      <c r="D64" s="128">
        <v>1</v>
      </c>
      <c r="E64" s="117" t="s">
        <v>532</v>
      </c>
      <c r="F64" s="117" t="s">
        <v>414</v>
      </c>
      <c r="G64" s="25" t="s">
        <v>169</v>
      </c>
      <c r="H64" s="25" t="s">
        <v>286</v>
      </c>
      <c r="I64" s="117" t="s">
        <v>710</v>
      </c>
      <c r="J64" s="74" t="s">
        <v>712</v>
      </c>
      <c r="K64" s="49">
        <v>1</v>
      </c>
      <c r="L64" s="74">
        <v>102.8</v>
      </c>
      <c r="M64" s="97">
        <v>9.1999999999999993</v>
      </c>
      <c r="N64" s="97">
        <v>35.5</v>
      </c>
      <c r="O64" s="123"/>
      <c r="P64" s="23"/>
      <c r="Q64" s="30" t="s">
        <v>630</v>
      </c>
      <c r="R64" s="26" t="s">
        <v>24</v>
      </c>
      <c r="S64" s="66" t="s">
        <v>418</v>
      </c>
      <c r="T64" s="104" t="s">
        <v>712</v>
      </c>
      <c r="U64" s="52">
        <f>7*1/365*100</f>
        <v>1.9178082191780823</v>
      </c>
      <c r="V64" s="43" t="s">
        <v>549</v>
      </c>
      <c r="W64" s="26" t="s">
        <v>416</v>
      </c>
      <c r="X64" s="26" t="s">
        <v>425</v>
      </c>
      <c r="Y64" s="43">
        <v>3</v>
      </c>
      <c r="Z64" s="66" t="s">
        <v>481</v>
      </c>
      <c r="AA64" s="67">
        <v>120</v>
      </c>
      <c r="AB64" s="43">
        <f t="shared" si="1"/>
        <v>123</v>
      </c>
      <c r="AC64" s="30">
        <v>0.34</v>
      </c>
      <c r="AD64" s="28">
        <f t="shared" si="0"/>
        <v>0.35700000000000004</v>
      </c>
      <c r="AE64" s="46">
        <v>0.03</v>
      </c>
      <c r="AF64" s="28">
        <f t="shared" si="2"/>
        <v>0.38700000000000001</v>
      </c>
      <c r="AG64" s="46">
        <v>0.5</v>
      </c>
      <c r="AH64" s="134">
        <f t="shared" si="3"/>
        <v>409.35</v>
      </c>
      <c r="AI64" s="30"/>
      <c r="AJ64" s="31">
        <f>10*AN64</f>
        <v>8187</v>
      </c>
      <c r="AK64" s="46">
        <f t="shared" ref="AK64:AK65" si="13">AJ64/3600</f>
        <v>2.2741666666666664</v>
      </c>
      <c r="AL64" s="146">
        <v>543</v>
      </c>
      <c r="AM64" s="30">
        <v>50</v>
      </c>
      <c r="AN64" s="30">
        <v>818.7</v>
      </c>
      <c r="AO64" s="26" t="s">
        <v>420</v>
      </c>
      <c r="AP64" s="26" t="s">
        <v>27</v>
      </c>
      <c r="AQ64" s="43" t="s">
        <v>27</v>
      </c>
      <c r="AR64" s="29">
        <f t="shared" ref="AR64:AR65" si="14">SQRT(AS64/3.14)*2</f>
        <v>0</v>
      </c>
      <c r="AS64" s="26"/>
      <c r="AT64" s="26"/>
      <c r="AU64" s="32" t="s">
        <v>556</v>
      </c>
      <c r="AV64" s="26"/>
    </row>
    <row r="65" spans="1:48" ht="66" x14ac:dyDescent="0.25">
      <c r="A65" s="11">
        <v>4</v>
      </c>
      <c r="B65" s="199"/>
      <c r="C65" s="117" t="s">
        <v>533</v>
      </c>
      <c r="D65" s="128">
        <v>1</v>
      </c>
      <c r="E65" s="117" t="s">
        <v>533</v>
      </c>
      <c r="F65" s="117" t="s">
        <v>415</v>
      </c>
      <c r="G65" s="25" t="s">
        <v>169</v>
      </c>
      <c r="H65" s="25" t="s">
        <v>286</v>
      </c>
      <c r="I65" s="117" t="s">
        <v>711</v>
      </c>
      <c r="J65" s="49" t="s">
        <v>713</v>
      </c>
      <c r="K65" s="49">
        <v>11</v>
      </c>
      <c r="L65" s="49">
        <v>103.1</v>
      </c>
      <c r="M65" s="49">
        <v>14.6</v>
      </c>
      <c r="N65" s="49">
        <v>35.700000000000003</v>
      </c>
      <c r="O65" s="122"/>
      <c r="P65" s="25"/>
      <c r="Q65" s="96" t="s">
        <v>629</v>
      </c>
      <c r="R65" s="96" t="s">
        <v>24</v>
      </c>
      <c r="S65" s="49" t="s">
        <v>419</v>
      </c>
      <c r="T65" s="105" t="s">
        <v>713</v>
      </c>
      <c r="U65" s="53">
        <f>7*1/365*100</f>
        <v>1.9178082191780823</v>
      </c>
      <c r="V65" s="43" t="s">
        <v>549</v>
      </c>
      <c r="W65" s="26" t="s">
        <v>417</v>
      </c>
      <c r="X65" s="26" t="s">
        <v>271</v>
      </c>
      <c r="Y65" s="43">
        <v>2</v>
      </c>
      <c r="Z65" s="66" t="s">
        <v>482</v>
      </c>
      <c r="AA65" s="67">
        <v>120</v>
      </c>
      <c r="AB65" s="43">
        <f t="shared" si="1"/>
        <v>122</v>
      </c>
      <c r="AC65" s="30">
        <v>0.09</v>
      </c>
      <c r="AD65" s="28">
        <f t="shared" si="0"/>
        <v>9.4500000000000001E-2</v>
      </c>
      <c r="AE65" s="46">
        <v>0.02</v>
      </c>
      <c r="AF65" s="28">
        <f t="shared" si="2"/>
        <v>0.1145</v>
      </c>
      <c r="AG65" s="46">
        <v>0.5</v>
      </c>
      <c r="AH65" s="134">
        <f t="shared" si="3"/>
        <v>397.4</v>
      </c>
      <c r="AI65" s="30"/>
      <c r="AJ65" s="31">
        <f>2*AN65</f>
        <v>1589.6</v>
      </c>
      <c r="AK65" s="46">
        <f t="shared" si="13"/>
        <v>0.44155555555555553</v>
      </c>
      <c r="AL65" s="146">
        <v>413</v>
      </c>
      <c r="AM65" s="30">
        <v>50</v>
      </c>
      <c r="AN65" s="30">
        <v>794.8</v>
      </c>
      <c r="AO65" s="26" t="s">
        <v>421</v>
      </c>
      <c r="AP65" s="26" t="s">
        <v>27</v>
      </c>
      <c r="AQ65" s="43" t="s">
        <v>27</v>
      </c>
      <c r="AR65" s="29">
        <f t="shared" si="14"/>
        <v>0</v>
      </c>
      <c r="AS65" s="26"/>
      <c r="AT65" s="26"/>
      <c r="AU65" s="32" t="s">
        <v>556</v>
      </c>
      <c r="AV65" s="26"/>
    </row>
    <row r="66" spans="1:48" ht="66" x14ac:dyDescent="0.25">
      <c r="A66" s="11">
        <v>51</v>
      </c>
      <c r="B66" s="113" t="s">
        <v>172</v>
      </c>
      <c r="C66" s="117" t="s">
        <v>534</v>
      </c>
      <c r="D66" s="128">
        <v>1</v>
      </c>
      <c r="E66" s="117" t="s">
        <v>534</v>
      </c>
      <c r="F66" s="117" t="s">
        <v>651</v>
      </c>
      <c r="G66" s="25" t="s">
        <v>169</v>
      </c>
      <c r="H66" s="25" t="s">
        <v>286</v>
      </c>
      <c r="I66" s="49" t="s">
        <v>722</v>
      </c>
      <c r="J66" s="49" t="s">
        <v>722</v>
      </c>
      <c r="K66" s="49">
        <v>1</v>
      </c>
      <c r="L66" s="136">
        <v>115.3</v>
      </c>
      <c r="M66" s="136">
        <v>3.5</v>
      </c>
      <c r="N66" s="136">
        <v>43.5</v>
      </c>
      <c r="O66" s="122"/>
      <c r="P66" s="25"/>
      <c r="Q66" s="96" t="s">
        <v>630</v>
      </c>
      <c r="R66" s="96" t="s">
        <v>24</v>
      </c>
      <c r="S66" s="49" t="s">
        <v>95</v>
      </c>
      <c r="T66" s="105" t="s">
        <v>827</v>
      </c>
      <c r="U66" s="53">
        <f>7*1/365*100</f>
        <v>1.9178082191780823</v>
      </c>
      <c r="V66" s="45" t="s">
        <v>549</v>
      </c>
      <c r="W66" s="45" t="s">
        <v>416</v>
      </c>
      <c r="X66" s="45" t="s">
        <v>425</v>
      </c>
      <c r="Y66" s="45">
        <v>3</v>
      </c>
      <c r="Z66" s="66" t="s">
        <v>799</v>
      </c>
      <c r="AA66" s="67">
        <v>120</v>
      </c>
      <c r="AB66" s="45">
        <f t="shared" ref="AB66:AB67" si="15">AA66+Y66</f>
        <v>123</v>
      </c>
      <c r="AC66" s="30">
        <v>0.22</v>
      </c>
      <c r="AD66" s="47">
        <f t="shared" ref="AD66:AD67" si="16">AC66*$AY$1</f>
        <v>0.23100000000000001</v>
      </c>
      <c r="AE66" s="46">
        <v>0.03</v>
      </c>
      <c r="AF66" s="47">
        <f t="shared" ref="AF66:AF67" si="17">AD66+AE66</f>
        <v>0.26100000000000001</v>
      </c>
      <c r="AG66" s="46">
        <v>0.4</v>
      </c>
      <c r="AH66" s="134">
        <f t="shared" si="3"/>
        <v>327.48</v>
      </c>
      <c r="AI66" s="30"/>
      <c r="AJ66" s="31">
        <f>10*AN66</f>
        <v>8187</v>
      </c>
      <c r="AK66" s="46">
        <f t="shared" ref="AK66:AK67" si="18">AJ66/3600</f>
        <v>2.2741666666666664</v>
      </c>
      <c r="AL66" s="146">
        <v>543</v>
      </c>
      <c r="AM66" s="30">
        <v>50</v>
      </c>
      <c r="AN66" s="30">
        <v>818.7</v>
      </c>
      <c r="AO66" s="26" t="s">
        <v>171</v>
      </c>
      <c r="AP66" s="26" t="s">
        <v>27</v>
      </c>
      <c r="AQ66" s="43" t="s">
        <v>27</v>
      </c>
      <c r="AR66" s="29">
        <f t="shared" si="5"/>
        <v>0</v>
      </c>
      <c r="AS66" s="26"/>
      <c r="AT66" s="26"/>
      <c r="AU66" s="32" t="s">
        <v>556</v>
      </c>
      <c r="AV66" s="26"/>
    </row>
    <row r="67" spans="1:48" ht="66" x14ac:dyDescent="0.25">
      <c r="A67" s="11">
        <v>52</v>
      </c>
      <c r="B67" s="113" t="s">
        <v>233</v>
      </c>
      <c r="C67" s="117" t="s">
        <v>535</v>
      </c>
      <c r="D67" s="128">
        <v>1</v>
      </c>
      <c r="E67" s="117" t="s">
        <v>535</v>
      </c>
      <c r="F67" s="117" t="s">
        <v>652</v>
      </c>
      <c r="G67" s="152" t="s">
        <v>169</v>
      </c>
      <c r="H67" s="25" t="s">
        <v>286</v>
      </c>
      <c r="I67" s="49" t="s">
        <v>722</v>
      </c>
      <c r="J67" s="49" t="s">
        <v>722</v>
      </c>
      <c r="K67" s="49">
        <v>1</v>
      </c>
      <c r="L67" s="136">
        <v>115</v>
      </c>
      <c r="M67" s="136">
        <v>4.8</v>
      </c>
      <c r="N67" s="136">
        <v>42.8</v>
      </c>
      <c r="O67" s="122"/>
      <c r="P67" s="25"/>
      <c r="Q67" s="96" t="s">
        <v>629</v>
      </c>
      <c r="R67" s="96" t="s">
        <v>24</v>
      </c>
      <c r="S67" s="49" t="s">
        <v>95</v>
      </c>
      <c r="T67" s="105" t="s">
        <v>827</v>
      </c>
      <c r="U67" s="53">
        <f>7*1/365*100</f>
        <v>1.9178082191780823</v>
      </c>
      <c r="V67" s="45" t="s">
        <v>549</v>
      </c>
      <c r="W67" s="45" t="s">
        <v>417</v>
      </c>
      <c r="X67" s="45" t="s">
        <v>271</v>
      </c>
      <c r="Y67" s="45">
        <v>2</v>
      </c>
      <c r="Z67" s="92" t="s">
        <v>800</v>
      </c>
      <c r="AA67" s="67">
        <v>120</v>
      </c>
      <c r="AB67" s="45">
        <f t="shared" si="15"/>
        <v>122</v>
      </c>
      <c r="AC67" s="30">
        <v>0.34</v>
      </c>
      <c r="AD67" s="47">
        <f t="shared" si="16"/>
        <v>0.35700000000000004</v>
      </c>
      <c r="AE67" s="46">
        <v>0.02</v>
      </c>
      <c r="AF67" s="47">
        <f t="shared" si="17"/>
        <v>0.37700000000000006</v>
      </c>
      <c r="AG67" s="46">
        <v>0.1</v>
      </c>
      <c r="AH67" s="134">
        <f t="shared" si="3"/>
        <v>79.48</v>
      </c>
      <c r="AI67" s="30"/>
      <c r="AJ67" s="31">
        <f>2*AN67</f>
        <v>1589.6</v>
      </c>
      <c r="AK67" s="46">
        <f t="shared" si="18"/>
        <v>0.44155555555555553</v>
      </c>
      <c r="AL67" s="146">
        <v>413</v>
      </c>
      <c r="AM67" s="30">
        <v>50</v>
      </c>
      <c r="AN67" s="30">
        <v>794.8</v>
      </c>
      <c r="AO67" s="26" t="s">
        <v>171</v>
      </c>
      <c r="AP67" s="26" t="s">
        <v>27</v>
      </c>
      <c r="AQ67" s="43" t="s">
        <v>27</v>
      </c>
      <c r="AR67" s="29">
        <f t="shared" si="5"/>
        <v>0</v>
      </c>
      <c r="AS67" s="26"/>
      <c r="AT67" s="26"/>
      <c r="AU67" s="32" t="s">
        <v>556</v>
      </c>
      <c r="AV67" s="26"/>
    </row>
    <row r="68" spans="1:48" ht="135.75" customHeight="1" x14ac:dyDescent="0.25">
      <c r="A68" s="11">
        <v>59</v>
      </c>
      <c r="B68" s="113" t="s">
        <v>235</v>
      </c>
      <c r="C68" s="117" t="s">
        <v>536</v>
      </c>
      <c r="D68" s="128">
        <v>1</v>
      </c>
      <c r="E68" s="117" t="s">
        <v>536</v>
      </c>
      <c r="F68" s="117" t="s">
        <v>653</v>
      </c>
      <c r="G68" s="25" t="s">
        <v>173</v>
      </c>
      <c r="H68" s="151" t="s">
        <v>173</v>
      </c>
      <c r="I68" s="117" t="s">
        <v>714</v>
      </c>
      <c r="J68" s="74" t="s">
        <v>714</v>
      </c>
      <c r="K68" s="49">
        <v>1</v>
      </c>
      <c r="L68" s="74">
        <v>213.1</v>
      </c>
      <c r="M68" s="97">
        <v>-21.4</v>
      </c>
      <c r="N68" s="97">
        <v>29.9</v>
      </c>
      <c r="O68" s="123"/>
      <c r="P68" s="23"/>
      <c r="Q68" s="30" t="s">
        <v>627</v>
      </c>
      <c r="R68" s="26" t="s">
        <v>24</v>
      </c>
      <c r="S68" s="66" t="s">
        <v>95</v>
      </c>
      <c r="T68" s="104" t="s">
        <v>714</v>
      </c>
      <c r="U68" s="52">
        <v>100</v>
      </c>
      <c r="V68" s="43" t="s">
        <v>544</v>
      </c>
      <c r="W68" s="26" t="s">
        <v>406</v>
      </c>
      <c r="X68" s="26" t="s">
        <v>174</v>
      </c>
      <c r="Y68" s="43">
        <v>3</v>
      </c>
      <c r="Z68" s="66" t="s">
        <v>801</v>
      </c>
      <c r="AA68" s="67">
        <v>120</v>
      </c>
      <c r="AB68" s="43">
        <f t="shared" si="1"/>
        <v>123</v>
      </c>
      <c r="AC68" s="26">
        <v>0.3</v>
      </c>
      <c r="AD68" s="28">
        <f t="shared" si="0"/>
        <v>0.315</v>
      </c>
      <c r="AE68" s="28"/>
      <c r="AF68" s="28">
        <f t="shared" si="2"/>
        <v>0.315</v>
      </c>
      <c r="AG68" s="46">
        <v>9.6999999999999993</v>
      </c>
      <c r="AH68" s="134">
        <f t="shared" ref="AH68:AH81" si="19">AG68*AN68</f>
        <v>7941.3899999999994</v>
      </c>
      <c r="AI68" s="30"/>
      <c r="AJ68" s="31">
        <f>20*AN68</f>
        <v>16374</v>
      </c>
      <c r="AK68" s="46">
        <f t="shared" si="4"/>
        <v>4.5483333333333329</v>
      </c>
      <c r="AL68" s="146">
        <v>7.2</v>
      </c>
      <c r="AM68" s="30">
        <v>16.600000000000001</v>
      </c>
      <c r="AN68" s="30">
        <v>818.7</v>
      </c>
      <c r="AO68" s="26" t="s">
        <v>171</v>
      </c>
      <c r="AP68" s="26" t="s">
        <v>27</v>
      </c>
      <c r="AQ68" s="43" t="s">
        <v>27</v>
      </c>
      <c r="AR68" s="29">
        <f t="shared" si="5"/>
        <v>0</v>
      </c>
      <c r="AS68" s="26"/>
      <c r="AT68" s="26"/>
      <c r="AU68" s="32" t="s">
        <v>556</v>
      </c>
      <c r="AV68" s="26"/>
    </row>
    <row r="69" spans="1:48" ht="49.5" x14ac:dyDescent="0.25">
      <c r="A69" s="11">
        <v>60</v>
      </c>
      <c r="B69" s="191" t="s">
        <v>175</v>
      </c>
      <c r="C69" s="117" t="s">
        <v>537</v>
      </c>
      <c r="D69" s="128">
        <v>1</v>
      </c>
      <c r="E69" s="117" t="s">
        <v>537</v>
      </c>
      <c r="F69" s="128" t="s">
        <v>176</v>
      </c>
      <c r="G69" s="25" t="s">
        <v>173</v>
      </c>
      <c r="H69" s="151" t="s">
        <v>173</v>
      </c>
      <c r="I69" s="117" t="s">
        <v>715</v>
      </c>
      <c r="J69" s="74" t="s">
        <v>715</v>
      </c>
      <c r="K69" s="49">
        <v>1</v>
      </c>
      <c r="L69" s="74">
        <v>158.69999999999999</v>
      </c>
      <c r="M69" s="97">
        <v>4.0999999999999996</v>
      </c>
      <c r="N69" s="97">
        <v>32.9</v>
      </c>
      <c r="O69" s="123"/>
      <c r="P69" s="23"/>
      <c r="Q69" s="42" t="s">
        <v>620</v>
      </c>
      <c r="R69" s="45" t="s">
        <v>11</v>
      </c>
      <c r="S69" s="74" t="s">
        <v>177</v>
      </c>
      <c r="T69" s="74" t="s">
        <v>178</v>
      </c>
      <c r="U69" s="52">
        <v>100</v>
      </c>
      <c r="V69" s="45" t="s">
        <v>544</v>
      </c>
      <c r="W69" s="45" t="s">
        <v>399</v>
      </c>
      <c r="X69" s="45" t="s">
        <v>227</v>
      </c>
      <c r="Y69" s="45">
        <v>8</v>
      </c>
      <c r="Z69" s="66" t="s">
        <v>264</v>
      </c>
      <c r="AA69" s="67">
        <v>120</v>
      </c>
      <c r="AB69" s="45">
        <f t="shared" ref="AB69" si="20">AA69+Y69</f>
        <v>128</v>
      </c>
      <c r="AC69" s="45">
        <v>0.4</v>
      </c>
      <c r="AD69" s="47">
        <f t="shared" ref="AD69" si="21">AC69*$AY$1</f>
        <v>0.42000000000000004</v>
      </c>
      <c r="AE69" s="46">
        <v>59.8</v>
      </c>
      <c r="AF69" s="47">
        <f t="shared" ref="AF69" si="22">AD69+AE69</f>
        <v>60.22</v>
      </c>
      <c r="AG69" s="46">
        <v>2.5</v>
      </c>
      <c r="AH69" s="134">
        <f t="shared" si="19"/>
        <v>91.25</v>
      </c>
      <c r="AI69" s="30"/>
      <c r="AJ69" s="37">
        <v>2069</v>
      </c>
      <c r="AK69" s="46">
        <f t="shared" ref="AK69" si="23">AJ69/3600</f>
        <v>0.57472222222222225</v>
      </c>
      <c r="AL69" s="146">
        <v>1.2</v>
      </c>
      <c r="AM69" s="30">
        <v>45</v>
      </c>
      <c r="AN69" s="30">
        <v>36.5</v>
      </c>
      <c r="AO69" s="26" t="s">
        <v>315</v>
      </c>
      <c r="AP69" s="30" t="s">
        <v>27</v>
      </c>
      <c r="AQ69" s="54">
        <v>203.2</v>
      </c>
      <c r="AR69" s="65"/>
      <c r="AS69" s="30"/>
      <c r="AT69" s="35"/>
      <c r="AU69" s="43"/>
      <c r="AV69" s="26"/>
    </row>
    <row r="70" spans="1:48" ht="49.5" x14ac:dyDescent="0.25">
      <c r="A70" s="11">
        <v>61</v>
      </c>
      <c r="B70" s="191"/>
      <c r="C70" s="117" t="s">
        <v>538</v>
      </c>
      <c r="D70" s="128">
        <v>1</v>
      </c>
      <c r="E70" s="117" t="s">
        <v>538</v>
      </c>
      <c r="F70" s="128" t="s">
        <v>176</v>
      </c>
      <c r="G70" s="25" t="s">
        <v>173</v>
      </c>
      <c r="H70" s="151" t="s">
        <v>173</v>
      </c>
      <c r="I70" s="117" t="s">
        <v>716</v>
      </c>
      <c r="J70" s="74" t="s">
        <v>716</v>
      </c>
      <c r="K70" s="49">
        <v>1</v>
      </c>
      <c r="L70" s="74">
        <v>152.30000000000001</v>
      </c>
      <c r="M70" s="97">
        <v>3.8</v>
      </c>
      <c r="N70" s="97">
        <v>32.200000000000003</v>
      </c>
      <c r="O70" s="123"/>
      <c r="P70" s="23"/>
      <c r="Q70" s="26" t="s">
        <v>623</v>
      </c>
      <c r="R70" s="26" t="s">
        <v>24</v>
      </c>
      <c r="S70" s="66" t="s">
        <v>177</v>
      </c>
      <c r="T70" s="66" t="s">
        <v>178</v>
      </c>
      <c r="U70" s="52">
        <v>100</v>
      </c>
      <c r="V70" s="43" t="s">
        <v>544</v>
      </c>
      <c r="W70" s="34" t="s">
        <v>407</v>
      </c>
      <c r="X70" s="34" t="s">
        <v>236</v>
      </c>
      <c r="Y70" s="34">
        <v>6</v>
      </c>
      <c r="Z70" s="66" t="s">
        <v>802</v>
      </c>
      <c r="AA70" s="67">
        <v>120</v>
      </c>
      <c r="AB70" s="43">
        <f t="shared" si="1"/>
        <v>126</v>
      </c>
      <c r="AC70" s="26">
        <v>0.22</v>
      </c>
      <c r="AD70" s="28">
        <f t="shared" si="0"/>
        <v>0.23100000000000001</v>
      </c>
      <c r="AE70" s="28">
        <v>20.2</v>
      </c>
      <c r="AF70" s="28">
        <f t="shared" si="2"/>
        <v>20.431000000000001</v>
      </c>
      <c r="AG70" s="63">
        <v>20.6</v>
      </c>
      <c r="AH70" s="134">
        <f t="shared" si="19"/>
        <v>13663.98</v>
      </c>
      <c r="AI70" s="30"/>
      <c r="AJ70" s="31">
        <f>25*AN70</f>
        <v>16582.5</v>
      </c>
      <c r="AK70" s="46">
        <f t="shared" si="4"/>
        <v>4.6062500000000002</v>
      </c>
      <c r="AL70" s="146">
        <v>1.2</v>
      </c>
      <c r="AM70" s="30">
        <v>45</v>
      </c>
      <c r="AN70" s="26">
        <v>663.3</v>
      </c>
      <c r="AO70" s="26" t="s">
        <v>315</v>
      </c>
      <c r="AP70" s="26" t="s">
        <v>27</v>
      </c>
      <c r="AQ70" s="43" t="s">
        <v>27</v>
      </c>
      <c r="AR70" s="29">
        <f t="shared" si="5"/>
        <v>0</v>
      </c>
      <c r="AS70" s="26"/>
      <c r="AT70" s="26"/>
      <c r="AU70" s="32" t="s">
        <v>556</v>
      </c>
      <c r="AV70" s="26"/>
    </row>
    <row r="71" spans="1:48" s="77" customFormat="1" ht="66" hidden="1" x14ac:dyDescent="0.25">
      <c r="B71" s="116" t="s">
        <v>337</v>
      </c>
      <c r="C71" s="79" t="s">
        <v>539</v>
      </c>
      <c r="D71" s="79">
        <v>1</v>
      </c>
      <c r="E71" s="79" t="s">
        <v>539</v>
      </c>
      <c r="F71" s="79" t="s">
        <v>483</v>
      </c>
      <c r="G71" s="78" t="s">
        <v>342</v>
      </c>
      <c r="H71" s="78" t="s">
        <v>343</v>
      </c>
      <c r="I71" s="79" t="s">
        <v>344</v>
      </c>
      <c r="J71" s="79"/>
      <c r="K71" s="49" t="s">
        <v>556</v>
      </c>
      <c r="L71" s="79"/>
      <c r="M71" s="79"/>
      <c r="N71" s="79"/>
      <c r="O71" s="79"/>
      <c r="P71" s="78"/>
      <c r="Q71" s="80" t="s">
        <v>628</v>
      </c>
      <c r="R71" s="80" t="s">
        <v>24</v>
      </c>
      <c r="S71" s="79" t="s">
        <v>339</v>
      </c>
      <c r="T71" s="79" t="s">
        <v>340</v>
      </c>
      <c r="U71" s="81">
        <v>100</v>
      </c>
      <c r="V71" s="80" t="s">
        <v>544</v>
      </c>
      <c r="W71" s="80" t="s">
        <v>408</v>
      </c>
      <c r="X71" s="80" t="s">
        <v>341</v>
      </c>
      <c r="Y71" s="80">
        <v>4</v>
      </c>
      <c r="Z71" s="79" t="s">
        <v>435</v>
      </c>
      <c r="AA71" s="82">
        <v>120</v>
      </c>
      <c r="AB71" s="80">
        <f t="shared" si="1"/>
        <v>124</v>
      </c>
      <c r="AC71" s="80">
        <v>0.5</v>
      </c>
      <c r="AD71" s="83">
        <f t="shared" si="0"/>
        <v>0.52500000000000002</v>
      </c>
      <c r="AE71" s="83">
        <v>2</v>
      </c>
      <c r="AF71" s="83">
        <f t="shared" si="2"/>
        <v>2.5249999999999999</v>
      </c>
      <c r="AG71" s="46">
        <v>3</v>
      </c>
      <c r="AH71" s="134">
        <f t="shared" si="19"/>
        <v>2552.3999999999996</v>
      </c>
      <c r="AI71" s="80"/>
      <c r="AJ71" s="84">
        <f>27.6*AN71</f>
        <v>23482.080000000002</v>
      </c>
      <c r="AK71" s="83">
        <f>AJ71/3600</f>
        <v>6.5228000000000002</v>
      </c>
      <c r="AL71" s="146">
        <v>9</v>
      </c>
      <c r="AM71" s="80">
        <v>45</v>
      </c>
      <c r="AN71" s="80">
        <v>850.8</v>
      </c>
      <c r="AO71" s="80" t="s">
        <v>436</v>
      </c>
      <c r="AP71" s="80" t="s">
        <v>27</v>
      </c>
      <c r="AQ71" s="80" t="s">
        <v>27</v>
      </c>
      <c r="AR71" s="85">
        <f t="shared" ref="AR71:AR72" si="24">SQRT(AS71/3.14)*2</f>
        <v>0</v>
      </c>
      <c r="AS71" s="80"/>
      <c r="AT71" s="80"/>
      <c r="AU71" s="86" t="s">
        <v>556</v>
      </c>
      <c r="AV71" s="80"/>
    </row>
    <row r="72" spans="1:48" ht="82.5" x14ac:dyDescent="0.25">
      <c r="A72" s="11">
        <v>28</v>
      </c>
      <c r="B72" s="196" t="s">
        <v>338</v>
      </c>
      <c r="C72" s="49" t="s">
        <v>717</v>
      </c>
      <c r="D72" s="129">
        <v>1</v>
      </c>
      <c r="E72" s="49" t="s">
        <v>717</v>
      </c>
      <c r="F72" s="117" t="s">
        <v>856</v>
      </c>
      <c r="G72" s="25" t="s">
        <v>59</v>
      </c>
      <c r="H72" s="25" t="s">
        <v>286</v>
      </c>
      <c r="I72" s="117" t="s">
        <v>429</v>
      </c>
      <c r="J72" s="74" t="s">
        <v>719</v>
      </c>
      <c r="K72" s="49">
        <v>1</v>
      </c>
      <c r="L72" s="74">
        <v>103</v>
      </c>
      <c r="M72" s="97">
        <v>-23</v>
      </c>
      <c r="N72" s="97">
        <v>37.799999999999997</v>
      </c>
      <c r="O72" s="123"/>
      <c r="P72" s="23"/>
      <c r="Q72" s="30" t="s">
        <v>625</v>
      </c>
      <c r="R72" s="26" t="s">
        <v>24</v>
      </c>
      <c r="S72" s="66" t="s">
        <v>431</v>
      </c>
      <c r="T72" s="66" t="s">
        <v>433</v>
      </c>
      <c r="U72" s="52">
        <v>100</v>
      </c>
      <c r="V72" s="43" t="s">
        <v>544</v>
      </c>
      <c r="W72" s="26" t="s">
        <v>475</v>
      </c>
      <c r="X72" s="26" t="s">
        <v>341</v>
      </c>
      <c r="Y72" s="43">
        <v>4</v>
      </c>
      <c r="Z72" s="66" t="s">
        <v>803</v>
      </c>
      <c r="AA72" s="67">
        <v>120</v>
      </c>
      <c r="AB72" s="43">
        <f t="shared" si="1"/>
        <v>124</v>
      </c>
      <c r="AC72" s="26">
        <v>1</v>
      </c>
      <c r="AD72" s="28">
        <f t="shared" si="0"/>
        <v>1.05</v>
      </c>
      <c r="AE72" s="28">
        <v>2</v>
      </c>
      <c r="AF72" s="28">
        <f t="shared" si="2"/>
        <v>3.05</v>
      </c>
      <c r="AG72" s="46">
        <v>3</v>
      </c>
      <c r="AH72" s="134">
        <f t="shared" si="19"/>
        <v>2552.3999999999996</v>
      </c>
      <c r="AI72" s="30"/>
      <c r="AJ72" s="31">
        <f>27.6*AN72</f>
        <v>23482.080000000002</v>
      </c>
      <c r="AK72" s="46">
        <f t="shared" ref="AK72:AK73" si="25">AJ72/3600</f>
        <v>6.5228000000000002</v>
      </c>
      <c r="AL72" s="146">
        <v>8.5</v>
      </c>
      <c r="AM72" s="36">
        <v>45</v>
      </c>
      <c r="AN72" s="30">
        <v>850.8</v>
      </c>
      <c r="AO72" s="26" t="s">
        <v>437</v>
      </c>
      <c r="AP72" s="26" t="s">
        <v>27</v>
      </c>
      <c r="AQ72" s="43" t="s">
        <v>27</v>
      </c>
      <c r="AR72" s="29">
        <f t="shared" si="24"/>
        <v>0</v>
      </c>
      <c r="AS72" s="26"/>
      <c r="AT72" s="26"/>
      <c r="AU72" s="32" t="s">
        <v>556</v>
      </c>
      <c r="AV72" s="26"/>
    </row>
    <row r="73" spans="1:48" ht="99" x14ac:dyDescent="0.25">
      <c r="A73" s="11">
        <v>26</v>
      </c>
      <c r="B73" s="199"/>
      <c r="C73" s="49" t="s">
        <v>718</v>
      </c>
      <c r="D73" s="129">
        <v>1</v>
      </c>
      <c r="E73" s="49" t="s">
        <v>718</v>
      </c>
      <c r="F73" s="117" t="s">
        <v>857</v>
      </c>
      <c r="G73" s="25" t="s">
        <v>427</v>
      </c>
      <c r="H73" s="25" t="s">
        <v>286</v>
      </c>
      <c r="I73" s="117" t="s">
        <v>430</v>
      </c>
      <c r="J73" s="74" t="s">
        <v>720</v>
      </c>
      <c r="K73" s="49">
        <v>1</v>
      </c>
      <c r="L73" s="74">
        <v>77.2</v>
      </c>
      <c r="M73" s="97">
        <v>-23.3</v>
      </c>
      <c r="N73" s="97">
        <v>35.5</v>
      </c>
      <c r="O73" s="123"/>
      <c r="P73" s="23"/>
      <c r="Q73" s="30" t="s">
        <v>626</v>
      </c>
      <c r="R73" s="26" t="s">
        <v>24</v>
      </c>
      <c r="S73" s="66" t="s">
        <v>432</v>
      </c>
      <c r="T73" s="104" t="s">
        <v>720</v>
      </c>
      <c r="U73" s="52">
        <f>7*1/365*100</f>
        <v>1.9178082191780823</v>
      </c>
      <c r="V73" s="43" t="s">
        <v>549</v>
      </c>
      <c r="W73" s="26" t="s">
        <v>434</v>
      </c>
      <c r="X73" s="26" t="s">
        <v>466</v>
      </c>
      <c r="Y73" s="43">
        <v>3</v>
      </c>
      <c r="Z73" s="66" t="s">
        <v>804</v>
      </c>
      <c r="AA73" s="67">
        <v>120</v>
      </c>
      <c r="AB73" s="43">
        <f t="shared" si="1"/>
        <v>123</v>
      </c>
      <c r="AC73" s="26">
        <v>1</v>
      </c>
      <c r="AD73" s="28">
        <f t="shared" si="0"/>
        <v>1.05</v>
      </c>
      <c r="AE73" s="28">
        <v>2</v>
      </c>
      <c r="AF73" s="28">
        <f t="shared" si="2"/>
        <v>3.05</v>
      </c>
      <c r="AG73" s="46">
        <v>3.1</v>
      </c>
      <c r="AH73" s="134">
        <f t="shared" si="19"/>
        <v>2637.48</v>
      </c>
      <c r="AI73" s="30"/>
      <c r="AJ73" s="31">
        <f>27.6*AN73</f>
        <v>23482.080000000002</v>
      </c>
      <c r="AK73" s="46">
        <f t="shared" si="25"/>
        <v>6.5228000000000002</v>
      </c>
      <c r="AL73" s="146">
        <v>8.5</v>
      </c>
      <c r="AM73" s="36">
        <v>45</v>
      </c>
      <c r="AN73" s="30">
        <v>850.8</v>
      </c>
      <c r="AO73" s="26" t="s">
        <v>438</v>
      </c>
      <c r="AP73" s="26" t="s">
        <v>27</v>
      </c>
      <c r="AQ73" s="43" t="s">
        <v>27</v>
      </c>
      <c r="AR73" s="29">
        <f t="shared" ref="AR73" si="26">SQRT(AS73/3.14)*2</f>
        <v>0</v>
      </c>
      <c r="AS73" s="26"/>
      <c r="AT73" s="26"/>
      <c r="AU73" s="32" t="s">
        <v>556</v>
      </c>
      <c r="AV73" s="26"/>
    </row>
    <row r="74" spans="1:48" ht="59.25" customHeight="1" x14ac:dyDescent="0.25">
      <c r="A74" s="11">
        <v>62</v>
      </c>
      <c r="B74" s="191" t="s">
        <v>179</v>
      </c>
      <c r="C74" s="158" t="s">
        <v>540</v>
      </c>
      <c r="D74" s="154">
        <v>4</v>
      </c>
      <c r="E74" s="117" t="s">
        <v>877</v>
      </c>
      <c r="F74" s="158" t="s">
        <v>180</v>
      </c>
      <c r="G74" s="151" t="s">
        <v>173</v>
      </c>
      <c r="H74" s="151" t="s">
        <v>173</v>
      </c>
      <c r="I74" s="117" t="s">
        <v>850</v>
      </c>
      <c r="J74" s="74"/>
      <c r="K74" s="49">
        <v>0.25</v>
      </c>
      <c r="L74" s="136">
        <v>158.30000000000001</v>
      </c>
      <c r="M74" s="136">
        <v>8.5</v>
      </c>
      <c r="N74" s="136">
        <v>30</v>
      </c>
      <c r="O74" s="123"/>
      <c r="P74" s="23"/>
      <c r="Q74" s="159" t="s">
        <v>624</v>
      </c>
      <c r="R74" s="159" t="s">
        <v>24</v>
      </c>
      <c r="S74" s="158" t="s">
        <v>95</v>
      </c>
      <c r="T74" s="158" t="s">
        <v>181</v>
      </c>
      <c r="U74" s="52">
        <v>100</v>
      </c>
      <c r="V74" s="43" t="s">
        <v>544</v>
      </c>
      <c r="W74" s="159" t="s">
        <v>464</v>
      </c>
      <c r="X74" s="26" t="s">
        <v>465</v>
      </c>
      <c r="Y74" s="43">
        <v>10</v>
      </c>
      <c r="Z74" s="66" t="s">
        <v>805</v>
      </c>
      <c r="AA74" s="67">
        <v>120</v>
      </c>
      <c r="AB74" s="43">
        <f t="shared" si="1"/>
        <v>130</v>
      </c>
      <c r="AC74" s="159">
        <v>15.92</v>
      </c>
      <c r="AD74" s="28">
        <f t="shared" si="0"/>
        <v>16.716000000000001</v>
      </c>
      <c r="AE74" s="175">
        <v>0</v>
      </c>
      <c r="AF74" s="28">
        <f t="shared" si="2"/>
        <v>16.716000000000001</v>
      </c>
      <c r="AG74" s="46">
        <v>113.3</v>
      </c>
      <c r="AH74" s="134">
        <f t="shared" si="19"/>
        <v>88238.04</v>
      </c>
      <c r="AI74" s="30"/>
      <c r="AJ74" s="176">
        <f>400*AN74</f>
        <v>311520</v>
      </c>
      <c r="AK74" s="46">
        <f t="shared" si="4"/>
        <v>86.533333333333331</v>
      </c>
      <c r="AL74" s="180">
        <v>2.1</v>
      </c>
      <c r="AM74" s="159">
        <v>40</v>
      </c>
      <c r="AN74" s="30">
        <v>778.8</v>
      </c>
      <c r="AO74" s="159" t="s">
        <v>182</v>
      </c>
      <c r="AP74" s="26" t="s">
        <v>27</v>
      </c>
      <c r="AQ74" s="43" t="s">
        <v>27</v>
      </c>
      <c r="AR74" s="29">
        <f t="shared" si="5"/>
        <v>0</v>
      </c>
      <c r="AS74" s="26"/>
      <c r="AT74" s="26"/>
      <c r="AU74" s="32" t="s">
        <v>556</v>
      </c>
      <c r="AV74" s="159"/>
    </row>
    <row r="75" spans="1:48" ht="16.5" x14ac:dyDescent="0.25">
      <c r="B75" s="191"/>
      <c r="C75" s="158"/>
      <c r="D75" s="155"/>
      <c r="E75" s="117" t="s">
        <v>878</v>
      </c>
      <c r="F75" s="158"/>
      <c r="G75" s="151" t="s">
        <v>173</v>
      </c>
      <c r="H75" s="151" t="s">
        <v>173</v>
      </c>
      <c r="I75" s="117"/>
      <c r="J75" s="74"/>
      <c r="K75" s="147">
        <v>0.25</v>
      </c>
      <c r="L75" s="136">
        <v>58.1</v>
      </c>
      <c r="M75" s="136">
        <v>8.4</v>
      </c>
      <c r="N75" s="136">
        <v>30</v>
      </c>
      <c r="O75" s="123"/>
      <c r="P75" s="23"/>
      <c r="Q75" s="159"/>
      <c r="R75" s="159"/>
      <c r="S75" s="158"/>
      <c r="T75" s="158"/>
      <c r="U75" s="52"/>
      <c r="V75" s="43"/>
      <c r="W75" s="159"/>
      <c r="X75" s="26"/>
      <c r="Y75" s="43"/>
      <c r="Z75" s="66"/>
      <c r="AA75" s="67">
        <v>120</v>
      </c>
      <c r="AB75" s="43">
        <f t="shared" si="1"/>
        <v>120</v>
      </c>
      <c r="AC75" s="159"/>
      <c r="AD75" s="28">
        <f t="shared" si="0"/>
        <v>0</v>
      </c>
      <c r="AE75" s="175"/>
      <c r="AF75" s="28">
        <f t="shared" si="2"/>
        <v>0</v>
      </c>
      <c r="AG75" s="46"/>
      <c r="AH75" s="134">
        <f t="shared" si="19"/>
        <v>0</v>
      </c>
      <c r="AI75" s="30"/>
      <c r="AJ75" s="176"/>
      <c r="AK75" s="46">
        <f t="shared" si="4"/>
        <v>0</v>
      </c>
      <c r="AL75" s="180"/>
      <c r="AM75" s="159"/>
      <c r="AN75" s="30"/>
      <c r="AO75" s="159"/>
      <c r="AP75" s="26" t="s">
        <v>27</v>
      </c>
      <c r="AQ75" s="43"/>
      <c r="AR75" s="29">
        <f t="shared" si="5"/>
        <v>0</v>
      </c>
      <c r="AS75" s="26"/>
      <c r="AT75" s="26"/>
      <c r="AU75" s="43">
        <f t="shared" ref="AU75:AU77" si="27">AA75+AQ75</f>
        <v>120</v>
      </c>
      <c r="AV75" s="159"/>
    </row>
    <row r="76" spans="1:48" ht="16.5" x14ac:dyDescent="0.25">
      <c r="B76" s="191"/>
      <c r="C76" s="158"/>
      <c r="D76" s="155"/>
      <c r="E76" s="117" t="s">
        <v>879</v>
      </c>
      <c r="F76" s="158"/>
      <c r="G76" s="151" t="s">
        <v>173</v>
      </c>
      <c r="H76" s="151" t="s">
        <v>173</v>
      </c>
      <c r="I76" s="117"/>
      <c r="J76" s="74"/>
      <c r="K76" s="147">
        <v>0.25</v>
      </c>
      <c r="L76" s="136">
        <v>158.30000000000001</v>
      </c>
      <c r="M76" s="136">
        <v>-8.5</v>
      </c>
      <c r="N76" s="136">
        <v>30</v>
      </c>
      <c r="O76" s="123"/>
      <c r="P76" s="23"/>
      <c r="Q76" s="159"/>
      <c r="R76" s="159"/>
      <c r="S76" s="158"/>
      <c r="T76" s="158"/>
      <c r="U76" s="52"/>
      <c r="V76" s="43"/>
      <c r="W76" s="159"/>
      <c r="X76" s="26"/>
      <c r="Y76" s="43"/>
      <c r="Z76" s="66"/>
      <c r="AA76" s="67">
        <v>120</v>
      </c>
      <c r="AB76" s="43">
        <f t="shared" si="1"/>
        <v>120</v>
      </c>
      <c r="AC76" s="159"/>
      <c r="AD76" s="28">
        <f t="shared" si="0"/>
        <v>0</v>
      </c>
      <c r="AE76" s="175"/>
      <c r="AF76" s="28">
        <f t="shared" si="2"/>
        <v>0</v>
      </c>
      <c r="AG76" s="46"/>
      <c r="AH76" s="134">
        <f t="shared" si="19"/>
        <v>0</v>
      </c>
      <c r="AI76" s="30"/>
      <c r="AJ76" s="176"/>
      <c r="AK76" s="46">
        <f t="shared" si="4"/>
        <v>0</v>
      </c>
      <c r="AL76" s="180"/>
      <c r="AM76" s="159"/>
      <c r="AN76" s="30"/>
      <c r="AO76" s="159"/>
      <c r="AP76" s="26" t="s">
        <v>27</v>
      </c>
      <c r="AQ76" s="43"/>
      <c r="AR76" s="29">
        <f t="shared" si="5"/>
        <v>0</v>
      </c>
      <c r="AS76" s="26"/>
      <c r="AT76" s="26"/>
      <c r="AU76" s="43">
        <f t="shared" si="27"/>
        <v>120</v>
      </c>
      <c r="AV76" s="159"/>
    </row>
    <row r="77" spans="1:48" ht="15.75" customHeight="1" x14ac:dyDescent="0.25">
      <c r="B77" s="191"/>
      <c r="C77" s="158"/>
      <c r="D77" s="156"/>
      <c r="E77" s="117" t="s">
        <v>880</v>
      </c>
      <c r="F77" s="158"/>
      <c r="G77" s="151" t="s">
        <v>173</v>
      </c>
      <c r="H77" s="151" t="s">
        <v>173</v>
      </c>
      <c r="I77" s="117"/>
      <c r="J77" s="74"/>
      <c r="K77" s="147">
        <v>0.25</v>
      </c>
      <c r="L77" s="136">
        <v>58.1</v>
      </c>
      <c r="M77" s="136">
        <v>-8.4</v>
      </c>
      <c r="N77" s="136">
        <v>30</v>
      </c>
      <c r="O77" s="123"/>
      <c r="P77" s="23"/>
      <c r="Q77" s="159"/>
      <c r="R77" s="159"/>
      <c r="S77" s="158"/>
      <c r="T77" s="158"/>
      <c r="U77" s="52"/>
      <c r="V77" s="43"/>
      <c r="W77" s="159"/>
      <c r="X77" s="26"/>
      <c r="Y77" s="43"/>
      <c r="Z77" s="66"/>
      <c r="AA77" s="67">
        <v>120</v>
      </c>
      <c r="AB77" s="43">
        <f t="shared" si="1"/>
        <v>120</v>
      </c>
      <c r="AC77" s="159"/>
      <c r="AD77" s="28">
        <f t="shared" si="0"/>
        <v>0</v>
      </c>
      <c r="AE77" s="175"/>
      <c r="AF77" s="28">
        <f t="shared" si="2"/>
        <v>0</v>
      </c>
      <c r="AG77" s="46"/>
      <c r="AH77" s="134">
        <f t="shared" si="19"/>
        <v>0</v>
      </c>
      <c r="AI77" s="30"/>
      <c r="AJ77" s="176"/>
      <c r="AK77" s="46">
        <f t="shared" si="4"/>
        <v>0</v>
      </c>
      <c r="AL77" s="180"/>
      <c r="AM77" s="159"/>
      <c r="AN77" s="30"/>
      <c r="AO77" s="159"/>
      <c r="AP77" s="26" t="s">
        <v>27</v>
      </c>
      <c r="AQ77" s="43"/>
      <c r="AR77" s="29">
        <f t="shared" si="5"/>
        <v>0</v>
      </c>
      <c r="AS77" s="26"/>
      <c r="AT77" s="26"/>
      <c r="AU77" s="43">
        <f t="shared" si="27"/>
        <v>120</v>
      </c>
      <c r="AV77" s="159"/>
    </row>
    <row r="78" spans="1:48" ht="66" x14ac:dyDescent="0.25">
      <c r="A78" s="11">
        <v>63</v>
      </c>
      <c r="B78" s="200" t="s">
        <v>186</v>
      </c>
      <c r="C78" s="158" t="s">
        <v>541</v>
      </c>
      <c r="D78" s="154">
        <v>4</v>
      </c>
      <c r="E78" s="117" t="s">
        <v>881</v>
      </c>
      <c r="F78" s="158" t="s">
        <v>187</v>
      </c>
      <c r="G78" s="151" t="s">
        <v>173</v>
      </c>
      <c r="H78" s="151" t="s">
        <v>173</v>
      </c>
      <c r="I78" s="117" t="s">
        <v>850</v>
      </c>
      <c r="J78" s="74"/>
      <c r="K78" s="147">
        <v>0.25</v>
      </c>
      <c r="L78" s="136">
        <v>158.30000000000001</v>
      </c>
      <c r="M78" s="136">
        <v>10.8</v>
      </c>
      <c r="N78" s="136">
        <v>30</v>
      </c>
      <c r="O78" s="123"/>
      <c r="P78" s="23"/>
      <c r="Q78" s="160" t="s">
        <v>616</v>
      </c>
      <c r="R78" s="160" t="s">
        <v>24</v>
      </c>
      <c r="S78" s="157" t="s">
        <v>95</v>
      </c>
      <c r="T78" s="158" t="s">
        <v>181</v>
      </c>
      <c r="U78" s="52">
        <f>365/20/365*100</f>
        <v>5</v>
      </c>
      <c r="V78" s="43" t="s">
        <v>550</v>
      </c>
      <c r="W78" s="159" t="s">
        <v>409</v>
      </c>
      <c r="X78" s="26" t="s">
        <v>266</v>
      </c>
      <c r="Y78" s="43">
        <v>32</v>
      </c>
      <c r="Z78" s="66" t="s">
        <v>806</v>
      </c>
      <c r="AA78" s="67">
        <v>120</v>
      </c>
      <c r="AB78" s="43">
        <f t="shared" ref="AB78" si="28">AA78+Y78</f>
        <v>152</v>
      </c>
      <c r="AC78" s="160">
        <v>115.25</v>
      </c>
      <c r="AD78" s="28">
        <f t="shared" ref="AD78" si="29">AC78*$AY$1</f>
        <v>121.0125</v>
      </c>
      <c r="AE78" s="173">
        <v>0</v>
      </c>
      <c r="AF78" s="28">
        <f t="shared" ref="AF78" si="30">AD78+AE78</f>
        <v>121.0125</v>
      </c>
      <c r="AG78" s="46">
        <v>78.099999999999994</v>
      </c>
      <c r="AH78" s="134">
        <f t="shared" si="19"/>
        <v>60824.279999999992</v>
      </c>
      <c r="AI78" s="30"/>
      <c r="AJ78" s="174">
        <f>6000*AN78</f>
        <v>4672800</v>
      </c>
      <c r="AK78" s="46">
        <f t="shared" ref="AK78:AK81" si="31">AJ78/3600</f>
        <v>1298</v>
      </c>
      <c r="AL78" s="179">
        <v>11.6</v>
      </c>
      <c r="AM78" s="160">
        <v>40</v>
      </c>
      <c r="AN78" s="30">
        <v>778.8</v>
      </c>
      <c r="AO78" s="160" t="s">
        <v>182</v>
      </c>
      <c r="AP78" s="26" t="s">
        <v>27</v>
      </c>
      <c r="AQ78" s="43" t="s">
        <v>27</v>
      </c>
      <c r="AR78" s="29">
        <f t="shared" si="5"/>
        <v>0</v>
      </c>
      <c r="AS78" s="26"/>
      <c r="AT78" s="26"/>
      <c r="AU78" s="32" t="s">
        <v>556</v>
      </c>
      <c r="AV78" s="160"/>
    </row>
    <row r="79" spans="1:48" ht="16.5" x14ac:dyDescent="0.25">
      <c r="B79" s="200"/>
      <c r="C79" s="158"/>
      <c r="D79" s="155"/>
      <c r="E79" s="120" t="s">
        <v>882</v>
      </c>
      <c r="F79" s="158"/>
      <c r="G79" s="151" t="s">
        <v>173</v>
      </c>
      <c r="H79" s="151" t="s">
        <v>173</v>
      </c>
      <c r="I79" s="120"/>
      <c r="J79" s="76"/>
      <c r="K79" s="147">
        <v>0.25</v>
      </c>
      <c r="L79" s="150">
        <v>58.2</v>
      </c>
      <c r="M79" s="150">
        <v>10.5</v>
      </c>
      <c r="N79" s="136">
        <v>30</v>
      </c>
      <c r="O79" s="124"/>
      <c r="P79" s="15"/>
      <c r="Q79" s="160"/>
      <c r="R79" s="160"/>
      <c r="S79" s="157"/>
      <c r="T79" s="158"/>
      <c r="U79" s="27"/>
      <c r="V79" s="43"/>
      <c r="W79" s="159"/>
      <c r="X79" s="17"/>
      <c r="Y79" s="17"/>
      <c r="Z79" s="71"/>
      <c r="AA79" s="16">
        <v>90</v>
      </c>
      <c r="AB79" s="21"/>
      <c r="AC79" s="160"/>
      <c r="AD79" s="18"/>
      <c r="AE79" s="173"/>
      <c r="AF79" s="18">
        <f t="shared" ref="AF79:AF81" si="32">AE79+AC79</f>
        <v>0</v>
      </c>
      <c r="AG79" s="64"/>
      <c r="AH79" s="134">
        <f t="shared" si="19"/>
        <v>0</v>
      </c>
      <c r="AI79" s="21"/>
      <c r="AJ79" s="174"/>
      <c r="AK79" s="64">
        <f t="shared" si="31"/>
        <v>0</v>
      </c>
      <c r="AL79" s="179"/>
      <c r="AM79" s="160"/>
      <c r="AN79" s="16"/>
      <c r="AO79" s="160"/>
      <c r="AP79" s="16" t="s">
        <v>27</v>
      </c>
      <c r="AQ79" s="44"/>
      <c r="AR79" s="19">
        <f t="shared" ref="AR79:AR81" si="33">SQRT(AS79/3.14)*2</f>
        <v>0</v>
      </c>
      <c r="AS79" s="16"/>
      <c r="AT79" s="16"/>
      <c r="AU79" s="16"/>
      <c r="AV79" s="160"/>
    </row>
    <row r="80" spans="1:48" ht="16.5" x14ac:dyDescent="0.25">
      <c r="B80" s="200"/>
      <c r="C80" s="158"/>
      <c r="D80" s="155"/>
      <c r="E80" s="120" t="s">
        <v>884</v>
      </c>
      <c r="F80" s="158"/>
      <c r="G80" s="151" t="s">
        <v>173</v>
      </c>
      <c r="H80" s="151" t="s">
        <v>173</v>
      </c>
      <c r="I80" s="120"/>
      <c r="J80" s="76"/>
      <c r="K80" s="147">
        <v>0.25</v>
      </c>
      <c r="L80" s="136">
        <v>158.30000000000001</v>
      </c>
      <c r="M80" s="136">
        <v>-10.8</v>
      </c>
      <c r="N80" s="136">
        <v>30</v>
      </c>
      <c r="O80" s="124"/>
      <c r="P80" s="15"/>
      <c r="Q80" s="160"/>
      <c r="R80" s="160"/>
      <c r="S80" s="157"/>
      <c r="T80" s="158"/>
      <c r="U80" s="27"/>
      <c r="V80" s="43"/>
      <c r="W80" s="159"/>
      <c r="X80" s="17"/>
      <c r="Y80" s="17"/>
      <c r="Z80" s="71"/>
      <c r="AA80" s="16">
        <v>90</v>
      </c>
      <c r="AB80" s="21"/>
      <c r="AC80" s="160"/>
      <c r="AD80" s="18"/>
      <c r="AE80" s="173"/>
      <c r="AF80" s="18">
        <f t="shared" si="32"/>
        <v>0</v>
      </c>
      <c r="AG80" s="64"/>
      <c r="AH80" s="134">
        <f t="shared" si="19"/>
        <v>0</v>
      </c>
      <c r="AI80" s="21"/>
      <c r="AJ80" s="174"/>
      <c r="AK80" s="64">
        <f t="shared" si="31"/>
        <v>0</v>
      </c>
      <c r="AL80" s="179"/>
      <c r="AM80" s="160"/>
      <c r="AN80" s="16"/>
      <c r="AO80" s="160"/>
      <c r="AP80" s="16" t="s">
        <v>27</v>
      </c>
      <c r="AQ80" s="44"/>
      <c r="AR80" s="19">
        <f t="shared" si="33"/>
        <v>0</v>
      </c>
      <c r="AS80" s="16"/>
      <c r="AT80" s="16"/>
      <c r="AU80" s="16"/>
      <c r="AV80" s="160"/>
    </row>
    <row r="81" spans="2:48" ht="16.5" x14ac:dyDescent="0.25">
      <c r="B81" s="200"/>
      <c r="C81" s="158"/>
      <c r="D81" s="156"/>
      <c r="E81" s="120" t="s">
        <v>883</v>
      </c>
      <c r="F81" s="158"/>
      <c r="G81" s="151" t="s">
        <v>173</v>
      </c>
      <c r="H81" s="151" t="s">
        <v>173</v>
      </c>
      <c r="I81" s="120"/>
      <c r="J81" s="76"/>
      <c r="K81" s="147">
        <v>0.25</v>
      </c>
      <c r="L81" s="150">
        <v>58.2</v>
      </c>
      <c r="M81" s="150">
        <v>-10.5</v>
      </c>
      <c r="N81" s="136">
        <v>30</v>
      </c>
      <c r="O81" s="124"/>
      <c r="P81" s="15"/>
      <c r="Q81" s="160"/>
      <c r="R81" s="160"/>
      <c r="S81" s="157"/>
      <c r="T81" s="158"/>
      <c r="U81" s="27"/>
      <c r="V81" s="43"/>
      <c r="W81" s="159"/>
      <c r="X81" s="17"/>
      <c r="Y81" s="17"/>
      <c r="Z81" s="71"/>
      <c r="AA81" s="16">
        <v>90</v>
      </c>
      <c r="AB81" s="21"/>
      <c r="AC81" s="160"/>
      <c r="AD81" s="18"/>
      <c r="AE81" s="173"/>
      <c r="AF81" s="18">
        <f t="shared" si="32"/>
        <v>0</v>
      </c>
      <c r="AG81" s="64"/>
      <c r="AH81" s="134">
        <f t="shared" si="19"/>
        <v>0</v>
      </c>
      <c r="AI81" s="21"/>
      <c r="AJ81" s="174"/>
      <c r="AK81" s="64">
        <f t="shared" si="31"/>
        <v>0</v>
      </c>
      <c r="AL81" s="179"/>
      <c r="AM81" s="160"/>
      <c r="AN81" s="16"/>
      <c r="AO81" s="160"/>
      <c r="AP81" s="16" t="s">
        <v>27</v>
      </c>
      <c r="AQ81" s="44"/>
      <c r="AR81" s="19">
        <f t="shared" si="33"/>
        <v>0</v>
      </c>
      <c r="AS81" s="16"/>
      <c r="AT81" s="16"/>
      <c r="AU81" s="16"/>
      <c r="AV81" s="160"/>
    </row>
    <row r="82" spans="2:48" ht="16.5" x14ac:dyDescent="0.25">
      <c r="B82" s="24"/>
    </row>
    <row r="84" spans="2:48" x14ac:dyDescent="0.25">
      <c r="G84" s="11" t="s">
        <v>885</v>
      </c>
      <c r="H84" s="11" t="s">
        <v>886</v>
      </c>
    </row>
    <row r="85" spans="2:48" x14ac:dyDescent="0.25">
      <c r="G85" s="11" t="s">
        <v>286</v>
      </c>
      <c r="H85" s="11">
        <f>COUNTIF($H$3:$H$81,G85)</f>
        <v>34</v>
      </c>
    </row>
    <row r="86" spans="2:48" x14ac:dyDescent="0.25">
      <c r="G86" s="11" t="s">
        <v>285</v>
      </c>
      <c r="H86" s="11">
        <f>COUNTIF($H$3:$H$81,G86)</f>
        <v>25</v>
      </c>
    </row>
    <row r="87" spans="2:48" x14ac:dyDescent="0.25">
      <c r="G87" s="11" t="s">
        <v>654</v>
      </c>
      <c r="H87" s="11">
        <f>COUNTIF($H$3:$H$81,G87)</f>
        <v>4</v>
      </c>
    </row>
    <row r="88" spans="2:48" x14ac:dyDescent="0.25">
      <c r="G88" s="11" t="s">
        <v>173</v>
      </c>
      <c r="H88" s="11">
        <f>COUNTIF($H$3:$H$81,G88)</f>
        <v>15</v>
      </c>
    </row>
    <row r="89" spans="2:48" x14ac:dyDescent="0.25">
      <c r="H89" s="11">
        <f>SUM(H85:H88)</f>
        <v>78</v>
      </c>
    </row>
    <row r="90" spans="2:48" x14ac:dyDescent="0.25">
      <c r="H90" s="207">
        <f>81-3+1-1</f>
        <v>78</v>
      </c>
      <c r="I90" s="48" t="s">
        <v>887</v>
      </c>
    </row>
  </sheetData>
  <autoFilter ref="A2:AY81" xr:uid="{5592CA37-0E81-4B28-9EEE-59B6566DFDEE}">
    <filterColumn colId="7">
      <filters>
        <filter val="A"/>
        <filter val="B"/>
        <filter val="C"/>
        <filter val="Hull"/>
      </filters>
    </filterColumn>
  </autoFilter>
  <mergeCells count="158">
    <mergeCell ref="AK30:AK32"/>
    <mergeCell ref="AK27:AK28"/>
    <mergeCell ref="AR30:AR32"/>
    <mergeCell ref="AU30:AU32"/>
    <mergeCell ref="S38:S40"/>
    <mergeCell ref="AM47:AM49"/>
    <mergeCell ref="AN47:AN49"/>
    <mergeCell ref="AP47:AP49"/>
    <mergeCell ref="AR47:AR49"/>
    <mergeCell ref="AU47:AU49"/>
    <mergeCell ref="AF47:AF49"/>
    <mergeCell ref="AG47:AG49"/>
    <mergeCell ref="AJ47:AJ49"/>
    <mergeCell ref="AK47:AK49"/>
    <mergeCell ref="AL47:AL49"/>
    <mergeCell ref="AL38:AL40"/>
    <mergeCell ref="U47:U49"/>
    <mergeCell ref="W47:W49"/>
    <mergeCell ref="X47:X49"/>
    <mergeCell ref="AD47:AD49"/>
    <mergeCell ref="AE47:AE49"/>
    <mergeCell ref="S47:S49"/>
    <mergeCell ref="AM38:AM40"/>
    <mergeCell ref="AG30:AG32"/>
    <mergeCell ref="AJ30:AJ32"/>
    <mergeCell ref="A38:A40"/>
    <mergeCell ref="A24:A25"/>
    <mergeCell ref="A30:A32"/>
    <mergeCell ref="A47:A48"/>
    <mergeCell ref="Q30:Q32"/>
    <mergeCell ref="R30:R32"/>
    <mergeCell ref="B47:B49"/>
    <mergeCell ref="C47:C49"/>
    <mergeCell ref="Q47:Q49"/>
    <mergeCell ref="R47:R49"/>
    <mergeCell ref="I38:I40"/>
    <mergeCell ref="I30:I31"/>
    <mergeCell ref="D24:D25"/>
    <mergeCell ref="D27:D28"/>
    <mergeCell ref="D30:D32"/>
    <mergeCell ref="D38:D40"/>
    <mergeCell ref="D47:D49"/>
    <mergeCell ref="C24:C25"/>
    <mergeCell ref="Q24:Q25"/>
    <mergeCell ref="R24:R25"/>
    <mergeCell ref="AD27:AD28"/>
    <mergeCell ref="X27:X28"/>
    <mergeCell ref="AE27:AE28"/>
    <mergeCell ref="C78:C81"/>
    <mergeCell ref="B21:B22"/>
    <mergeCell ref="C38:C40"/>
    <mergeCell ref="C74:C77"/>
    <mergeCell ref="B24:B26"/>
    <mergeCell ref="B27:B29"/>
    <mergeCell ref="B30:B34"/>
    <mergeCell ref="B36:B37"/>
    <mergeCell ref="B41:B42"/>
    <mergeCell ref="B38:B40"/>
    <mergeCell ref="B58:B59"/>
    <mergeCell ref="B69:B70"/>
    <mergeCell ref="B74:B77"/>
    <mergeCell ref="B78:B81"/>
    <mergeCell ref="B43:B44"/>
    <mergeCell ref="B45:B46"/>
    <mergeCell ref="B52:B53"/>
    <mergeCell ref="B54:B55"/>
    <mergeCell ref="B62:B65"/>
    <mergeCell ref="B72:B73"/>
    <mergeCell ref="AR24:AR25"/>
    <mergeCell ref="AU24:AU25"/>
    <mergeCell ref="C27:C28"/>
    <mergeCell ref="C30:C32"/>
    <mergeCell ref="AL24:AL25"/>
    <mergeCell ref="AM24:AM25"/>
    <mergeCell ref="AN24:AN25"/>
    <mergeCell ref="AO24:AO25"/>
    <mergeCell ref="AP24:AP25"/>
    <mergeCell ref="AE24:AE25"/>
    <mergeCell ref="AF24:AF25"/>
    <mergeCell ref="AG24:AG25"/>
    <mergeCell ref="AJ24:AJ25"/>
    <mergeCell ref="AK24:AK25"/>
    <mergeCell ref="T24:T25"/>
    <mergeCell ref="U24:U25"/>
    <mergeCell ref="W24:W25"/>
    <mergeCell ref="X24:X25"/>
    <mergeCell ref="AD24:AD25"/>
    <mergeCell ref="S24:S25"/>
    <mergeCell ref="AG27:AG28"/>
    <mergeCell ref="AJ27:AJ28"/>
    <mergeCell ref="AR27:AR28"/>
    <mergeCell ref="AU27:AU28"/>
    <mergeCell ref="B9:B10"/>
    <mergeCell ref="B11:B13"/>
    <mergeCell ref="B14:B16"/>
    <mergeCell ref="B17:B18"/>
    <mergeCell ref="B19:B20"/>
    <mergeCell ref="S27:S28"/>
    <mergeCell ref="T27:T28"/>
    <mergeCell ref="U27:U28"/>
    <mergeCell ref="W27:W28"/>
    <mergeCell ref="AF27:AF28"/>
    <mergeCell ref="S30:S32"/>
    <mergeCell ref="T30:T32"/>
    <mergeCell ref="U30:U32"/>
    <mergeCell ref="W30:W32"/>
    <mergeCell ref="X30:X32"/>
    <mergeCell ref="AD30:AD32"/>
    <mergeCell ref="AE30:AE32"/>
    <mergeCell ref="AF30:AF32"/>
    <mergeCell ref="AL27:AL28"/>
    <mergeCell ref="AM27:AM28"/>
    <mergeCell ref="AV78:AV81"/>
    <mergeCell ref="AL78:AL81"/>
    <mergeCell ref="AM78:AM81"/>
    <mergeCell ref="AO78:AO81"/>
    <mergeCell ref="AV74:AV77"/>
    <mergeCell ref="AL74:AL77"/>
    <mergeCell ref="AM74:AM77"/>
    <mergeCell ref="AO74:AO77"/>
    <mergeCell ref="AN38:AN40"/>
    <mergeCell ref="AR38:AR40"/>
    <mergeCell ref="AU38:AU40"/>
    <mergeCell ref="AN27:AN28"/>
    <mergeCell ref="AL30:AL32"/>
    <mergeCell ref="AM30:AM32"/>
    <mergeCell ref="AN30:AN32"/>
    <mergeCell ref="AP27:AP28"/>
    <mergeCell ref="AP38:AP40"/>
    <mergeCell ref="AP30:AP32"/>
    <mergeCell ref="W38:W40"/>
    <mergeCell ref="X38:X40"/>
    <mergeCell ref="AD38:AD40"/>
    <mergeCell ref="AE38:AE40"/>
    <mergeCell ref="AF38:AF40"/>
    <mergeCell ref="AG38:AG40"/>
    <mergeCell ref="AJ38:AJ40"/>
    <mergeCell ref="AK38:AK40"/>
    <mergeCell ref="AC78:AC81"/>
    <mergeCell ref="AE78:AE81"/>
    <mergeCell ref="AJ78:AJ81"/>
    <mergeCell ref="AE74:AE77"/>
    <mergeCell ref="AJ74:AJ77"/>
    <mergeCell ref="D74:D77"/>
    <mergeCell ref="D78:D81"/>
    <mergeCell ref="S78:S81"/>
    <mergeCell ref="T78:T81"/>
    <mergeCell ref="W78:W81"/>
    <mergeCell ref="F78:F81"/>
    <mergeCell ref="W74:W77"/>
    <mergeCell ref="AC74:AC77"/>
    <mergeCell ref="Q78:Q81"/>
    <mergeCell ref="R78:R81"/>
    <mergeCell ref="F74:F77"/>
    <mergeCell ref="Q74:Q77"/>
    <mergeCell ref="R74:R77"/>
    <mergeCell ref="S74:S77"/>
    <mergeCell ref="T74:T77"/>
  </mergeCells>
  <pageMargins left="0.25" right="0.25" top="0.75" bottom="0.75" header="0.3" footer="0.3"/>
  <pageSetup paperSize="8" scale="37" fitToHeight="0" orientation="landscape" r:id="rId1"/>
  <colBreaks count="1" manualBreakCount="1">
    <brk id="47" max="68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BE64-211B-4CFE-9D43-266EA575D982}">
  <dimension ref="A2:N80"/>
  <sheetViews>
    <sheetView workbookViewId="0">
      <selection activeCell="R14" sqref="R14"/>
    </sheetView>
  </sheetViews>
  <sheetFormatPr defaultRowHeight="15.75" x14ac:dyDescent="0.25"/>
  <cols>
    <col min="1" max="1" width="21.28515625" style="11" customWidth="1"/>
    <col min="2" max="4" width="6.7109375" style="88" customWidth="1"/>
  </cols>
  <sheetData>
    <row r="2" spans="1:14" ht="49.5" x14ac:dyDescent="0.25">
      <c r="A2" s="87" t="s">
        <v>727</v>
      </c>
      <c r="B2" s="69" t="s">
        <v>809</v>
      </c>
      <c r="C2" s="69" t="s">
        <v>810</v>
      </c>
      <c r="D2" s="69" t="s">
        <v>811</v>
      </c>
      <c r="F2" s="148" t="s">
        <v>869</v>
      </c>
      <c r="G2">
        <v>1000</v>
      </c>
      <c r="H2" s="149" t="s">
        <v>870</v>
      </c>
      <c r="I2">
        <v>100</v>
      </c>
      <c r="J2" t="s">
        <v>871</v>
      </c>
      <c r="K2">
        <v>1000</v>
      </c>
    </row>
    <row r="3" spans="1:14" ht="16.5" x14ac:dyDescent="0.25">
      <c r="A3" s="144" t="s">
        <v>484</v>
      </c>
      <c r="B3" s="144">
        <v>176.1</v>
      </c>
      <c r="C3" s="144">
        <v>-10.4</v>
      </c>
      <c r="D3" s="144">
        <v>44.8</v>
      </c>
      <c r="F3" t="s">
        <v>868</v>
      </c>
      <c r="G3">
        <f t="array" ref="G3:I3">1000*B3:D3</f>
        <v>176100</v>
      </c>
      <c r="H3">
        <v>-10400</v>
      </c>
      <c r="I3">
        <v>44800</v>
      </c>
      <c r="J3">
        <f>G3</f>
        <v>176100</v>
      </c>
      <c r="K3">
        <f>H3</f>
        <v>-10400</v>
      </c>
      <c r="L3">
        <f t="shared" ref="L3:L34" si="0">I3+FH</f>
        <v>45800</v>
      </c>
      <c r="M3">
        <f t="shared" ref="M3:M34" si="1">RLow</f>
        <v>100</v>
      </c>
      <c r="N3">
        <f t="shared" ref="N3:N34" si="2">RHigh</f>
        <v>1000</v>
      </c>
    </row>
    <row r="4" spans="1:14" ht="16.5" x14ac:dyDescent="0.25">
      <c r="A4" s="144" t="s">
        <v>485</v>
      </c>
      <c r="B4" s="144">
        <v>189.9</v>
      </c>
      <c r="C4" s="144">
        <v>-7</v>
      </c>
      <c r="D4" s="144">
        <v>44.9</v>
      </c>
      <c r="F4" t="s">
        <v>868</v>
      </c>
      <c r="G4">
        <f t="array" ref="G4:I4">1000*B4:D4</f>
        <v>189900</v>
      </c>
      <c r="H4">
        <v>-7000</v>
      </c>
      <c r="I4">
        <v>44900</v>
      </c>
      <c r="J4">
        <f t="shared" ref="J4:J67" si="3">G4</f>
        <v>189900</v>
      </c>
      <c r="K4">
        <f t="shared" ref="K4:K67" si="4">H4</f>
        <v>-7000</v>
      </c>
      <c r="L4">
        <f t="shared" si="0"/>
        <v>45900</v>
      </c>
      <c r="M4">
        <f t="shared" si="1"/>
        <v>100</v>
      </c>
      <c r="N4">
        <f t="shared" si="2"/>
        <v>1000</v>
      </c>
    </row>
    <row r="5" spans="1:14" ht="16.5" x14ac:dyDescent="0.25">
      <c r="A5" s="144" t="s">
        <v>486</v>
      </c>
      <c r="B5" s="144">
        <v>186.6</v>
      </c>
      <c r="C5" s="144">
        <v>-10.8</v>
      </c>
      <c r="D5" s="144">
        <v>45</v>
      </c>
      <c r="F5" t="s">
        <v>868</v>
      </c>
      <c r="G5">
        <f t="array" ref="G5:I5">1000*B5:D5</f>
        <v>186600</v>
      </c>
      <c r="H5">
        <v>-10800</v>
      </c>
      <c r="I5">
        <v>45000</v>
      </c>
      <c r="J5">
        <f t="shared" si="3"/>
        <v>186600</v>
      </c>
      <c r="K5">
        <f t="shared" si="4"/>
        <v>-10800</v>
      </c>
      <c r="L5">
        <f t="shared" si="0"/>
        <v>46000</v>
      </c>
      <c r="M5">
        <f t="shared" si="1"/>
        <v>100</v>
      </c>
      <c r="N5">
        <f t="shared" si="2"/>
        <v>1000</v>
      </c>
    </row>
    <row r="6" spans="1:14" ht="16.5" x14ac:dyDescent="0.25">
      <c r="A6" s="144" t="s">
        <v>487</v>
      </c>
      <c r="B6" s="144">
        <v>176.1</v>
      </c>
      <c r="C6" s="144">
        <v>-10.3</v>
      </c>
      <c r="D6" s="144">
        <v>44.8</v>
      </c>
      <c r="F6" t="s">
        <v>868</v>
      </c>
      <c r="G6">
        <f t="array" ref="G6:I6">1000*B6:D6</f>
        <v>176100</v>
      </c>
      <c r="H6">
        <v>-10300</v>
      </c>
      <c r="I6">
        <v>44800</v>
      </c>
      <c r="J6">
        <f t="shared" si="3"/>
        <v>176100</v>
      </c>
      <c r="K6">
        <f t="shared" si="4"/>
        <v>-10300</v>
      </c>
      <c r="L6">
        <f t="shared" si="0"/>
        <v>45800</v>
      </c>
      <c r="M6">
        <f t="shared" si="1"/>
        <v>100</v>
      </c>
      <c r="N6">
        <f t="shared" si="2"/>
        <v>1000</v>
      </c>
    </row>
    <row r="7" spans="1:14" ht="16.5" x14ac:dyDescent="0.25">
      <c r="A7" s="145" t="s">
        <v>488</v>
      </c>
      <c r="B7" s="145">
        <v>176.9</v>
      </c>
      <c r="C7" s="145">
        <v>20.6</v>
      </c>
      <c r="D7" s="145">
        <v>31.5</v>
      </c>
      <c r="F7" t="s">
        <v>868</v>
      </c>
      <c r="G7">
        <f t="array" ref="G7:I7">1000*B7:D7</f>
        <v>176900</v>
      </c>
      <c r="H7">
        <v>20600</v>
      </c>
      <c r="I7">
        <v>31500</v>
      </c>
      <c r="J7">
        <f t="shared" si="3"/>
        <v>176900</v>
      </c>
      <c r="K7">
        <f t="shared" si="4"/>
        <v>20600</v>
      </c>
      <c r="L7">
        <f t="shared" si="0"/>
        <v>32500</v>
      </c>
      <c r="M7">
        <f t="shared" si="1"/>
        <v>100</v>
      </c>
      <c r="N7">
        <f t="shared" si="2"/>
        <v>1000</v>
      </c>
    </row>
    <row r="8" spans="1:14" ht="16.5" x14ac:dyDescent="0.25">
      <c r="A8" s="145" t="s">
        <v>489</v>
      </c>
      <c r="B8" s="145">
        <v>165.5</v>
      </c>
      <c r="C8" s="145">
        <v>9.5</v>
      </c>
      <c r="D8" s="145">
        <v>30.5</v>
      </c>
      <c r="F8" t="s">
        <v>868</v>
      </c>
      <c r="G8">
        <f t="array" ref="G8:I8">1000*B8:D8</f>
        <v>165500</v>
      </c>
      <c r="H8">
        <v>9500</v>
      </c>
      <c r="I8">
        <v>30500</v>
      </c>
      <c r="J8">
        <f t="shared" si="3"/>
        <v>165500</v>
      </c>
      <c r="K8">
        <f t="shared" si="4"/>
        <v>9500</v>
      </c>
      <c r="L8">
        <f t="shared" si="0"/>
        <v>31500</v>
      </c>
      <c r="M8">
        <f t="shared" si="1"/>
        <v>100</v>
      </c>
      <c r="N8">
        <f t="shared" si="2"/>
        <v>1000</v>
      </c>
    </row>
    <row r="9" spans="1:14" ht="16.5" x14ac:dyDescent="0.25">
      <c r="A9" s="144" t="s">
        <v>490</v>
      </c>
      <c r="B9" s="144">
        <v>185</v>
      </c>
      <c r="C9" s="144">
        <v>-9</v>
      </c>
      <c r="D9" s="144">
        <v>40.5</v>
      </c>
      <c r="F9" t="s">
        <v>868</v>
      </c>
      <c r="G9">
        <f t="array" ref="G9:I9">1000*B9:D9</f>
        <v>185000</v>
      </c>
      <c r="H9">
        <v>-9000</v>
      </c>
      <c r="I9">
        <v>40500</v>
      </c>
      <c r="J9">
        <f t="shared" si="3"/>
        <v>185000</v>
      </c>
      <c r="K9">
        <f t="shared" si="4"/>
        <v>-9000</v>
      </c>
      <c r="L9">
        <f t="shared" si="0"/>
        <v>41500</v>
      </c>
      <c r="M9">
        <f t="shared" si="1"/>
        <v>100</v>
      </c>
      <c r="N9">
        <f t="shared" si="2"/>
        <v>1000</v>
      </c>
    </row>
    <row r="10" spans="1:14" ht="16.5" x14ac:dyDescent="0.25">
      <c r="A10" s="144" t="s">
        <v>491</v>
      </c>
      <c r="B10" s="144">
        <v>172.8</v>
      </c>
      <c r="C10" s="144">
        <v>-8.9</v>
      </c>
      <c r="D10" s="144">
        <v>36.1</v>
      </c>
      <c r="F10" t="s">
        <v>868</v>
      </c>
      <c r="G10">
        <f t="array" ref="G10:I10">1000*B10:D10</f>
        <v>172800</v>
      </c>
      <c r="H10">
        <v>-8900</v>
      </c>
      <c r="I10">
        <v>36100</v>
      </c>
      <c r="J10">
        <f t="shared" si="3"/>
        <v>172800</v>
      </c>
      <c r="K10">
        <f t="shared" si="4"/>
        <v>-8900</v>
      </c>
      <c r="L10">
        <f t="shared" si="0"/>
        <v>37100</v>
      </c>
      <c r="M10">
        <f t="shared" si="1"/>
        <v>100</v>
      </c>
      <c r="N10">
        <f t="shared" si="2"/>
        <v>1000</v>
      </c>
    </row>
    <row r="11" spans="1:14" ht="16.5" x14ac:dyDescent="0.25">
      <c r="A11" s="144" t="s">
        <v>492</v>
      </c>
      <c r="B11" s="145">
        <v>181</v>
      </c>
      <c r="C11" s="145">
        <v>-18</v>
      </c>
      <c r="D11" s="145">
        <v>41</v>
      </c>
      <c r="F11" t="s">
        <v>868</v>
      </c>
      <c r="G11">
        <f t="array" ref="G11:I11">1000*B11:D11</f>
        <v>181000</v>
      </c>
      <c r="H11">
        <v>-18000</v>
      </c>
      <c r="I11">
        <v>41000</v>
      </c>
      <c r="J11">
        <f t="shared" si="3"/>
        <v>181000</v>
      </c>
      <c r="K11">
        <f t="shared" si="4"/>
        <v>-18000</v>
      </c>
      <c r="L11">
        <f t="shared" si="0"/>
        <v>42000</v>
      </c>
      <c r="M11">
        <f t="shared" si="1"/>
        <v>100</v>
      </c>
      <c r="N11">
        <f t="shared" si="2"/>
        <v>1000</v>
      </c>
    </row>
    <row r="12" spans="1:14" ht="16.5" x14ac:dyDescent="0.25">
      <c r="A12" s="144" t="s">
        <v>493</v>
      </c>
      <c r="B12" s="145">
        <v>173</v>
      </c>
      <c r="C12" s="145">
        <v>-18</v>
      </c>
      <c r="D12" s="145">
        <v>41</v>
      </c>
      <c r="F12" t="s">
        <v>868</v>
      </c>
      <c r="G12">
        <f t="array" ref="G12:I12">1000*B12:D12</f>
        <v>173000</v>
      </c>
      <c r="H12">
        <v>-18000</v>
      </c>
      <c r="I12">
        <v>41000</v>
      </c>
      <c r="J12">
        <f t="shared" si="3"/>
        <v>173000</v>
      </c>
      <c r="K12">
        <f t="shared" si="4"/>
        <v>-18000</v>
      </c>
      <c r="L12">
        <f t="shared" si="0"/>
        <v>42000</v>
      </c>
      <c r="M12">
        <f t="shared" si="1"/>
        <v>100</v>
      </c>
      <c r="N12">
        <f t="shared" si="2"/>
        <v>1000</v>
      </c>
    </row>
    <row r="13" spans="1:14" ht="16.5" x14ac:dyDescent="0.25">
      <c r="A13" s="144" t="s">
        <v>494</v>
      </c>
      <c r="B13" s="144">
        <v>174</v>
      </c>
      <c r="C13" s="144">
        <v>-19</v>
      </c>
      <c r="D13" s="144">
        <v>36</v>
      </c>
      <c r="F13" t="s">
        <v>868</v>
      </c>
      <c r="G13">
        <f t="array" ref="G13:I13">1000*B13:D13</f>
        <v>174000</v>
      </c>
      <c r="H13">
        <v>-19000</v>
      </c>
      <c r="I13">
        <v>36000</v>
      </c>
      <c r="J13">
        <f t="shared" si="3"/>
        <v>174000</v>
      </c>
      <c r="K13">
        <f t="shared" si="4"/>
        <v>-19000</v>
      </c>
      <c r="L13">
        <f t="shared" si="0"/>
        <v>37000</v>
      </c>
      <c r="M13">
        <f t="shared" si="1"/>
        <v>100</v>
      </c>
      <c r="N13">
        <f t="shared" si="2"/>
        <v>1000</v>
      </c>
    </row>
    <row r="14" spans="1:14" ht="16.5" x14ac:dyDescent="0.25">
      <c r="A14" s="144" t="s">
        <v>495</v>
      </c>
      <c r="B14" s="144">
        <v>157.9</v>
      </c>
      <c r="C14" s="144">
        <v>-9.3000000000000007</v>
      </c>
      <c r="D14" s="144">
        <v>44.8</v>
      </c>
      <c r="F14" t="s">
        <v>868</v>
      </c>
      <c r="G14">
        <f t="array" ref="G14:I14">1000*B14:D14</f>
        <v>157900</v>
      </c>
      <c r="H14">
        <v>-9300</v>
      </c>
      <c r="I14">
        <v>44800</v>
      </c>
      <c r="J14">
        <f t="shared" si="3"/>
        <v>157900</v>
      </c>
      <c r="K14">
        <f t="shared" si="4"/>
        <v>-9300</v>
      </c>
      <c r="L14">
        <f t="shared" si="0"/>
        <v>45800</v>
      </c>
      <c r="M14">
        <f t="shared" si="1"/>
        <v>100</v>
      </c>
      <c r="N14">
        <f t="shared" si="2"/>
        <v>1000</v>
      </c>
    </row>
    <row r="15" spans="1:14" ht="16.5" x14ac:dyDescent="0.25">
      <c r="A15" s="144" t="s">
        <v>496</v>
      </c>
      <c r="B15" s="144">
        <v>151.9</v>
      </c>
      <c r="C15" s="144">
        <v>-14.4</v>
      </c>
      <c r="D15" s="144">
        <v>49.3</v>
      </c>
      <c r="F15" t="s">
        <v>868</v>
      </c>
      <c r="G15">
        <f t="array" ref="G15:I15">1000*B15:D15</f>
        <v>151900</v>
      </c>
      <c r="H15">
        <v>-14400</v>
      </c>
      <c r="I15">
        <v>49300</v>
      </c>
      <c r="J15">
        <f t="shared" si="3"/>
        <v>151900</v>
      </c>
      <c r="K15">
        <f t="shared" si="4"/>
        <v>-14400</v>
      </c>
      <c r="L15">
        <f t="shared" si="0"/>
        <v>50300</v>
      </c>
      <c r="M15">
        <f t="shared" si="1"/>
        <v>100</v>
      </c>
      <c r="N15">
        <f t="shared" si="2"/>
        <v>1000</v>
      </c>
    </row>
    <row r="16" spans="1:14" ht="16.5" x14ac:dyDescent="0.25">
      <c r="A16" s="144" t="s">
        <v>497</v>
      </c>
      <c r="B16" s="144">
        <v>161</v>
      </c>
      <c r="C16" s="144">
        <v>-18.600000000000001</v>
      </c>
      <c r="D16" s="144">
        <v>39.799999999999997</v>
      </c>
      <c r="F16" t="s">
        <v>868</v>
      </c>
      <c r="G16">
        <f t="array" ref="G16:I16">1000*B16:D16</f>
        <v>161000</v>
      </c>
      <c r="H16">
        <v>-18600</v>
      </c>
      <c r="I16">
        <v>39800</v>
      </c>
      <c r="J16">
        <f t="shared" si="3"/>
        <v>161000</v>
      </c>
      <c r="K16">
        <f t="shared" si="4"/>
        <v>-18600</v>
      </c>
      <c r="L16">
        <f t="shared" si="0"/>
        <v>40800</v>
      </c>
      <c r="M16">
        <f t="shared" si="1"/>
        <v>100</v>
      </c>
      <c r="N16">
        <f t="shared" si="2"/>
        <v>1000</v>
      </c>
    </row>
    <row r="17" spans="1:14" ht="16.5" x14ac:dyDescent="0.25">
      <c r="A17" s="144" t="s">
        <v>498</v>
      </c>
      <c r="B17" s="144">
        <v>159.5</v>
      </c>
      <c r="C17" s="144">
        <v>-7.5</v>
      </c>
      <c r="D17" s="144">
        <v>36.5</v>
      </c>
      <c r="F17" t="s">
        <v>868</v>
      </c>
      <c r="G17">
        <f t="array" ref="G17:I17">1000*B17:D17</f>
        <v>159500</v>
      </c>
      <c r="H17">
        <v>-7500</v>
      </c>
      <c r="I17">
        <v>36500</v>
      </c>
      <c r="J17">
        <f t="shared" si="3"/>
        <v>159500</v>
      </c>
      <c r="K17">
        <f t="shared" si="4"/>
        <v>-7500</v>
      </c>
      <c r="L17">
        <f t="shared" si="0"/>
        <v>37500</v>
      </c>
      <c r="M17">
        <f t="shared" si="1"/>
        <v>100</v>
      </c>
      <c r="N17">
        <f t="shared" si="2"/>
        <v>1000</v>
      </c>
    </row>
    <row r="18" spans="1:14" ht="16.5" x14ac:dyDescent="0.25">
      <c r="A18" s="144" t="s">
        <v>499</v>
      </c>
      <c r="B18" s="144">
        <v>157.69999999999999</v>
      </c>
      <c r="C18" s="144">
        <v>-8.4</v>
      </c>
      <c r="D18" s="144">
        <v>48.9</v>
      </c>
      <c r="F18" t="s">
        <v>868</v>
      </c>
      <c r="G18">
        <f t="array" ref="G18:I18">1000*B18:D18</f>
        <v>157700</v>
      </c>
      <c r="H18">
        <v>-8400</v>
      </c>
      <c r="I18">
        <v>48900</v>
      </c>
      <c r="J18">
        <f t="shared" si="3"/>
        <v>157700</v>
      </c>
      <c r="K18">
        <f t="shared" si="4"/>
        <v>-8400</v>
      </c>
      <c r="L18">
        <f t="shared" si="0"/>
        <v>49900</v>
      </c>
      <c r="M18">
        <f t="shared" si="1"/>
        <v>100</v>
      </c>
      <c r="N18">
        <f t="shared" si="2"/>
        <v>1000</v>
      </c>
    </row>
    <row r="19" spans="1:14" ht="16.5" x14ac:dyDescent="0.25">
      <c r="A19" s="145" t="s">
        <v>500</v>
      </c>
      <c r="B19" s="145">
        <v>188.2</v>
      </c>
      <c r="C19" s="145">
        <v>-19.600000000000001</v>
      </c>
      <c r="D19" s="145">
        <v>40.9</v>
      </c>
      <c r="F19" t="s">
        <v>868</v>
      </c>
      <c r="G19">
        <f t="array" ref="G19:I19">1000*B19:D19</f>
        <v>188200</v>
      </c>
      <c r="H19">
        <v>-19600</v>
      </c>
      <c r="I19">
        <v>40900</v>
      </c>
      <c r="J19">
        <f t="shared" si="3"/>
        <v>188200</v>
      </c>
      <c r="K19">
        <f t="shared" si="4"/>
        <v>-19600</v>
      </c>
      <c r="L19">
        <f t="shared" si="0"/>
        <v>41900</v>
      </c>
      <c r="M19">
        <f t="shared" si="1"/>
        <v>100</v>
      </c>
      <c r="N19">
        <f t="shared" si="2"/>
        <v>1000</v>
      </c>
    </row>
    <row r="20" spans="1:14" ht="16.5" x14ac:dyDescent="0.25">
      <c r="A20" s="145" t="s">
        <v>501</v>
      </c>
      <c r="B20" s="145">
        <v>187.2</v>
      </c>
      <c r="C20" s="145">
        <v>-12.6</v>
      </c>
      <c r="D20" s="145">
        <v>36.299999999999997</v>
      </c>
      <c r="F20" t="s">
        <v>868</v>
      </c>
      <c r="G20">
        <f t="array" ref="G20:I20">1000*B20:D20</f>
        <v>187200</v>
      </c>
      <c r="H20">
        <v>-12600</v>
      </c>
      <c r="I20">
        <v>36300</v>
      </c>
      <c r="J20">
        <f t="shared" si="3"/>
        <v>187200</v>
      </c>
      <c r="K20">
        <f t="shared" si="4"/>
        <v>-12600</v>
      </c>
      <c r="L20">
        <f t="shared" si="0"/>
        <v>37300</v>
      </c>
      <c r="M20">
        <f t="shared" si="1"/>
        <v>100</v>
      </c>
      <c r="N20">
        <f t="shared" si="2"/>
        <v>1000</v>
      </c>
    </row>
    <row r="21" spans="1:14" ht="16.5" x14ac:dyDescent="0.25">
      <c r="A21" s="145" t="s">
        <v>724</v>
      </c>
      <c r="B21" s="144">
        <v>111.5</v>
      </c>
      <c r="C21" s="144">
        <v>-19.600000000000001</v>
      </c>
      <c r="D21" s="144">
        <v>36.6</v>
      </c>
      <c r="F21" t="s">
        <v>868</v>
      </c>
      <c r="G21">
        <f t="array" ref="G21:I21">1000*B21:D21</f>
        <v>111500</v>
      </c>
      <c r="H21">
        <v>-19600</v>
      </c>
      <c r="I21">
        <v>36600</v>
      </c>
      <c r="J21">
        <f t="shared" si="3"/>
        <v>111500</v>
      </c>
      <c r="K21">
        <f t="shared" si="4"/>
        <v>-19600</v>
      </c>
      <c r="L21">
        <f t="shared" si="0"/>
        <v>37600</v>
      </c>
      <c r="M21">
        <f t="shared" si="1"/>
        <v>100</v>
      </c>
      <c r="N21">
        <f t="shared" si="2"/>
        <v>1000</v>
      </c>
    </row>
    <row r="22" spans="1:14" ht="16.5" x14ac:dyDescent="0.25">
      <c r="A22" s="145" t="s">
        <v>723</v>
      </c>
      <c r="B22" s="144">
        <v>46.8</v>
      </c>
      <c r="C22" s="144">
        <v>-20</v>
      </c>
      <c r="D22" s="144">
        <v>32.799999999999997</v>
      </c>
      <c r="F22" t="s">
        <v>868</v>
      </c>
      <c r="G22">
        <f t="array" ref="G22:I22">1000*B22:D22</f>
        <v>46800</v>
      </c>
      <c r="H22">
        <v>-20000</v>
      </c>
      <c r="I22">
        <v>32800</v>
      </c>
      <c r="J22">
        <f t="shared" si="3"/>
        <v>46800</v>
      </c>
      <c r="K22">
        <f t="shared" si="4"/>
        <v>-20000</v>
      </c>
      <c r="L22">
        <f t="shared" si="0"/>
        <v>33800</v>
      </c>
      <c r="M22">
        <f t="shared" si="1"/>
        <v>100</v>
      </c>
      <c r="N22">
        <f t="shared" si="2"/>
        <v>1000</v>
      </c>
    </row>
    <row r="23" spans="1:14" ht="16.5" x14ac:dyDescent="0.25">
      <c r="A23" s="145" t="s">
        <v>728</v>
      </c>
      <c r="B23" s="144">
        <v>-5.6</v>
      </c>
      <c r="C23" s="144">
        <v>-5.8</v>
      </c>
      <c r="D23" s="144">
        <v>38</v>
      </c>
      <c r="F23" t="s">
        <v>868</v>
      </c>
      <c r="G23">
        <f t="array" ref="G23:I23">1000*B23:D23</f>
        <v>-5600</v>
      </c>
      <c r="H23">
        <v>-5800</v>
      </c>
      <c r="I23">
        <v>38000</v>
      </c>
      <c r="J23">
        <f t="shared" si="3"/>
        <v>-5600</v>
      </c>
      <c r="K23">
        <f t="shared" si="4"/>
        <v>-5800</v>
      </c>
      <c r="L23">
        <f t="shared" si="0"/>
        <v>39000</v>
      </c>
      <c r="M23">
        <f t="shared" si="1"/>
        <v>100</v>
      </c>
      <c r="N23">
        <f t="shared" si="2"/>
        <v>1000</v>
      </c>
    </row>
    <row r="24" spans="1:14" ht="16.5" x14ac:dyDescent="0.25">
      <c r="A24" s="145" t="s">
        <v>832</v>
      </c>
      <c r="B24" s="145">
        <v>131.5</v>
      </c>
      <c r="C24" s="145">
        <v>18.8</v>
      </c>
      <c r="D24" s="145">
        <v>47.2</v>
      </c>
      <c r="F24" t="s">
        <v>868</v>
      </c>
      <c r="G24">
        <f t="array" ref="G24:I24">1000*B24:D24</f>
        <v>131500</v>
      </c>
      <c r="H24">
        <v>18800</v>
      </c>
      <c r="I24">
        <v>47200</v>
      </c>
      <c r="J24">
        <f t="shared" si="3"/>
        <v>131500</v>
      </c>
      <c r="K24">
        <f t="shared" si="4"/>
        <v>18800</v>
      </c>
      <c r="L24">
        <f t="shared" si="0"/>
        <v>48200</v>
      </c>
      <c r="M24">
        <f t="shared" si="1"/>
        <v>100</v>
      </c>
      <c r="N24">
        <f t="shared" si="2"/>
        <v>1000</v>
      </c>
    </row>
    <row r="25" spans="1:14" ht="16.5" x14ac:dyDescent="0.25">
      <c r="A25" s="145" t="s">
        <v>833</v>
      </c>
      <c r="B25" s="145">
        <v>130.9</v>
      </c>
      <c r="C25" s="145">
        <v>16.899999999999999</v>
      </c>
      <c r="D25" s="145">
        <v>38.5</v>
      </c>
      <c r="F25" t="s">
        <v>868</v>
      </c>
      <c r="G25">
        <f t="array" ref="G25:I25">1000*B25:D25</f>
        <v>130900</v>
      </c>
      <c r="H25">
        <v>16900</v>
      </c>
      <c r="I25">
        <v>38500</v>
      </c>
      <c r="J25">
        <f t="shared" si="3"/>
        <v>130900</v>
      </c>
      <c r="K25">
        <f t="shared" si="4"/>
        <v>16900</v>
      </c>
      <c r="L25">
        <f t="shared" si="0"/>
        <v>39500</v>
      </c>
      <c r="M25">
        <f t="shared" si="1"/>
        <v>100</v>
      </c>
      <c r="N25">
        <f t="shared" si="2"/>
        <v>1000</v>
      </c>
    </row>
    <row r="26" spans="1:14" ht="16.5" x14ac:dyDescent="0.25">
      <c r="A26" s="145" t="s">
        <v>503</v>
      </c>
      <c r="B26" s="145">
        <v>126.1</v>
      </c>
      <c r="C26" s="145">
        <v>12.4</v>
      </c>
      <c r="D26" s="145">
        <v>35.799999999999997</v>
      </c>
      <c r="F26" t="s">
        <v>868</v>
      </c>
      <c r="G26">
        <f t="array" ref="G26:I26">1000*B26:D26</f>
        <v>126100</v>
      </c>
      <c r="H26">
        <v>12400</v>
      </c>
      <c r="I26">
        <v>35800</v>
      </c>
      <c r="J26">
        <f t="shared" si="3"/>
        <v>126100</v>
      </c>
      <c r="K26">
        <f t="shared" si="4"/>
        <v>12400</v>
      </c>
      <c r="L26">
        <f t="shared" si="0"/>
        <v>36800</v>
      </c>
      <c r="M26">
        <f t="shared" si="1"/>
        <v>100</v>
      </c>
      <c r="N26">
        <f t="shared" si="2"/>
        <v>1000</v>
      </c>
    </row>
    <row r="27" spans="1:14" ht="16.5" x14ac:dyDescent="0.25">
      <c r="A27" s="145" t="s">
        <v>834</v>
      </c>
      <c r="B27" s="144">
        <v>133.30000000000001</v>
      </c>
      <c r="C27" s="144">
        <v>15.3</v>
      </c>
      <c r="D27" s="144">
        <v>47.3</v>
      </c>
      <c r="F27" t="s">
        <v>868</v>
      </c>
      <c r="G27">
        <f t="array" ref="G27:I27">1000*B27:D27</f>
        <v>133300</v>
      </c>
      <c r="H27">
        <v>15300</v>
      </c>
      <c r="I27">
        <v>47300</v>
      </c>
      <c r="J27">
        <f t="shared" si="3"/>
        <v>133300</v>
      </c>
      <c r="K27">
        <f t="shared" si="4"/>
        <v>15300</v>
      </c>
      <c r="L27">
        <f t="shared" si="0"/>
        <v>48300</v>
      </c>
      <c r="M27">
        <f t="shared" si="1"/>
        <v>100</v>
      </c>
      <c r="N27">
        <f t="shared" si="2"/>
        <v>1000</v>
      </c>
    </row>
    <row r="28" spans="1:14" ht="16.5" x14ac:dyDescent="0.25">
      <c r="A28" s="145" t="s">
        <v>835</v>
      </c>
      <c r="B28" s="144">
        <v>131.4</v>
      </c>
      <c r="C28" s="144">
        <v>12.2</v>
      </c>
      <c r="D28" s="144">
        <v>38.6</v>
      </c>
      <c r="F28" t="s">
        <v>868</v>
      </c>
      <c r="G28">
        <f t="array" ref="G28:I28">1000*B28:D28</f>
        <v>131400</v>
      </c>
      <c r="H28">
        <v>12200</v>
      </c>
      <c r="I28">
        <v>38600</v>
      </c>
      <c r="J28">
        <f t="shared" si="3"/>
        <v>131400</v>
      </c>
      <c r="K28">
        <f t="shared" si="4"/>
        <v>12200</v>
      </c>
      <c r="L28">
        <f t="shared" si="0"/>
        <v>39600</v>
      </c>
      <c r="M28">
        <f t="shared" si="1"/>
        <v>100</v>
      </c>
      <c r="N28">
        <f t="shared" si="2"/>
        <v>1000</v>
      </c>
    </row>
    <row r="29" spans="1:14" ht="16.5" x14ac:dyDescent="0.25">
      <c r="A29" s="145" t="s">
        <v>505</v>
      </c>
      <c r="B29" s="144">
        <v>128</v>
      </c>
      <c r="C29" s="144">
        <v>6.2</v>
      </c>
      <c r="D29" s="144">
        <v>41</v>
      </c>
      <c r="F29" t="s">
        <v>868</v>
      </c>
      <c r="G29">
        <f t="array" ref="G29:I29">1000*B29:D29</f>
        <v>128000</v>
      </c>
      <c r="H29">
        <v>6200</v>
      </c>
      <c r="I29">
        <v>41000</v>
      </c>
      <c r="J29">
        <f t="shared" si="3"/>
        <v>128000</v>
      </c>
      <c r="K29">
        <f t="shared" si="4"/>
        <v>6200</v>
      </c>
      <c r="L29">
        <f t="shared" si="0"/>
        <v>42000</v>
      </c>
      <c r="M29">
        <f t="shared" si="1"/>
        <v>100</v>
      </c>
      <c r="N29">
        <f t="shared" si="2"/>
        <v>1000</v>
      </c>
    </row>
    <row r="30" spans="1:14" ht="16.5" x14ac:dyDescent="0.25">
      <c r="A30" s="145" t="s">
        <v>846</v>
      </c>
      <c r="B30" s="144">
        <v>123.2</v>
      </c>
      <c r="C30" s="144">
        <v>-12</v>
      </c>
      <c r="D30" s="144">
        <v>55.6</v>
      </c>
      <c r="F30" t="s">
        <v>868</v>
      </c>
      <c r="G30">
        <f t="array" ref="G30:I30">1000*B30:D30</f>
        <v>123200</v>
      </c>
      <c r="H30">
        <v>-12000</v>
      </c>
      <c r="I30">
        <v>55600</v>
      </c>
      <c r="J30">
        <f t="shared" si="3"/>
        <v>123200</v>
      </c>
      <c r="K30">
        <f t="shared" si="4"/>
        <v>-12000</v>
      </c>
      <c r="L30">
        <f t="shared" si="0"/>
        <v>56600</v>
      </c>
      <c r="M30">
        <f t="shared" si="1"/>
        <v>100</v>
      </c>
      <c r="N30">
        <f t="shared" si="2"/>
        <v>1000</v>
      </c>
    </row>
    <row r="31" spans="1:14" ht="16.5" x14ac:dyDescent="0.25">
      <c r="A31" s="145" t="s">
        <v>836</v>
      </c>
      <c r="B31" s="144">
        <v>124.5</v>
      </c>
      <c r="C31" s="144">
        <v>-9</v>
      </c>
      <c r="D31" s="144">
        <v>47.6</v>
      </c>
      <c r="F31" t="s">
        <v>868</v>
      </c>
      <c r="G31">
        <f t="array" ref="G31:I31">1000*B31:D31</f>
        <v>124500</v>
      </c>
      <c r="H31">
        <v>-9000</v>
      </c>
      <c r="I31">
        <v>47600</v>
      </c>
      <c r="J31">
        <f t="shared" si="3"/>
        <v>124500</v>
      </c>
      <c r="K31">
        <f t="shared" si="4"/>
        <v>-9000</v>
      </c>
      <c r="L31">
        <f t="shared" si="0"/>
        <v>48600</v>
      </c>
      <c r="M31">
        <f t="shared" si="1"/>
        <v>100</v>
      </c>
      <c r="N31">
        <f t="shared" si="2"/>
        <v>1000</v>
      </c>
    </row>
    <row r="32" spans="1:14" ht="16.5" x14ac:dyDescent="0.25">
      <c r="A32" s="145" t="s">
        <v>837</v>
      </c>
      <c r="B32" s="144">
        <v>125.9</v>
      </c>
      <c r="C32" s="144">
        <v>-15.1</v>
      </c>
      <c r="D32" s="144">
        <v>38.700000000000003</v>
      </c>
      <c r="F32" t="s">
        <v>868</v>
      </c>
      <c r="G32">
        <f t="array" ref="G32:I32">1000*B32:D32</f>
        <v>125900</v>
      </c>
      <c r="H32">
        <v>-15100</v>
      </c>
      <c r="I32">
        <v>38700</v>
      </c>
      <c r="J32">
        <f t="shared" si="3"/>
        <v>125900</v>
      </c>
      <c r="K32">
        <f t="shared" si="4"/>
        <v>-15100</v>
      </c>
      <c r="L32">
        <f t="shared" si="0"/>
        <v>39700</v>
      </c>
      <c r="M32">
        <f t="shared" si="1"/>
        <v>100</v>
      </c>
      <c r="N32">
        <f t="shared" si="2"/>
        <v>1000</v>
      </c>
    </row>
    <row r="33" spans="1:14" ht="16.5" x14ac:dyDescent="0.25">
      <c r="A33" s="145" t="s">
        <v>507</v>
      </c>
      <c r="B33" s="144">
        <v>124.1</v>
      </c>
      <c r="C33" s="144">
        <v>-21.6</v>
      </c>
      <c r="D33" s="144">
        <v>41.4</v>
      </c>
      <c r="F33" t="s">
        <v>868</v>
      </c>
      <c r="G33">
        <f t="array" ref="G33:I33">1000*B33:D33</f>
        <v>124100</v>
      </c>
      <c r="H33">
        <v>-21600</v>
      </c>
      <c r="I33">
        <v>41400</v>
      </c>
      <c r="J33">
        <f t="shared" si="3"/>
        <v>124100</v>
      </c>
      <c r="K33">
        <f t="shared" si="4"/>
        <v>-21600</v>
      </c>
      <c r="L33">
        <f t="shared" si="0"/>
        <v>42400</v>
      </c>
      <c r="M33">
        <f t="shared" si="1"/>
        <v>100</v>
      </c>
      <c r="N33">
        <f t="shared" si="2"/>
        <v>1000</v>
      </c>
    </row>
    <row r="34" spans="1:14" ht="16.5" x14ac:dyDescent="0.25">
      <c r="A34" s="145" t="s">
        <v>508</v>
      </c>
      <c r="B34" s="144">
        <v>128.30000000000001</v>
      </c>
      <c r="C34" s="144">
        <v>-21.5</v>
      </c>
      <c r="D34" s="144">
        <v>41.1</v>
      </c>
      <c r="F34" t="s">
        <v>868</v>
      </c>
      <c r="G34">
        <f t="array" ref="G34:I34">1000*B34:D34</f>
        <v>128300.00000000001</v>
      </c>
      <c r="H34">
        <v>-21500</v>
      </c>
      <c r="I34">
        <v>41100</v>
      </c>
      <c r="J34">
        <f t="shared" si="3"/>
        <v>128300.00000000001</v>
      </c>
      <c r="K34">
        <f t="shared" si="4"/>
        <v>-21500</v>
      </c>
      <c r="L34">
        <f t="shared" si="0"/>
        <v>42100</v>
      </c>
      <c r="M34">
        <f t="shared" si="1"/>
        <v>100</v>
      </c>
      <c r="N34">
        <f t="shared" si="2"/>
        <v>1000</v>
      </c>
    </row>
    <row r="35" spans="1:14" ht="16.5" x14ac:dyDescent="0.25">
      <c r="A35" s="145" t="s">
        <v>509</v>
      </c>
      <c r="B35" s="144">
        <v>128.80000000000001</v>
      </c>
      <c r="C35" s="144">
        <v>-6.4</v>
      </c>
      <c r="D35" s="144">
        <v>48</v>
      </c>
      <c r="F35" t="s">
        <v>868</v>
      </c>
      <c r="G35">
        <f t="array" ref="G35:I35">1000*B35:D35</f>
        <v>128800.00000000001</v>
      </c>
      <c r="H35">
        <v>-6400</v>
      </c>
      <c r="I35">
        <v>48000</v>
      </c>
      <c r="J35">
        <f t="shared" si="3"/>
        <v>128800.00000000001</v>
      </c>
      <c r="K35">
        <f t="shared" si="4"/>
        <v>-6400</v>
      </c>
      <c r="L35">
        <f t="shared" ref="L35:L66" si="5">I35+FH</f>
        <v>49000</v>
      </c>
      <c r="M35">
        <f t="shared" ref="M35:M66" si="6">RLow</f>
        <v>100</v>
      </c>
      <c r="N35">
        <f t="shared" ref="N35:N66" si="7">RHigh</f>
        <v>1000</v>
      </c>
    </row>
    <row r="36" spans="1:14" ht="16.5" x14ac:dyDescent="0.25">
      <c r="A36" s="145" t="s">
        <v>510</v>
      </c>
      <c r="B36" s="144">
        <v>136.6</v>
      </c>
      <c r="C36" s="144">
        <v>-16</v>
      </c>
      <c r="D36" s="144">
        <v>51.2</v>
      </c>
      <c r="F36" t="s">
        <v>868</v>
      </c>
      <c r="G36">
        <f t="array" ref="G36:I36">1000*B36:D36</f>
        <v>136600</v>
      </c>
      <c r="H36">
        <v>-16000</v>
      </c>
      <c r="I36">
        <v>51200</v>
      </c>
      <c r="J36">
        <f t="shared" si="3"/>
        <v>136600</v>
      </c>
      <c r="K36">
        <f t="shared" si="4"/>
        <v>-16000</v>
      </c>
      <c r="L36">
        <f t="shared" si="5"/>
        <v>52200</v>
      </c>
      <c r="M36">
        <f t="shared" si="6"/>
        <v>100</v>
      </c>
      <c r="N36">
        <f t="shared" si="7"/>
        <v>1000</v>
      </c>
    </row>
    <row r="37" spans="1:14" ht="16.5" x14ac:dyDescent="0.25">
      <c r="A37" s="145" t="s">
        <v>511</v>
      </c>
      <c r="B37" s="144">
        <v>144.6</v>
      </c>
      <c r="C37" s="144">
        <v>7.5</v>
      </c>
      <c r="D37" s="144">
        <v>38.4</v>
      </c>
      <c r="F37" t="s">
        <v>868</v>
      </c>
      <c r="G37">
        <f t="array" ref="G37:I37">1000*B37:D37</f>
        <v>144600</v>
      </c>
      <c r="H37">
        <v>7500</v>
      </c>
      <c r="I37">
        <v>38400</v>
      </c>
      <c r="J37">
        <f t="shared" si="3"/>
        <v>144600</v>
      </c>
      <c r="K37">
        <f t="shared" si="4"/>
        <v>7500</v>
      </c>
      <c r="L37">
        <f t="shared" si="5"/>
        <v>39400</v>
      </c>
      <c r="M37">
        <f t="shared" si="6"/>
        <v>100</v>
      </c>
      <c r="N37">
        <f t="shared" si="7"/>
        <v>1000</v>
      </c>
    </row>
    <row r="38" spans="1:14" ht="16.5" x14ac:dyDescent="0.25">
      <c r="A38" s="115" t="s">
        <v>838</v>
      </c>
      <c r="B38" s="144">
        <v>146.69999999999999</v>
      </c>
      <c r="C38" s="144">
        <v>10.3</v>
      </c>
      <c r="D38" s="144">
        <v>49</v>
      </c>
      <c r="F38" t="s">
        <v>868</v>
      </c>
      <c r="G38">
        <f t="array" ref="G38:I38">1000*B38:D38</f>
        <v>146700</v>
      </c>
      <c r="H38">
        <v>10300</v>
      </c>
      <c r="I38">
        <v>49000</v>
      </c>
      <c r="J38">
        <f t="shared" si="3"/>
        <v>146700</v>
      </c>
      <c r="K38">
        <f t="shared" si="4"/>
        <v>10300</v>
      </c>
      <c r="L38">
        <f t="shared" si="5"/>
        <v>50000</v>
      </c>
      <c r="M38">
        <f t="shared" si="6"/>
        <v>100</v>
      </c>
      <c r="N38">
        <f t="shared" si="7"/>
        <v>1000</v>
      </c>
    </row>
    <row r="39" spans="1:14" ht="16.5" x14ac:dyDescent="0.25">
      <c r="A39" s="115" t="s">
        <v>839</v>
      </c>
      <c r="B39" s="144">
        <v>147.30000000000001</v>
      </c>
      <c r="C39" s="144">
        <v>10.3</v>
      </c>
      <c r="D39" s="144">
        <v>49</v>
      </c>
      <c r="F39" t="s">
        <v>868</v>
      </c>
      <c r="G39">
        <f t="array" ref="G39:I39">1000*B39:D39</f>
        <v>147300</v>
      </c>
      <c r="H39">
        <v>10300</v>
      </c>
      <c r="I39">
        <v>49000</v>
      </c>
      <c r="J39">
        <f t="shared" si="3"/>
        <v>147300</v>
      </c>
      <c r="K39">
        <f t="shared" si="4"/>
        <v>10300</v>
      </c>
      <c r="L39">
        <f t="shared" si="5"/>
        <v>50000</v>
      </c>
      <c r="M39">
        <f t="shared" si="6"/>
        <v>100</v>
      </c>
      <c r="N39">
        <f t="shared" si="7"/>
        <v>1000</v>
      </c>
    </row>
    <row r="40" spans="1:14" ht="16.5" x14ac:dyDescent="0.25">
      <c r="A40" s="115" t="s">
        <v>840</v>
      </c>
      <c r="B40" s="144">
        <v>145</v>
      </c>
      <c r="C40" s="144">
        <v>16.2</v>
      </c>
      <c r="D40" s="144">
        <v>55.4</v>
      </c>
      <c r="F40" t="s">
        <v>868</v>
      </c>
      <c r="G40">
        <f t="array" ref="G40:I40">1000*B40:D40</f>
        <v>145000</v>
      </c>
      <c r="H40">
        <v>16200</v>
      </c>
      <c r="I40">
        <v>55400</v>
      </c>
      <c r="J40">
        <f t="shared" si="3"/>
        <v>145000</v>
      </c>
      <c r="K40">
        <f t="shared" si="4"/>
        <v>16200</v>
      </c>
      <c r="L40">
        <f t="shared" si="5"/>
        <v>56400</v>
      </c>
      <c r="M40">
        <f t="shared" si="6"/>
        <v>100</v>
      </c>
      <c r="N40">
        <f t="shared" si="7"/>
        <v>1000</v>
      </c>
    </row>
    <row r="41" spans="1:14" ht="16.5" x14ac:dyDescent="0.25">
      <c r="A41" s="145" t="s">
        <v>513</v>
      </c>
      <c r="B41" s="144">
        <v>145.19999999999999</v>
      </c>
      <c r="C41" s="144">
        <v>20.6</v>
      </c>
      <c r="D41" s="144">
        <v>50.8</v>
      </c>
      <c r="F41" t="s">
        <v>868</v>
      </c>
      <c r="G41">
        <f t="array" ref="G41:I41">1000*B41:D41</f>
        <v>145200</v>
      </c>
      <c r="H41">
        <v>20600</v>
      </c>
      <c r="I41">
        <v>50800</v>
      </c>
      <c r="J41">
        <f t="shared" si="3"/>
        <v>145200</v>
      </c>
      <c r="K41">
        <f t="shared" si="4"/>
        <v>20600</v>
      </c>
      <c r="L41">
        <f t="shared" si="5"/>
        <v>51800</v>
      </c>
      <c r="M41">
        <f t="shared" si="6"/>
        <v>100</v>
      </c>
      <c r="N41">
        <f t="shared" si="7"/>
        <v>1000</v>
      </c>
    </row>
    <row r="42" spans="1:14" ht="16.5" x14ac:dyDescent="0.25">
      <c r="A42" s="145" t="s">
        <v>514</v>
      </c>
      <c r="B42" s="145">
        <v>146.1</v>
      </c>
      <c r="C42" s="144">
        <v>22.2</v>
      </c>
      <c r="D42" s="144">
        <v>38.4</v>
      </c>
      <c r="F42" t="s">
        <v>868</v>
      </c>
      <c r="G42">
        <f t="array" ref="G42:I42">1000*B42:D42</f>
        <v>146100</v>
      </c>
      <c r="H42">
        <v>22200</v>
      </c>
      <c r="I42">
        <v>38400</v>
      </c>
      <c r="J42">
        <f t="shared" si="3"/>
        <v>146100</v>
      </c>
      <c r="K42">
        <f t="shared" si="4"/>
        <v>22200</v>
      </c>
      <c r="L42">
        <f t="shared" si="5"/>
        <v>39400</v>
      </c>
      <c r="M42">
        <f t="shared" si="6"/>
        <v>100</v>
      </c>
      <c r="N42">
        <f t="shared" si="7"/>
        <v>1000</v>
      </c>
    </row>
    <row r="43" spans="1:14" ht="16.5" x14ac:dyDescent="0.25">
      <c r="A43" s="145" t="s">
        <v>515</v>
      </c>
      <c r="B43" s="145">
        <v>150</v>
      </c>
      <c r="C43" s="144">
        <v>20.8</v>
      </c>
      <c r="D43" s="144">
        <v>53</v>
      </c>
      <c r="F43" t="s">
        <v>868</v>
      </c>
      <c r="G43">
        <f t="array" ref="G43:I43">1000*B43:D43</f>
        <v>150000</v>
      </c>
      <c r="H43">
        <v>20800</v>
      </c>
      <c r="I43">
        <v>53000</v>
      </c>
      <c r="J43">
        <f t="shared" si="3"/>
        <v>150000</v>
      </c>
      <c r="K43">
        <f t="shared" si="4"/>
        <v>20800</v>
      </c>
      <c r="L43">
        <f t="shared" si="5"/>
        <v>54000</v>
      </c>
      <c r="M43">
        <f t="shared" si="6"/>
        <v>100</v>
      </c>
      <c r="N43">
        <f t="shared" si="7"/>
        <v>1000</v>
      </c>
    </row>
    <row r="44" spans="1:14" ht="16.5" x14ac:dyDescent="0.25">
      <c r="A44" s="145" t="s">
        <v>516</v>
      </c>
      <c r="B44" s="145">
        <v>151.5</v>
      </c>
      <c r="C44" s="144">
        <v>21.9</v>
      </c>
      <c r="D44" s="144">
        <v>45</v>
      </c>
      <c r="F44" t="s">
        <v>868</v>
      </c>
      <c r="G44">
        <f t="array" ref="G44:I44">1000*B44:D44</f>
        <v>151500</v>
      </c>
      <c r="H44">
        <v>21900</v>
      </c>
      <c r="I44">
        <v>45000</v>
      </c>
      <c r="J44">
        <f t="shared" si="3"/>
        <v>151500</v>
      </c>
      <c r="K44">
        <f t="shared" si="4"/>
        <v>21900</v>
      </c>
      <c r="L44">
        <f t="shared" si="5"/>
        <v>46000</v>
      </c>
      <c r="M44">
        <f t="shared" si="6"/>
        <v>100</v>
      </c>
      <c r="N44">
        <f t="shared" si="7"/>
        <v>1000</v>
      </c>
    </row>
    <row r="45" spans="1:14" ht="16.5" x14ac:dyDescent="0.25">
      <c r="A45" s="145" t="s">
        <v>517</v>
      </c>
      <c r="B45" s="145">
        <v>145</v>
      </c>
      <c r="C45" s="144">
        <v>16</v>
      </c>
      <c r="D45" s="144">
        <v>44.6</v>
      </c>
      <c r="F45" t="s">
        <v>868</v>
      </c>
      <c r="G45">
        <f t="array" ref="G45:I45">1000*B45:D45</f>
        <v>145000</v>
      </c>
      <c r="H45">
        <v>16000</v>
      </c>
      <c r="I45">
        <v>44600</v>
      </c>
      <c r="J45">
        <f t="shared" si="3"/>
        <v>145000</v>
      </c>
      <c r="K45">
        <f t="shared" si="4"/>
        <v>16000</v>
      </c>
      <c r="L45">
        <f t="shared" si="5"/>
        <v>45600</v>
      </c>
      <c r="M45">
        <f t="shared" si="6"/>
        <v>100</v>
      </c>
      <c r="N45">
        <f t="shared" si="7"/>
        <v>1000</v>
      </c>
    </row>
    <row r="46" spans="1:14" ht="16.5" x14ac:dyDescent="0.25">
      <c r="A46" s="145" t="s">
        <v>518</v>
      </c>
      <c r="B46" s="145">
        <v>147</v>
      </c>
      <c r="C46" s="144">
        <v>15.5</v>
      </c>
      <c r="D46" s="144">
        <v>35.700000000000003</v>
      </c>
      <c r="F46" t="s">
        <v>868</v>
      </c>
      <c r="G46">
        <f t="array" ref="G46:I46">1000*B46:D46</f>
        <v>147000</v>
      </c>
      <c r="H46">
        <v>15500</v>
      </c>
      <c r="I46">
        <v>35700</v>
      </c>
      <c r="J46">
        <f t="shared" si="3"/>
        <v>147000</v>
      </c>
      <c r="K46">
        <f t="shared" si="4"/>
        <v>15500</v>
      </c>
      <c r="L46">
        <f t="shared" si="5"/>
        <v>36700</v>
      </c>
      <c r="M46">
        <f t="shared" si="6"/>
        <v>100</v>
      </c>
      <c r="N46">
        <f t="shared" si="7"/>
        <v>1000</v>
      </c>
    </row>
    <row r="47" spans="1:14" ht="16.5" x14ac:dyDescent="0.25">
      <c r="A47" s="115" t="s">
        <v>845</v>
      </c>
      <c r="B47" s="145">
        <v>180.1</v>
      </c>
      <c r="C47" s="144">
        <v>13.2</v>
      </c>
      <c r="D47" s="144">
        <v>47.8</v>
      </c>
      <c r="F47" t="s">
        <v>868</v>
      </c>
      <c r="G47">
        <f t="array" ref="G47:I47">1000*B47:D47</f>
        <v>180100</v>
      </c>
      <c r="H47">
        <v>13200</v>
      </c>
      <c r="I47">
        <v>47800</v>
      </c>
      <c r="J47">
        <f t="shared" si="3"/>
        <v>180100</v>
      </c>
      <c r="K47">
        <f t="shared" si="4"/>
        <v>13200</v>
      </c>
      <c r="L47">
        <f t="shared" si="5"/>
        <v>48800</v>
      </c>
      <c r="M47">
        <f t="shared" si="6"/>
        <v>100</v>
      </c>
      <c r="N47">
        <f t="shared" si="7"/>
        <v>1000</v>
      </c>
    </row>
    <row r="48" spans="1:14" ht="16.5" x14ac:dyDescent="0.25">
      <c r="A48" s="115" t="s">
        <v>842</v>
      </c>
      <c r="B48" s="145">
        <v>178.5</v>
      </c>
      <c r="C48" s="144">
        <v>13.1</v>
      </c>
      <c r="D48" s="144">
        <v>48.2</v>
      </c>
      <c r="F48" t="s">
        <v>868</v>
      </c>
      <c r="G48">
        <f t="array" ref="G48:I48">1000*B48:D48</f>
        <v>178500</v>
      </c>
      <c r="H48">
        <v>13100</v>
      </c>
      <c r="I48">
        <v>48200</v>
      </c>
      <c r="J48">
        <f t="shared" si="3"/>
        <v>178500</v>
      </c>
      <c r="K48">
        <f t="shared" si="4"/>
        <v>13100</v>
      </c>
      <c r="L48">
        <f t="shared" si="5"/>
        <v>49200</v>
      </c>
      <c r="M48">
        <f t="shared" si="6"/>
        <v>100</v>
      </c>
      <c r="N48">
        <f t="shared" si="7"/>
        <v>1000</v>
      </c>
    </row>
    <row r="49" spans="1:14" ht="16.5" x14ac:dyDescent="0.25">
      <c r="A49" s="115" t="s">
        <v>841</v>
      </c>
      <c r="B49" s="145">
        <v>173.5</v>
      </c>
      <c r="C49" s="144">
        <v>11.6</v>
      </c>
      <c r="D49" s="144">
        <v>38.799999999999997</v>
      </c>
      <c r="F49" t="s">
        <v>868</v>
      </c>
      <c r="G49">
        <f t="array" ref="G49:I49">1000*B49:D49</f>
        <v>173500</v>
      </c>
      <c r="H49">
        <v>11600</v>
      </c>
      <c r="I49">
        <v>38800</v>
      </c>
      <c r="J49">
        <f t="shared" si="3"/>
        <v>173500</v>
      </c>
      <c r="K49">
        <f t="shared" si="4"/>
        <v>11600</v>
      </c>
      <c r="L49">
        <f t="shared" si="5"/>
        <v>39800</v>
      </c>
      <c r="M49">
        <f t="shared" si="6"/>
        <v>100</v>
      </c>
      <c r="N49">
        <f t="shared" si="7"/>
        <v>1000</v>
      </c>
    </row>
    <row r="50" spans="1:14" ht="16.5" x14ac:dyDescent="0.25">
      <c r="A50" s="145" t="s">
        <v>519</v>
      </c>
      <c r="B50" s="144">
        <v>174.8</v>
      </c>
      <c r="C50" s="144">
        <v>10.1</v>
      </c>
      <c r="D50" s="144">
        <v>47</v>
      </c>
      <c r="F50" t="s">
        <v>868</v>
      </c>
      <c r="G50">
        <f t="array" ref="G50:I50">1000*B50:D50</f>
        <v>174800</v>
      </c>
      <c r="H50">
        <v>10100</v>
      </c>
      <c r="I50">
        <v>47000</v>
      </c>
      <c r="J50">
        <f t="shared" si="3"/>
        <v>174800</v>
      </c>
      <c r="K50">
        <f t="shared" si="4"/>
        <v>10100</v>
      </c>
      <c r="L50">
        <f t="shared" si="5"/>
        <v>48000</v>
      </c>
      <c r="M50">
        <f t="shared" si="6"/>
        <v>100</v>
      </c>
      <c r="N50">
        <f t="shared" si="7"/>
        <v>1000</v>
      </c>
    </row>
    <row r="51" spans="1:14" ht="16.5" x14ac:dyDescent="0.25">
      <c r="A51" s="145" t="s">
        <v>520</v>
      </c>
      <c r="B51" s="144">
        <v>188.9</v>
      </c>
      <c r="C51" s="144">
        <v>24.5</v>
      </c>
      <c r="D51" s="144">
        <v>45</v>
      </c>
      <c r="F51" t="s">
        <v>868</v>
      </c>
      <c r="G51">
        <f t="array" ref="G51:I51">1000*B51:D51</f>
        <v>188900</v>
      </c>
      <c r="H51">
        <v>24500</v>
      </c>
      <c r="I51">
        <v>45000</v>
      </c>
      <c r="J51">
        <f t="shared" si="3"/>
        <v>188900</v>
      </c>
      <c r="K51">
        <f t="shared" si="4"/>
        <v>24500</v>
      </c>
      <c r="L51">
        <f t="shared" si="5"/>
        <v>46000</v>
      </c>
      <c r="M51">
        <f t="shared" si="6"/>
        <v>100</v>
      </c>
      <c r="N51">
        <f t="shared" si="7"/>
        <v>1000</v>
      </c>
    </row>
    <row r="52" spans="1:14" ht="16.5" x14ac:dyDescent="0.25">
      <c r="A52" s="145" t="s">
        <v>521</v>
      </c>
      <c r="B52" s="144">
        <v>210.7</v>
      </c>
      <c r="C52" s="144">
        <v>13.2</v>
      </c>
      <c r="D52" s="144">
        <v>39.5</v>
      </c>
      <c r="F52" t="s">
        <v>868</v>
      </c>
      <c r="G52">
        <f t="array" ref="G52:I52">1000*B52:D52</f>
        <v>210700</v>
      </c>
      <c r="H52">
        <v>13200</v>
      </c>
      <c r="I52">
        <v>39500</v>
      </c>
      <c r="J52">
        <f t="shared" si="3"/>
        <v>210700</v>
      </c>
      <c r="K52">
        <f t="shared" si="4"/>
        <v>13200</v>
      </c>
      <c r="L52">
        <f t="shared" si="5"/>
        <v>40500</v>
      </c>
      <c r="M52">
        <f t="shared" si="6"/>
        <v>100</v>
      </c>
      <c r="N52">
        <f t="shared" si="7"/>
        <v>1000</v>
      </c>
    </row>
    <row r="53" spans="1:14" ht="16.5" x14ac:dyDescent="0.25">
      <c r="A53" s="145" t="s">
        <v>522</v>
      </c>
      <c r="B53" s="144">
        <v>205.1</v>
      </c>
      <c r="C53" s="144">
        <v>10.5</v>
      </c>
      <c r="D53" s="144">
        <v>36.1</v>
      </c>
      <c r="F53" t="s">
        <v>868</v>
      </c>
      <c r="G53">
        <f t="array" ref="G53:I53">1000*B53:D53</f>
        <v>205100</v>
      </c>
      <c r="H53">
        <v>10500</v>
      </c>
      <c r="I53">
        <v>36100</v>
      </c>
      <c r="J53">
        <f t="shared" si="3"/>
        <v>205100</v>
      </c>
      <c r="K53">
        <f t="shared" si="4"/>
        <v>10500</v>
      </c>
      <c r="L53">
        <f t="shared" si="5"/>
        <v>37100</v>
      </c>
      <c r="M53">
        <f t="shared" si="6"/>
        <v>100</v>
      </c>
      <c r="N53">
        <f t="shared" si="7"/>
        <v>1000</v>
      </c>
    </row>
    <row r="54" spans="1:14" ht="16.5" x14ac:dyDescent="0.25">
      <c r="A54" s="145" t="s">
        <v>523</v>
      </c>
      <c r="B54" s="144">
        <v>207.6</v>
      </c>
      <c r="C54" s="144">
        <v>21.2</v>
      </c>
      <c r="D54" s="144">
        <v>36.5</v>
      </c>
      <c r="F54" t="s">
        <v>868</v>
      </c>
      <c r="G54">
        <f t="array" ref="G54:I54">1000*B54:D54</f>
        <v>207600</v>
      </c>
      <c r="H54">
        <v>21200</v>
      </c>
      <c r="I54">
        <v>36500</v>
      </c>
      <c r="J54">
        <f t="shared" si="3"/>
        <v>207600</v>
      </c>
      <c r="K54">
        <f t="shared" si="4"/>
        <v>21200</v>
      </c>
      <c r="L54">
        <f t="shared" si="5"/>
        <v>37500</v>
      </c>
      <c r="M54">
        <f t="shared" si="6"/>
        <v>100</v>
      </c>
      <c r="N54">
        <f t="shared" si="7"/>
        <v>1000</v>
      </c>
    </row>
    <row r="55" spans="1:14" ht="16.5" x14ac:dyDescent="0.25">
      <c r="A55" s="145" t="s">
        <v>524</v>
      </c>
      <c r="B55" s="144">
        <v>206.1</v>
      </c>
      <c r="C55" s="144">
        <v>23.2</v>
      </c>
      <c r="D55" s="144">
        <v>34.299999999999997</v>
      </c>
      <c r="F55" t="s">
        <v>868</v>
      </c>
      <c r="G55">
        <f t="array" ref="G55:I55">1000*B55:D55</f>
        <v>206100</v>
      </c>
      <c r="H55">
        <v>23200</v>
      </c>
      <c r="I55">
        <v>34300</v>
      </c>
      <c r="J55">
        <f t="shared" si="3"/>
        <v>206100</v>
      </c>
      <c r="K55">
        <f t="shared" si="4"/>
        <v>23200</v>
      </c>
      <c r="L55">
        <f t="shared" si="5"/>
        <v>35300</v>
      </c>
      <c r="M55">
        <f t="shared" si="6"/>
        <v>100</v>
      </c>
      <c r="N55">
        <f t="shared" si="7"/>
        <v>1000</v>
      </c>
    </row>
    <row r="56" spans="1:14" ht="16.5" x14ac:dyDescent="0.25">
      <c r="A56" s="145" t="s">
        <v>525</v>
      </c>
      <c r="B56" s="145">
        <v>127.4</v>
      </c>
      <c r="C56" s="145">
        <v>22.2</v>
      </c>
      <c r="D56" s="145">
        <v>45.1</v>
      </c>
      <c r="F56" t="s">
        <v>868</v>
      </c>
      <c r="G56">
        <f t="array" ref="G56:I56">1000*B56:D56</f>
        <v>127400</v>
      </c>
      <c r="H56">
        <v>22200</v>
      </c>
      <c r="I56">
        <v>45100</v>
      </c>
      <c r="J56">
        <f t="shared" si="3"/>
        <v>127400</v>
      </c>
      <c r="K56">
        <f t="shared" si="4"/>
        <v>22200</v>
      </c>
      <c r="L56">
        <f t="shared" si="5"/>
        <v>46100</v>
      </c>
      <c r="M56">
        <f t="shared" si="6"/>
        <v>100</v>
      </c>
      <c r="N56">
        <f t="shared" si="7"/>
        <v>1000</v>
      </c>
    </row>
    <row r="57" spans="1:14" ht="16.5" x14ac:dyDescent="0.25">
      <c r="A57" s="144" t="s">
        <v>555</v>
      </c>
      <c r="B57" s="144">
        <v>133.69999999999999</v>
      </c>
      <c r="C57" s="144">
        <v>11.1</v>
      </c>
      <c r="D57" s="144">
        <v>45.4</v>
      </c>
      <c r="F57" t="s">
        <v>868</v>
      </c>
      <c r="G57">
        <f t="array" ref="G57:I57">1000*B57:D57</f>
        <v>133700</v>
      </c>
      <c r="H57">
        <v>11100</v>
      </c>
      <c r="I57">
        <v>45400</v>
      </c>
      <c r="J57">
        <f t="shared" si="3"/>
        <v>133700</v>
      </c>
      <c r="K57">
        <f t="shared" si="4"/>
        <v>11100</v>
      </c>
      <c r="L57">
        <f t="shared" si="5"/>
        <v>46400</v>
      </c>
      <c r="M57">
        <f t="shared" si="6"/>
        <v>100</v>
      </c>
      <c r="N57">
        <f t="shared" si="7"/>
        <v>1000</v>
      </c>
    </row>
    <row r="58" spans="1:14" ht="16.5" x14ac:dyDescent="0.25">
      <c r="A58" s="144" t="s">
        <v>526</v>
      </c>
      <c r="B58" s="144">
        <v>125.5</v>
      </c>
      <c r="C58" s="144">
        <v>8.5</v>
      </c>
      <c r="D58" s="144">
        <v>44.8</v>
      </c>
      <c r="F58" t="s">
        <v>868</v>
      </c>
      <c r="G58">
        <f t="array" ref="G58:I58">1000*B58:D58</f>
        <v>125500</v>
      </c>
      <c r="H58">
        <v>8500</v>
      </c>
      <c r="I58">
        <v>44800</v>
      </c>
      <c r="J58">
        <f t="shared" si="3"/>
        <v>125500</v>
      </c>
      <c r="K58">
        <f t="shared" si="4"/>
        <v>8500</v>
      </c>
      <c r="L58">
        <f t="shared" si="5"/>
        <v>45800</v>
      </c>
      <c r="M58">
        <f t="shared" si="6"/>
        <v>100</v>
      </c>
      <c r="N58">
        <f t="shared" si="7"/>
        <v>1000</v>
      </c>
    </row>
    <row r="59" spans="1:14" ht="16.5" x14ac:dyDescent="0.25">
      <c r="A59" s="136" t="s">
        <v>527</v>
      </c>
      <c r="B59" s="136">
        <v>122</v>
      </c>
      <c r="C59" s="136">
        <v>7.2</v>
      </c>
      <c r="D59" s="136">
        <v>39.700000000000003</v>
      </c>
      <c r="F59" t="s">
        <v>868</v>
      </c>
      <c r="G59">
        <f t="array" ref="G59:I59">1000*B59:D59</f>
        <v>122000</v>
      </c>
      <c r="H59">
        <v>7200</v>
      </c>
      <c r="I59">
        <v>39700</v>
      </c>
      <c r="J59">
        <f t="shared" si="3"/>
        <v>122000</v>
      </c>
      <c r="K59">
        <f t="shared" si="4"/>
        <v>7200</v>
      </c>
      <c r="L59">
        <f t="shared" si="5"/>
        <v>40700</v>
      </c>
      <c r="M59">
        <f t="shared" si="6"/>
        <v>100</v>
      </c>
      <c r="N59">
        <f t="shared" si="7"/>
        <v>1000</v>
      </c>
    </row>
    <row r="60" spans="1:14" ht="16.5" x14ac:dyDescent="0.25">
      <c r="A60" s="144" t="s">
        <v>528</v>
      </c>
      <c r="B60" s="144">
        <v>129.1</v>
      </c>
      <c r="C60" s="144">
        <v>7.1</v>
      </c>
      <c r="D60" s="144">
        <v>44.6</v>
      </c>
      <c r="F60" t="s">
        <v>868</v>
      </c>
      <c r="G60">
        <f t="array" ref="G60:I60">1000*B60:D60</f>
        <v>129100</v>
      </c>
      <c r="H60">
        <v>7100</v>
      </c>
      <c r="I60">
        <v>44600</v>
      </c>
      <c r="J60">
        <f t="shared" si="3"/>
        <v>129100</v>
      </c>
      <c r="K60">
        <f t="shared" si="4"/>
        <v>7100</v>
      </c>
      <c r="L60">
        <f t="shared" si="5"/>
        <v>45600</v>
      </c>
      <c r="M60">
        <f t="shared" si="6"/>
        <v>100</v>
      </c>
      <c r="N60">
        <f t="shared" si="7"/>
        <v>1000</v>
      </c>
    </row>
    <row r="61" spans="1:14" ht="16.5" x14ac:dyDescent="0.25">
      <c r="A61" s="144" t="s">
        <v>529</v>
      </c>
      <c r="B61" s="144">
        <v>77.900000000000006</v>
      </c>
      <c r="C61" s="144">
        <v>-22.2</v>
      </c>
      <c r="D61" s="144">
        <v>35.5</v>
      </c>
      <c r="F61" t="s">
        <v>868</v>
      </c>
      <c r="G61">
        <f t="array" ref="G61:I61">1000*B61:D61</f>
        <v>77900</v>
      </c>
      <c r="H61">
        <v>-22200</v>
      </c>
      <c r="I61">
        <v>35500</v>
      </c>
      <c r="J61">
        <f t="shared" si="3"/>
        <v>77900</v>
      </c>
      <c r="K61">
        <f t="shared" si="4"/>
        <v>-22200</v>
      </c>
      <c r="L61">
        <f t="shared" si="5"/>
        <v>36500</v>
      </c>
      <c r="M61">
        <f t="shared" si="6"/>
        <v>100</v>
      </c>
      <c r="N61">
        <f t="shared" si="7"/>
        <v>1000</v>
      </c>
    </row>
    <row r="62" spans="1:14" ht="16.5" x14ac:dyDescent="0.25">
      <c r="A62" s="144" t="s">
        <v>530</v>
      </c>
      <c r="B62" s="144">
        <v>114.4</v>
      </c>
      <c r="C62" s="144">
        <v>19.8</v>
      </c>
      <c r="D62" s="144">
        <v>47.4</v>
      </c>
      <c r="F62" t="s">
        <v>868</v>
      </c>
      <c r="G62">
        <f t="array" ref="G62:I62">1000*B62:D62</f>
        <v>114400</v>
      </c>
      <c r="H62">
        <v>19800</v>
      </c>
      <c r="I62">
        <v>47400</v>
      </c>
      <c r="J62">
        <f t="shared" si="3"/>
        <v>114400</v>
      </c>
      <c r="K62">
        <f t="shared" si="4"/>
        <v>19800</v>
      </c>
      <c r="L62">
        <f t="shared" si="5"/>
        <v>48400</v>
      </c>
      <c r="M62">
        <f t="shared" si="6"/>
        <v>100</v>
      </c>
      <c r="N62">
        <f t="shared" si="7"/>
        <v>1000</v>
      </c>
    </row>
    <row r="63" spans="1:14" ht="16.5" x14ac:dyDescent="0.25">
      <c r="A63" s="144" t="s">
        <v>531</v>
      </c>
      <c r="B63" s="144">
        <v>117.5</v>
      </c>
      <c r="C63" s="144">
        <v>17.3</v>
      </c>
      <c r="D63" s="144">
        <v>45.7</v>
      </c>
      <c r="F63" t="s">
        <v>868</v>
      </c>
      <c r="G63">
        <f t="array" ref="G63:I63">1000*B63:D63</f>
        <v>117500</v>
      </c>
      <c r="H63">
        <v>17300</v>
      </c>
      <c r="I63">
        <v>45700</v>
      </c>
      <c r="J63">
        <f t="shared" si="3"/>
        <v>117500</v>
      </c>
      <c r="K63">
        <f t="shared" si="4"/>
        <v>17300</v>
      </c>
      <c r="L63">
        <f t="shared" si="5"/>
        <v>46700</v>
      </c>
      <c r="M63">
        <f t="shared" si="6"/>
        <v>100</v>
      </c>
      <c r="N63">
        <f t="shared" si="7"/>
        <v>1000</v>
      </c>
    </row>
    <row r="64" spans="1:14" ht="16.5" x14ac:dyDescent="0.25">
      <c r="A64" s="144" t="s">
        <v>532</v>
      </c>
      <c r="B64" s="144">
        <v>102.8</v>
      </c>
      <c r="C64" s="144">
        <v>9.1999999999999993</v>
      </c>
      <c r="D64" s="144">
        <v>35.5</v>
      </c>
      <c r="F64" t="s">
        <v>868</v>
      </c>
      <c r="G64">
        <f t="array" ref="G64:I64">1000*B64:D64</f>
        <v>102800</v>
      </c>
      <c r="H64">
        <v>9200</v>
      </c>
      <c r="I64">
        <v>35500</v>
      </c>
      <c r="J64">
        <f t="shared" si="3"/>
        <v>102800</v>
      </c>
      <c r="K64">
        <f t="shared" si="4"/>
        <v>9200</v>
      </c>
      <c r="L64">
        <f t="shared" si="5"/>
        <v>36500</v>
      </c>
      <c r="M64">
        <f t="shared" si="6"/>
        <v>100</v>
      </c>
      <c r="N64">
        <f t="shared" si="7"/>
        <v>1000</v>
      </c>
    </row>
    <row r="65" spans="1:14" ht="16.5" x14ac:dyDescent="0.25">
      <c r="A65" s="144" t="s">
        <v>533</v>
      </c>
      <c r="B65" s="145">
        <v>103.1</v>
      </c>
      <c r="C65" s="145">
        <v>14.6</v>
      </c>
      <c r="D65" s="145">
        <v>35.700000000000003</v>
      </c>
      <c r="F65" t="s">
        <v>868</v>
      </c>
      <c r="G65">
        <f t="array" ref="G65:I65">1000*B65:D65</f>
        <v>103100</v>
      </c>
      <c r="H65">
        <v>14600</v>
      </c>
      <c r="I65">
        <v>35700</v>
      </c>
      <c r="J65">
        <f t="shared" si="3"/>
        <v>103100</v>
      </c>
      <c r="K65">
        <f t="shared" si="4"/>
        <v>14600</v>
      </c>
      <c r="L65">
        <f t="shared" si="5"/>
        <v>36700</v>
      </c>
      <c r="M65">
        <f t="shared" si="6"/>
        <v>100</v>
      </c>
      <c r="N65">
        <f t="shared" si="7"/>
        <v>1000</v>
      </c>
    </row>
    <row r="66" spans="1:14" ht="16.5" x14ac:dyDescent="0.25">
      <c r="A66" s="144" t="s">
        <v>534</v>
      </c>
      <c r="B66" s="136">
        <v>115.3</v>
      </c>
      <c r="C66" s="136">
        <v>3.5</v>
      </c>
      <c r="D66" s="136">
        <v>43.5</v>
      </c>
      <c r="F66" t="s">
        <v>868</v>
      </c>
      <c r="G66">
        <f t="array" ref="G66:I66">1000*B66:D66</f>
        <v>115300</v>
      </c>
      <c r="H66">
        <v>3500</v>
      </c>
      <c r="I66">
        <v>43500</v>
      </c>
      <c r="J66">
        <f t="shared" si="3"/>
        <v>115300</v>
      </c>
      <c r="K66">
        <f t="shared" si="4"/>
        <v>3500</v>
      </c>
      <c r="L66">
        <f t="shared" si="5"/>
        <v>44500</v>
      </c>
      <c r="M66">
        <f t="shared" si="6"/>
        <v>100</v>
      </c>
      <c r="N66">
        <f t="shared" si="7"/>
        <v>1000</v>
      </c>
    </row>
    <row r="67" spans="1:14" ht="16.5" x14ac:dyDescent="0.25">
      <c r="A67" s="144" t="s">
        <v>535</v>
      </c>
      <c r="B67" s="136">
        <v>115</v>
      </c>
      <c r="C67" s="136">
        <v>4.8</v>
      </c>
      <c r="D67" s="136">
        <v>42.8</v>
      </c>
      <c r="F67" t="s">
        <v>868</v>
      </c>
      <c r="G67">
        <f t="array" ref="G67:I67">1000*B67:D67</f>
        <v>115000</v>
      </c>
      <c r="H67">
        <v>4800</v>
      </c>
      <c r="I67">
        <v>42800</v>
      </c>
      <c r="J67">
        <f t="shared" si="3"/>
        <v>115000</v>
      </c>
      <c r="K67">
        <f t="shared" si="4"/>
        <v>4800</v>
      </c>
      <c r="L67">
        <f t="shared" ref="L67:L80" si="8">I67+FH</f>
        <v>43800</v>
      </c>
      <c r="M67">
        <f t="shared" ref="M67:M80" si="9">RLow</f>
        <v>100</v>
      </c>
      <c r="N67">
        <f t="shared" ref="N67:N80" si="10">RHigh</f>
        <v>1000</v>
      </c>
    </row>
    <row r="68" spans="1:14" ht="16.5" x14ac:dyDescent="0.25">
      <c r="A68" s="144" t="s">
        <v>536</v>
      </c>
      <c r="B68" s="144">
        <v>213.1</v>
      </c>
      <c r="C68" s="144">
        <v>-21.4</v>
      </c>
      <c r="D68" s="144">
        <v>29.9</v>
      </c>
      <c r="F68" t="s">
        <v>868</v>
      </c>
      <c r="G68">
        <f t="array" ref="G68:I68">1000*B68:D68</f>
        <v>213100</v>
      </c>
      <c r="H68">
        <v>-21400</v>
      </c>
      <c r="I68">
        <v>29900</v>
      </c>
      <c r="J68">
        <f t="shared" ref="J68:J80" si="11">G68</f>
        <v>213100</v>
      </c>
      <c r="K68">
        <f t="shared" ref="K68:K80" si="12">H68</f>
        <v>-21400</v>
      </c>
      <c r="L68">
        <f t="shared" si="8"/>
        <v>30900</v>
      </c>
      <c r="M68">
        <f t="shared" si="9"/>
        <v>100</v>
      </c>
      <c r="N68">
        <f t="shared" si="10"/>
        <v>1000</v>
      </c>
    </row>
    <row r="69" spans="1:14" ht="16.5" x14ac:dyDescent="0.25">
      <c r="A69" s="144" t="s">
        <v>537</v>
      </c>
      <c r="B69" s="144">
        <v>158.69999999999999</v>
      </c>
      <c r="C69" s="144">
        <v>4.0999999999999996</v>
      </c>
      <c r="D69" s="144">
        <v>32.9</v>
      </c>
      <c r="F69" t="s">
        <v>868</v>
      </c>
      <c r="G69">
        <f t="array" ref="G69:I69">1000*B69:D69</f>
        <v>158700</v>
      </c>
      <c r="H69">
        <v>4100</v>
      </c>
      <c r="I69">
        <v>32900</v>
      </c>
      <c r="J69">
        <f t="shared" si="11"/>
        <v>158700</v>
      </c>
      <c r="K69">
        <f t="shared" si="12"/>
        <v>4100</v>
      </c>
      <c r="L69">
        <f t="shared" si="8"/>
        <v>33900</v>
      </c>
      <c r="M69">
        <f t="shared" si="9"/>
        <v>100</v>
      </c>
      <c r="N69">
        <f t="shared" si="10"/>
        <v>1000</v>
      </c>
    </row>
    <row r="70" spans="1:14" ht="16.5" x14ac:dyDescent="0.25">
      <c r="A70" s="144" t="s">
        <v>538</v>
      </c>
      <c r="B70" s="144">
        <v>152.30000000000001</v>
      </c>
      <c r="C70" s="144">
        <v>3.8</v>
      </c>
      <c r="D70" s="144">
        <v>32.200000000000003</v>
      </c>
      <c r="F70" t="s">
        <v>868</v>
      </c>
      <c r="G70">
        <f t="array" ref="G70:I70">1000*B70:D70</f>
        <v>152300</v>
      </c>
      <c r="H70">
        <v>3800</v>
      </c>
      <c r="I70">
        <v>32200.000000000004</v>
      </c>
      <c r="J70">
        <f t="shared" si="11"/>
        <v>152300</v>
      </c>
      <c r="K70">
        <f t="shared" si="12"/>
        <v>3800</v>
      </c>
      <c r="L70">
        <f t="shared" si="8"/>
        <v>33200</v>
      </c>
      <c r="M70">
        <f t="shared" si="9"/>
        <v>100</v>
      </c>
      <c r="N70">
        <f t="shared" si="10"/>
        <v>1000</v>
      </c>
    </row>
    <row r="71" spans="1:14" ht="16.5" x14ac:dyDescent="0.25">
      <c r="A71" s="145" t="s">
        <v>717</v>
      </c>
      <c r="B71" s="144">
        <v>103</v>
      </c>
      <c r="C71" s="144">
        <v>-23</v>
      </c>
      <c r="D71" s="144">
        <v>37.799999999999997</v>
      </c>
      <c r="F71" t="s">
        <v>868</v>
      </c>
      <c r="G71">
        <f t="array" ref="G71:I71">1000*B71:D71</f>
        <v>103000</v>
      </c>
      <c r="H71">
        <v>-23000</v>
      </c>
      <c r="I71">
        <v>37800</v>
      </c>
      <c r="J71">
        <f t="shared" si="11"/>
        <v>103000</v>
      </c>
      <c r="K71">
        <f t="shared" si="12"/>
        <v>-23000</v>
      </c>
      <c r="L71">
        <f t="shared" si="8"/>
        <v>38800</v>
      </c>
      <c r="M71">
        <f t="shared" si="9"/>
        <v>100</v>
      </c>
      <c r="N71">
        <f t="shared" si="10"/>
        <v>1000</v>
      </c>
    </row>
    <row r="72" spans="1:14" ht="16.5" x14ac:dyDescent="0.25">
      <c r="A72" s="145" t="s">
        <v>718</v>
      </c>
      <c r="B72" s="144">
        <v>77.2</v>
      </c>
      <c r="C72" s="144">
        <v>-23.3</v>
      </c>
      <c r="D72" s="144">
        <v>35.5</v>
      </c>
      <c r="F72" t="s">
        <v>868</v>
      </c>
      <c r="G72">
        <f t="array" ref="G72:I72">1000*B72:D72</f>
        <v>77200</v>
      </c>
      <c r="H72">
        <v>-23300</v>
      </c>
      <c r="I72">
        <v>35500</v>
      </c>
      <c r="J72">
        <f t="shared" si="11"/>
        <v>77200</v>
      </c>
      <c r="K72">
        <f t="shared" si="12"/>
        <v>-23300</v>
      </c>
      <c r="L72">
        <f t="shared" si="8"/>
        <v>36500</v>
      </c>
      <c r="M72">
        <f t="shared" si="9"/>
        <v>100</v>
      </c>
      <c r="N72">
        <f t="shared" si="10"/>
        <v>1000</v>
      </c>
    </row>
    <row r="73" spans="1:14" ht="16.5" x14ac:dyDescent="0.25">
      <c r="A73" s="144" t="s">
        <v>729</v>
      </c>
      <c r="B73" s="144">
        <v>158.30000000000001</v>
      </c>
      <c r="C73" s="144">
        <v>8.5</v>
      </c>
      <c r="D73" s="144">
        <v>30</v>
      </c>
      <c r="F73" t="s">
        <v>868</v>
      </c>
      <c r="G73">
        <f t="array" ref="G73:I73">1000*B73:D73</f>
        <v>158300</v>
      </c>
      <c r="H73">
        <v>8500</v>
      </c>
      <c r="I73">
        <v>30000</v>
      </c>
      <c r="J73">
        <f t="shared" si="11"/>
        <v>158300</v>
      </c>
      <c r="K73">
        <f t="shared" si="12"/>
        <v>8500</v>
      </c>
      <c r="L73">
        <f t="shared" si="8"/>
        <v>31000</v>
      </c>
      <c r="M73">
        <f t="shared" si="9"/>
        <v>100</v>
      </c>
      <c r="N73">
        <f t="shared" si="10"/>
        <v>1000</v>
      </c>
    </row>
    <row r="74" spans="1:14" ht="16.5" x14ac:dyDescent="0.25">
      <c r="A74" s="144" t="s">
        <v>183</v>
      </c>
      <c r="B74" s="144">
        <v>58.1</v>
      </c>
      <c r="C74" s="144">
        <v>8.4</v>
      </c>
      <c r="D74" s="144">
        <v>30</v>
      </c>
      <c r="F74" t="s">
        <v>868</v>
      </c>
      <c r="G74">
        <f t="array" ref="G74:I74">1000*B74:D74</f>
        <v>58100</v>
      </c>
      <c r="H74">
        <v>8400</v>
      </c>
      <c r="I74">
        <v>30000</v>
      </c>
      <c r="J74">
        <f t="shared" si="11"/>
        <v>58100</v>
      </c>
      <c r="K74">
        <f t="shared" si="12"/>
        <v>8400</v>
      </c>
      <c r="L74">
        <f t="shared" si="8"/>
        <v>31000</v>
      </c>
      <c r="M74">
        <f t="shared" si="9"/>
        <v>100</v>
      </c>
      <c r="N74">
        <f t="shared" si="10"/>
        <v>1000</v>
      </c>
    </row>
    <row r="75" spans="1:14" ht="16.5" x14ac:dyDescent="0.25">
      <c r="A75" s="144" t="s">
        <v>184</v>
      </c>
      <c r="B75" s="144">
        <v>158.30000000000001</v>
      </c>
      <c r="C75" s="144">
        <v>-8.5</v>
      </c>
      <c r="D75" s="144">
        <v>30</v>
      </c>
      <c r="F75" t="s">
        <v>868</v>
      </c>
      <c r="G75">
        <f t="array" ref="G75:I75">1000*B75:D75</f>
        <v>158300</v>
      </c>
      <c r="H75">
        <v>-8500</v>
      </c>
      <c r="I75">
        <v>30000</v>
      </c>
      <c r="J75">
        <f t="shared" si="11"/>
        <v>158300</v>
      </c>
      <c r="K75">
        <f t="shared" si="12"/>
        <v>-8500</v>
      </c>
      <c r="L75">
        <f t="shared" si="8"/>
        <v>31000</v>
      </c>
      <c r="M75">
        <f t="shared" si="9"/>
        <v>100</v>
      </c>
      <c r="N75">
        <f t="shared" si="10"/>
        <v>1000</v>
      </c>
    </row>
    <row r="76" spans="1:14" ht="16.5" x14ac:dyDescent="0.25">
      <c r="A76" s="144" t="s">
        <v>185</v>
      </c>
      <c r="B76" s="144">
        <v>58.1</v>
      </c>
      <c r="C76" s="144">
        <v>-8.4</v>
      </c>
      <c r="D76" s="144">
        <v>30</v>
      </c>
      <c r="F76" t="s">
        <v>868</v>
      </c>
      <c r="G76">
        <f t="array" ref="G76:I76">1000*B76:D76</f>
        <v>58100</v>
      </c>
      <c r="H76">
        <v>-8400</v>
      </c>
      <c r="I76">
        <v>30000</v>
      </c>
      <c r="J76">
        <f t="shared" si="11"/>
        <v>58100</v>
      </c>
      <c r="K76">
        <f t="shared" si="12"/>
        <v>-8400</v>
      </c>
      <c r="L76">
        <f t="shared" si="8"/>
        <v>31000</v>
      </c>
      <c r="M76">
        <f t="shared" si="9"/>
        <v>100</v>
      </c>
      <c r="N76">
        <f t="shared" si="10"/>
        <v>1000</v>
      </c>
    </row>
    <row r="77" spans="1:14" ht="16.5" x14ac:dyDescent="0.25">
      <c r="A77" s="144" t="s">
        <v>730</v>
      </c>
      <c r="B77" s="144">
        <v>158.30000000000001</v>
      </c>
      <c r="C77" s="144">
        <v>10.8</v>
      </c>
      <c r="D77" s="144">
        <v>30</v>
      </c>
      <c r="F77" t="s">
        <v>868</v>
      </c>
      <c r="G77">
        <f t="array" ref="G77:I77">1000*B77:D77</f>
        <v>158300</v>
      </c>
      <c r="H77">
        <v>10800</v>
      </c>
      <c r="I77">
        <v>30000</v>
      </c>
      <c r="J77">
        <f t="shared" si="11"/>
        <v>158300</v>
      </c>
      <c r="K77">
        <f t="shared" si="12"/>
        <v>10800</v>
      </c>
      <c r="L77">
        <f t="shared" si="8"/>
        <v>31000</v>
      </c>
      <c r="M77">
        <f t="shared" si="9"/>
        <v>100</v>
      </c>
      <c r="N77">
        <f t="shared" si="10"/>
        <v>1000</v>
      </c>
    </row>
    <row r="78" spans="1:14" ht="16.5" x14ac:dyDescent="0.25">
      <c r="A78" s="143" t="s">
        <v>188</v>
      </c>
      <c r="B78" s="143">
        <v>58.2</v>
      </c>
      <c r="C78" s="143">
        <v>10.5</v>
      </c>
      <c r="D78" s="144">
        <v>30</v>
      </c>
      <c r="F78" t="s">
        <v>868</v>
      </c>
      <c r="G78">
        <f t="array" ref="G78:I78">1000*B78:D78</f>
        <v>58200</v>
      </c>
      <c r="H78">
        <v>10500</v>
      </c>
      <c r="I78">
        <v>30000</v>
      </c>
      <c r="J78">
        <f t="shared" si="11"/>
        <v>58200</v>
      </c>
      <c r="K78">
        <f t="shared" si="12"/>
        <v>10500</v>
      </c>
      <c r="L78">
        <f t="shared" si="8"/>
        <v>31000</v>
      </c>
      <c r="M78">
        <f t="shared" si="9"/>
        <v>100</v>
      </c>
      <c r="N78">
        <f t="shared" si="10"/>
        <v>1000</v>
      </c>
    </row>
    <row r="79" spans="1:14" ht="16.5" x14ac:dyDescent="0.25">
      <c r="A79" s="143" t="s">
        <v>189</v>
      </c>
      <c r="B79" s="144">
        <v>158.30000000000001</v>
      </c>
      <c r="C79" s="144">
        <v>-10.8</v>
      </c>
      <c r="D79" s="144">
        <v>30</v>
      </c>
      <c r="F79" t="s">
        <v>868</v>
      </c>
      <c r="G79">
        <f t="array" ref="G79:I79">1000*B79:D79</f>
        <v>158300</v>
      </c>
      <c r="H79">
        <v>-10800</v>
      </c>
      <c r="I79">
        <v>30000</v>
      </c>
      <c r="J79">
        <f t="shared" si="11"/>
        <v>158300</v>
      </c>
      <c r="K79">
        <f t="shared" si="12"/>
        <v>-10800</v>
      </c>
      <c r="L79">
        <f t="shared" si="8"/>
        <v>31000</v>
      </c>
      <c r="M79">
        <f t="shared" si="9"/>
        <v>100</v>
      </c>
      <c r="N79">
        <f t="shared" si="10"/>
        <v>1000</v>
      </c>
    </row>
    <row r="80" spans="1:14" ht="16.5" x14ac:dyDescent="0.25">
      <c r="A80" s="143" t="s">
        <v>190</v>
      </c>
      <c r="B80" s="143">
        <v>58.2</v>
      </c>
      <c r="C80" s="143">
        <v>-10.5</v>
      </c>
      <c r="D80" s="144">
        <v>30</v>
      </c>
      <c r="F80" t="s">
        <v>868</v>
      </c>
      <c r="G80">
        <f t="array" ref="G80:I80">1000*B80:D80</f>
        <v>58200</v>
      </c>
      <c r="H80">
        <v>-10500</v>
      </c>
      <c r="I80">
        <v>30000</v>
      </c>
      <c r="J80">
        <f t="shared" si="11"/>
        <v>58200</v>
      </c>
      <c r="K80">
        <f t="shared" si="12"/>
        <v>-10500</v>
      </c>
      <c r="L80">
        <f t="shared" si="8"/>
        <v>31000</v>
      </c>
      <c r="M80">
        <f t="shared" si="9"/>
        <v>100</v>
      </c>
      <c r="N80">
        <f t="shared" si="10"/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FC16-7580-4404-87AF-85CC6922D7AF}">
  <sheetPr codeName="Sheet10"/>
  <dimension ref="B3:C3"/>
  <sheetViews>
    <sheetView workbookViewId="0">
      <selection activeCell="L23" sqref="L23"/>
    </sheetView>
  </sheetViews>
  <sheetFormatPr defaultRowHeight="15" x14ac:dyDescent="0.25"/>
  <sheetData>
    <row r="3" spans="2:3" x14ac:dyDescent="0.25">
      <c r="B3" t="s">
        <v>159</v>
      </c>
      <c r="C3" t="s">
        <v>559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AD40-A139-4F6A-970C-3033594FC9CA}">
  <sheetPr codeName="Sheet5"/>
  <dimension ref="A1:W15"/>
  <sheetViews>
    <sheetView workbookViewId="0">
      <selection activeCell="Q13" sqref="Q13"/>
    </sheetView>
  </sheetViews>
  <sheetFormatPr defaultRowHeight="15" x14ac:dyDescent="0.25"/>
  <sheetData>
    <row r="1" spans="1:23" ht="14.25" customHeight="1" x14ac:dyDescent="0.25"/>
    <row r="2" spans="1:23" s="127" customFormat="1" ht="14.25" customHeight="1" x14ac:dyDescent="0.25">
      <c r="B2" s="127" t="s">
        <v>10</v>
      </c>
      <c r="D2" s="127">
        <v>3</v>
      </c>
      <c r="E2" s="127">
        <v>4</v>
      </c>
      <c r="F2" s="127">
        <v>151</v>
      </c>
      <c r="G2" s="127" t="s">
        <v>48</v>
      </c>
      <c r="H2" s="127" t="s">
        <v>204</v>
      </c>
      <c r="I2" s="127" t="s">
        <v>858</v>
      </c>
      <c r="J2" s="127" t="s">
        <v>859</v>
      </c>
      <c r="K2" s="127" t="s">
        <v>860</v>
      </c>
      <c r="L2" s="127" t="s">
        <v>861</v>
      </c>
      <c r="M2" s="127" t="s">
        <v>862</v>
      </c>
      <c r="N2" s="127" t="s">
        <v>80</v>
      </c>
      <c r="O2" s="127" t="s">
        <v>83</v>
      </c>
      <c r="P2" s="127" t="s">
        <v>88</v>
      </c>
      <c r="Q2" s="127" t="s">
        <v>863</v>
      </c>
    </row>
    <row r="3" spans="1:23" x14ac:dyDescent="0.25">
      <c r="A3" t="s">
        <v>580</v>
      </c>
      <c r="B3">
        <v>3.1300000000000001E-2</v>
      </c>
      <c r="D3">
        <v>1.3299999999999999E-2</v>
      </c>
      <c r="E3">
        <v>4.0899999999999999E-2</v>
      </c>
      <c r="F3">
        <v>4.8999999999999998E-3</v>
      </c>
      <c r="G3">
        <v>2.3999999999999998E-3</v>
      </c>
      <c r="H3">
        <v>2.0000000000000001E-4</v>
      </c>
      <c r="I3">
        <v>2.0000000000000001E-4</v>
      </c>
      <c r="J3">
        <v>1.5699999999999999E-2</v>
      </c>
      <c r="K3">
        <v>1E-4</v>
      </c>
      <c r="L3">
        <v>3.4200000000000001E-2</v>
      </c>
      <c r="M3">
        <v>1.6000000000000001E-3</v>
      </c>
      <c r="N3">
        <v>4.1700000000000001E-2</v>
      </c>
      <c r="O3">
        <v>8.6999999999999994E-3</v>
      </c>
      <c r="P3">
        <v>2.1000000000000001E-2</v>
      </c>
      <c r="Q3">
        <v>3.3399999999999999E-2</v>
      </c>
    </row>
    <row r="4" spans="1:23" x14ac:dyDescent="0.25">
      <c r="A4" t="s">
        <v>581</v>
      </c>
      <c r="B4">
        <v>0.80679999999999996</v>
      </c>
      <c r="D4">
        <v>0.21149999999999999</v>
      </c>
      <c r="E4">
        <v>0.75370000000000004</v>
      </c>
      <c r="F4">
        <v>4.8300000000000003E-2</v>
      </c>
      <c r="G4">
        <v>1.4800000000000001E-2</v>
      </c>
      <c r="H4">
        <v>5.9999999999999995E-4</v>
      </c>
      <c r="I4">
        <v>5.9999999999999995E-4</v>
      </c>
      <c r="J4">
        <v>0.2094</v>
      </c>
      <c r="K4">
        <v>2.9999999999999997E-4</v>
      </c>
      <c r="L4">
        <v>0.43780000000000002</v>
      </c>
      <c r="M4">
        <v>9.7000000000000003E-3</v>
      </c>
      <c r="N4">
        <v>0.63029999999999997</v>
      </c>
      <c r="O4">
        <v>6.9900000000000004E-2</v>
      </c>
      <c r="P4">
        <v>0.19969999999999999</v>
      </c>
      <c r="Q4">
        <v>0.84609999999999996</v>
      </c>
    </row>
    <row r="5" spans="1:23" x14ac:dyDescent="0.25">
      <c r="A5" t="s">
        <v>582</v>
      </c>
      <c r="B5">
        <v>5.5199999999999999E-2</v>
      </c>
      <c r="D5">
        <v>3.8600000000000002E-2</v>
      </c>
      <c r="E5">
        <v>9.3100000000000002E-2</v>
      </c>
      <c r="F5">
        <v>2.2200000000000001E-2</v>
      </c>
      <c r="G5">
        <v>1.6799999999999999E-2</v>
      </c>
      <c r="H5">
        <v>2.5999999999999999E-3</v>
      </c>
      <c r="I5">
        <v>2.5999999999999999E-3</v>
      </c>
      <c r="J5">
        <v>7.8100000000000003E-2</v>
      </c>
      <c r="K5">
        <v>5.9999999999999995E-4</v>
      </c>
      <c r="L5">
        <v>0.1237</v>
      </c>
      <c r="M5">
        <v>1.2800000000000001E-2</v>
      </c>
      <c r="N5">
        <v>0.1234</v>
      </c>
      <c r="O5">
        <v>5.6399999999999999E-2</v>
      </c>
      <c r="P5">
        <v>0.1114</v>
      </c>
      <c r="Q5">
        <v>6.0100000000000001E-2</v>
      </c>
    </row>
    <row r="6" spans="1:23" x14ac:dyDescent="0.25">
      <c r="A6" t="s">
        <v>583</v>
      </c>
      <c r="B6">
        <v>2.6800000000000001E-2</v>
      </c>
      <c r="D6">
        <v>3.61E-2</v>
      </c>
      <c r="E6">
        <v>5.2200000000000003E-2</v>
      </c>
      <c r="F6">
        <v>3.1300000000000001E-2</v>
      </c>
      <c r="G6">
        <v>4.8899999999999999E-2</v>
      </c>
      <c r="H6">
        <v>0.182</v>
      </c>
      <c r="I6">
        <v>1.8200000000000001E-2</v>
      </c>
      <c r="J6">
        <v>0.1794</v>
      </c>
      <c r="K6">
        <v>4.4999999999999997E-3</v>
      </c>
      <c r="L6">
        <v>0.16450000000000001</v>
      </c>
      <c r="M6">
        <v>5.2499999999999998E-2</v>
      </c>
      <c r="N6">
        <v>0.1171</v>
      </c>
      <c r="O6">
        <v>0.1608</v>
      </c>
      <c r="P6">
        <v>0.22850000000000001</v>
      </c>
      <c r="Q6">
        <v>3.0700000000000002E-2</v>
      </c>
    </row>
    <row r="7" spans="1:23" x14ac:dyDescent="0.25">
      <c r="A7" t="s">
        <v>641</v>
      </c>
      <c r="B7">
        <f>0.0045+0.0084</f>
        <v>1.2899999999999998E-2</v>
      </c>
      <c r="D7">
        <f>0.0093+0.0207</f>
        <v>0.03</v>
      </c>
      <c r="E7">
        <f>0.0084+0.015</f>
        <v>2.3399999999999997E-2</v>
      </c>
      <c r="F7">
        <f>0.0095+0.0225</f>
        <v>3.2000000000000001E-2</v>
      </c>
      <c r="G7">
        <f>0.0224+0.0574</f>
        <v>7.9799999999999996E-2</v>
      </c>
      <c r="H7">
        <f>0.014+0.0429</f>
        <v>5.6899999999999999E-2</v>
      </c>
      <c r="I7">
        <f>0.014+0.0429</f>
        <v>5.6899999999999999E-2</v>
      </c>
      <c r="J7">
        <f>0.0684+0.1586</f>
        <v>0.22699999999999998</v>
      </c>
      <c r="K7">
        <f>0.004+0.0129</f>
        <v>1.6899999999999998E-2</v>
      </c>
      <c r="L7">
        <f>0.0464+0.0969</f>
        <v>0.14329999999999998</v>
      </c>
      <c r="M7">
        <f>0.033+0.0948</f>
        <v>0.1278</v>
      </c>
      <c r="N7">
        <f>0.0242+0.0437</f>
        <v>6.7900000000000002E-2</v>
      </c>
      <c r="O7">
        <f>0.0773+0.1957</f>
        <v>0.27300000000000002</v>
      </c>
      <c r="P7">
        <f>0.0823+0.1834</f>
        <v>0.26569999999999999</v>
      </c>
      <c r="Q7">
        <f>0.0052+0.0092</f>
        <v>1.44E-2</v>
      </c>
    </row>
    <row r="8" spans="1:23" x14ac:dyDescent="0.25">
      <c r="A8" t="s">
        <v>642</v>
      </c>
      <c r="B8">
        <f>0.0025+0.0033</f>
        <v>5.7999999999999996E-3</v>
      </c>
      <c r="D8">
        <f>0.0089+0.0133</f>
        <v>2.2199999999999998E-2</v>
      </c>
      <c r="E8">
        <f>0.0037+0.0045</f>
        <v>8.199999999999999E-3</v>
      </c>
      <c r="F8">
        <f>0.0105+0.0159</f>
        <v>2.64E-2</v>
      </c>
      <c r="G8">
        <f>0.0271+0.0391</f>
        <v>6.6200000000000009E-2</v>
      </c>
      <c r="H8">
        <f>0.0288+0.0451</f>
        <v>7.3899999999999993E-2</v>
      </c>
      <c r="I8">
        <f>0.0288+0.0451</f>
        <v>7.3899999999999993E-2</v>
      </c>
      <c r="J8">
        <f>0.0558+0.0724</f>
        <v>0.12820000000000001</v>
      </c>
      <c r="K8">
        <f>0.0104+0.0177</f>
        <v>2.81E-2</v>
      </c>
      <c r="L8">
        <f>0.0269+0.0322</f>
        <v>5.91E-2</v>
      </c>
      <c r="M8">
        <f>0.0592+0.0916</f>
        <v>0.15079999999999999</v>
      </c>
      <c r="N8">
        <f>0.0074+0.0073</f>
        <v>1.4700000000000001E-2</v>
      </c>
      <c r="O8">
        <f>0.0846+0.1138</f>
        <v>0.19839999999999999</v>
      </c>
      <c r="P8">
        <f>0.0541+0.0637</f>
        <v>0.11780000000000002</v>
      </c>
      <c r="Q8">
        <f>0.0023+0.0028</f>
        <v>5.1000000000000004E-3</v>
      </c>
    </row>
    <row r="9" spans="1:23" x14ac:dyDescent="0.25">
      <c r="A9" t="s">
        <v>643</v>
      </c>
      <c r="B9">
        <v>3.5999999999999999E-3</v>
      </c>
      <c r="D9">
        <v>2.0899999999999998E-2</v>
      </c>
      <c r="E9">
        <v>3.3E-3</v>
      </c>
      <c r="F9">
        <v>2.6200000000000001E-2</v>
      </c>
      <c r="G9">
        <v>4.7E-2</v>
      </c>
      <c r="H9">
        <v>6.8199999999999997E-2</v>
      </c>
      <c r="I9">
        <v>6.8199999999999997E-2</v>
      </c>
      <c r="J9">
        <v>5.28E-2</v>
      </c>
      <c r="K9">
        <v>3.7600000000000001E-2</v>
      </c>
      <c r="L9">
        <v>1.5800000000000002E-2</v>
      </c>
      <c r="M9">
        <v>0.1265</v>
      </c>
      <c r="N9">
        <v>1.4E-3</v>
      </c>
      <c r="O9">
        <v>8.0699999999999994E-2</v>
      </c>
      <c r="P9">
        <v>2.4199999999999999E-2</v>
      </c>
      <c r="Q9">
        <v>2.0999999999999999E-3</v>
      </c>
    </row>
    <row r="10" spans="1:23" x14ac:dyDescent="0.25">
      <c r="A10" t="s">
        <v>644</v>
      </c>
      <c r="B10">
        <v>4.7999999999999996E-3</v>
      </c>
      <c r="D10">
        <v>4.7199999999999999E-2</v>
      </c>
      <c r="E10">
        <v>1.6999999999999999E-3</v>
      </c>
      <c r="F10">
        <v>6.0900000000000003E-2</v>
      </c>
      <c r="G10">
        <v>6.4600000000000005E-2</v>
      </c>
      <c r="H10">
        <v>0.1087</v>
      </c>
      <c r="I10">
        <v>0.1087</v>
      </c>
      <c r="J10">
        <v>1.21E-2</v>
      </c>
      <c r="K10">
        <v>5.4300000000000001E-2</v>
      </c>
      <c r="L10">
        <v>1.2999999999999999E-3</v>
      </c>
      <c r="M10">
        <v>5.91E-2</v>
      </c>
      <c r="N10">
        <v>0</v>
      </c>
      <c r="O10">
        <v>1.1599999999999999E-2</v>
      </c>
      <c r="P10">
        <v>8.9999999999999998E-4</v>
      </c>
      <c r="Q10">
        <v>1.2999999999999999E-3</v>
      </c>
    </row>
    <row r="11" spans="1:23" x14ac:dyDescent="0.25">
      <c r="A11" t="s">
        <v>645</v>
      </c>
      <c r="B11">
        <v>5.7000000000000002E-3</v>
      </c>
      <c r="D11">
        <v>6.25E-2</v>
      </c>
      <c r="E11">
        <v>1.1999999999999999E-3</v>
      </c>
      <c r="F11">
        <v>8.1000000000000003E-2</v>
      </c>
      <c r="G11">
        <v>7.4700000000000003E-2</v>
      </c>
      <c r="H11">
        <v>0.12809999999999999</v>
      </c>
      <c r="I11">
        <v>0.12809999999999999</v>
      </c>
      <c r="J11">
        <v>3.7000000000000002E-3</v>
      </c>
      <c r="K11">
        <v>3.7400000000000003E-2</v>
      </c>
      <c r="L11">
        <v>2.0000000000000001E-4</v>
      </c>
      <c r="M11">
        <v>2.3800000000000002E-2</v>
      </c>
      <c r="N11">
        <v>0</v>
      </c>
      <c r="O11">
        <v>4.4000000000000003E-3</v>
      </c>
      <c r="P11">
        <v>2.0000000000000001E-4</v>
      </c>
      <c r="Q11">
        <v>1E-3</v>
      </c>
    </row>
    <row r="12" spans="1:23" x14ac:dyDescent="0.25">
      <c r="A12" t="s">
        <v>646</v>
      </c>
      <c r="B12">
        <f>0.0025+0.0426</f>
        <v>4.5100000000000001E-2</v>
      </c>
      <c r="D12">
        <f>0.0273+0.2663</f>
        <v>0.29359999999999997</v>
      </c>
      <c r="E12">
        <f>0.0002+0.0039</f>
        <v>4.0999999999999995E-3</v>
      </c>
      <c r="F12">
        <f>0.0355+0.3452</f>
        <v>0.38069999999999998</v>
      </c>
      <c r="G12">
        <f>0.0291+0.2842</f>
        <v>0.31330000000000002</v>
      </c>
      <c r="H12">
        <f>0.0505+0.3255</f>
        <v>0.376</v>
      </c>
      <c r="I12">
        <f>0.0505+0.4893</f>
        <v>0.53980000000000006</v>
      </c>
      <c r="J12">
        <f>0.0002+0.0258</f>
        <v>2.5999999999999999E-2</v>
      </c>
      <c r="K12">
        <f>0.0056+0.0539</f>
        <v>5.9500000000000004E-2</v>
      </c>
      <c r="L12">
        <v>6.3E-3</v>
      </c>
      <c r="M12">
        <f>0.002+0.084</f>
        <v>8.6000000000000007E-2</v>
      </c>
      <c r="N12">
        <v>1.2999999999999999E-3</v>
      </c>
      <c r="O12">
        <f>0.0006+0.0336</f>
        <v>3.4200000000000001E-2</v>
      </c>
      <c r="P12">
        <v>7.7999999999999996E-3</v>
      </c>
      <c r="Q12">
        <f>0.0002+0.0046</f>
        <v>4.7999999999999996E-3</v>
      </c>
    </row>
    <row r="13" spans="1:23" x14ac:dyDescent="0.25">
      <c r="A13" t="s">
        <v>606</v>
      </c>
      <c r="B13">
        <v>2E-3</v>
      </c>
      <c r="D13">
        <v>0.22409999999999999</v>
      </c>
      <c r="E13">
        <v>1.8200000000000001E-2</v>
      </c>
      <c r="F13">
        <v>0.28610000000000002</v>
      </c>
      <c r="G13">
        <v>0.27150000000000002</v>
      </c>
      <c r="H13">
        <v>2.8E-3</v>
      </c>
      <c r="I13">
        <v>2.8E-3</v>
      </c>
      <c r="J13">
        <v>6.7599999999999993E-2</v>
      </c>
      <c r="K13">
        <v>0.76070000000000004</v>
      </c>
      <c r="L13">
        <v>1.38E-2</v>
      </c>
      <c r="M13">
        <v>0.34939999999999999</v>
      </c>
      <c r="N13">
        <v>2.2000000000000001E-3</v>
      </c>
      <c r="O13">
        <v>0.1019</v>
      </c>
      <c r="P13">
        <v>2.2800000000000001E-2</v>
      </c>
      <c r="Q13">
        <v>1E-3</v>
      </c>
    </row>
    <row r="14" spans="1:23" x14ac:dyDescent="0.25">
      <c r="A14" t="s">
        <v>647</v>
      </c>
      <c r="B14">
        <f>SUM(B3:B13)</f>
        <v>1.0000000000000002</v>
      </c>
      <c r="D14">
        <f t="shared" ref="D14:P14" si="0">SUM(D3:D13)</f>
        <v>1</v>
      </c>
      <c r="E14">
        <f t="shared" si="0"/>
        <v>1</v>
      </c>
      <c r="F14">
        <f t="shared" si="0"/>
        <v>1</v>
      </c>
      <c r="G14">
        <f t="shared" si="0"/>
        <v>1</v>
      </c>
      <c r="H14">
        <f t="shared" si="0"/>
        <v>1</v>
      </c>
      <c r="I14">
        <f t="shared" si="0"/>
        <v>1</v>
      </c>
      <c r="J14">
        <f t="shared" si="0"/>
        <v>1</v>
      </c>
      <c r="K14">
        <f t="shared" si="0"/>
        <v>1</v>
      </c>
      <c r="L14">
        <f t="shared" si="0"/>
        <v>1</v>
      </c>
      <c r="M14">
        <f t="shared" si="0"/>
        <v>1</v>
      </c>
      <c r="N14">
        <f t="shared" si="0"/>
        <v>0.99999999999999978</v>
      </c>
      <c r="O14">
        <f t="shared" si="0"/>
        <v>0.99999999999999989</v>
      </c>
      <c r="P14">
        <f t="shared" si="0"/>
        <v>1</v>
      </c>
      <c r="Q14">
        <f t="shared" ref="Q14:W14" si="1">SUM(Q3:Q13)</f>
        <v>0.99999999999999989</v>
      </c>
      <c r="R14">
        <f t="shared" si="1"/>
        <v>0</v>
      </c>
      <c r="S14">
        <f t="shared" si="1"/>
        <v>0</v>
      </c>
      <c r="T14">
        <f t="shared" si="1"/>
        <v>0</v>
      </c>
      <c r="U14">
        <f t="shared" si="1"/>
        <v>0</v>
      </c>
      <c r="V14">
        <f t="shared" si="1"/>
        <v>0</v>
      </c>
      <c r="W14">
        <f t="shared" si="1"/>
        <v>0</v>
      </c>
    </row>
    <row r="15" spans="1:23" x14ac:dyDescent="0.25">
      <c r="A15">
        <v>1</v>
      </c>
      <c r="B15">
        <f>A15-B14</f>
        <v>0</v>
      </c>
      <c r="D15">
        <f t="shared" ref="D15:P15" si="2">$A$15-D14</f>
        <v>0</v>
      </c>
      <c r="E15">
        <f t="shared" si="2"/>
        <v>0</v>
      </c>
      <c r="F15">
        <f t="shared" si="2"/>
        <v>0</v>
      </c>
      <c r="G15">
        <f t="shared" si="2"/>
        <v>0</v>
      </c>
      <c r="H15">
        <f t="shared" si="2"/>
        <v>0</v>
      </c>
      <c r="I15">
        <f t="shared" si="2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>
        <f t="shared" si="2"/>
        <v>0</v>
      </c>
      <c r="P15">
        <f t="shared" si="2"/>
        <v>0</v>
      </c>
      <c r="Q15">
        <f t="shared" ref="Q15:W15" si="3">$A$15-Q14</f>
        <v>0</v>
      </c>
      <c r="R15">
        <f t="shared" si="3"/>
        <v>1</v>
      </c>
      <c r="S15">
        <f t="shared" si="3"/>
        <v>1</v>
      </c>
      <c r="T15">
        <f t="shared" si="3"/>
        <v>1</v>
      </c>
      <c r="U15">
        <f t="shared" si="3"/>
        <v>1</v>
      </c>
      <c r="V15">
        <f t="shared" si="3"/>
        <v>1</v>
      </c>
      <c r="W15">
        <f t="shared" si="3"/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6C5E-BB22-4783-8DCD-71FF20E16074}">
  <sheetPr codeName="Sheet6"/>
  <dimension ref="B2:B5"/>
  <sheetViews>
    <sheetView workbookViewId="0">
      <selection activeCell="B4" sqref="B4"/>
    </sheetView>
  </sheetViews>
  <sheetFormatPr defaultRowHeight="15" x14ac:dyDescent="0.25"/>
  <sheetData>
    <row r="2" spans="2:2" x14ac:dyDescent="0.25">
      <c r="B2" t="s">
        <v>607</v>
      </c>
    </row>
    <row r="3" spans="2:2" x14ac:dyDescent="0.25">
      <c r="B3" t="s">
        <v>618</v>
      </c>
    </row>
    <row r="4" spans="2:2" x14ac:dyDescent="0.25">
      <c r="B4" t="s">
        <v>622</v>
      </c>
    </row>
    <row r="5" spans="2:2" x14ac:dyDescent="0.25">
      <c r="B5" t="s">
        <v>747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D301-2327-461F-BCC7-EB8A1C57D152}">
  <sheetPr codeName="Sheet2"/>
  <dimension ref="A1:D13"/>
  <sheetViews>
    <sheetView workbookViewId="0">
      <selection activeCell="G9" sqref="G9"/>
    </sheetView>
  </sheetViews>
  <sheetFormatPr defaultRowHeight="15" x14ac:dyDescent="0.25"/>
  <cols>
    <col min="1" max="1" width="15.85546875" customWidth="1"/>
    <col min="2" max="2" width="37" customWidth="1"/>
    <col min="3" max="3" width="39.28515625" customWidth="1"/>
  </cols>
  <sheetData>
    <row r="1" spans="1:4" x14ac:dyDescent="0.25">
      <c r="A1" t="s">
        <v>326</v>
      </c>
      <c r="C1" t="s">
        <v>735</v>
      </c>
      <c r="D1" t="s">
        <v>562</v>
      </c>
    </row>
    <row r="2" spans="1:4" x14ac:dyDescent="0.25">
      <c r="A2" t="s">
        <v>57</v>
      </c>
      <c r="B2" t="s">
        <v>327</v>
      </c>
      <c r="C2" t="s">
        <v>736</v>
      </c>
    </row>
    <row r="3" spans="1:4" x14ac:dyDescent="0.25">
      <c r="A3" t="s">
        <v>137</v>
      </c>
      <c r="B3" t="s">
        <v>139</v>
      </c>
      <c r="C3" t="s">
        <v>331</v>
      </c>
    </row>
    <row r="4" spans="1:4" x14ac:dyDescent="0.25">
      <c r="A4" t="s">
        <v>157</v>
      </c>
      <c r="B4" t="s">
        <v>330</v>
      </c>
      <c r="C4" t="s">
        <v>331</v>
      </c>
    </row>
    <row r="5" spans="1:4" x14ac:dyDescent="0.25">
      <c r="B5" t="s">
        <v>332</v>
      </c>
      <c r="C5" t="s">
        <v>428</v>
      </c>
    </row>
    <row r="6" spans="1:4" x14ac:dyDescent="0.25">
      <c r="A6" t="s">
        <v>337</v>
      </c>
      <c r="B6" t="s">
        <v>347</v>
      </c>
      <c r="C6" t="s">
        <v>737</v>
      </c>
    </row>
    <row r="7" spans="1:4" x14ac:dyDescent="0.25">
      <c r="B7" t="s">
        <v>349</v>
      </c>
      <c r="C7" t="s">
        <v>732</v>
      </c>
    </row>
    <row r="8" spans="1:4" x14ac:dyDescent="0.25">
      <c r="A8" t="s">
        <v>731</v>
      </c>
      <c r="B8" t="s">
        <v>725</v>
      </c>
      <c r="C8" t="s">
        <v>738</v>
      </c>
    </row>
    <row r="9" spans="1:4" ht="105" x14ac:dyDescent="0.25">
      <c r="A9" t="s">
        <v>731</v>
      </c>
      <c r="B9" t="s">
        <v>749</v>
      </c>
      <c r="C9" s="98" t="s">
        <v>748</v>
      </c>
      <c r="D9">
        <v>4</v>
      </c>
    </row>
    <row r="13" spans="1:4" x14ac:dyDescent="0.25">
      <c r="A13" t="s">
        <v>750</v>
      </c>
      <c r="C13" t="s">
        <v>751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5CBF-BE2E-4B14-9AB8-A2FE34645C1C}">
  <sheetPr codeName="Sheet9"/>
  <dimension ref="B2:E45"/>
  <sheetViews>
    <sheetView topLeftCell="A7" workbookViewId="0">
      <selection activeCell="C25" sqref="C25"/>
    </sheetView>
  </sheetViews>
  <sheetFormatPr defaultRowHeight="15" x14ac:dyDescent="0.25"/>
  <cols>
    <col min="2" max="2" width="28.7109375" bestFit="1" customWidth="1"/>
    <col min="3" max="4" width="29" style="61" customWidth="1"/>
    <col min="5" max="5" width="28.7109375" style="61" customWidth="1"/>
  </cols>
  <sheetData>
    <row r="2" spans="2:5" x14ac:dyDescent="0.25">
      <c r="C2" s="61">
        <f>C7+C6</f>
        <v>140.81</v>
      </c>
      <c r="D2" s="61">
        <f>D7+8.8</f>
        <v>13.670000000000002</v>
      </c>
    </row>
    <row r="3" spans="2:5" x14ac:dyDescent="0.25">
      <c r="B3" s="1"/>
      <c r="C3" s="55" t="s">
        <v>560</v>
      </c>
      <c r="D3" s="55" t="s">
        <v>561</v>
      </c>
      <c r="E3" s="55" t="s">
        <v>35</v>
      </c>
    </row>
    <row r="4" spans="2:5" ht="30" x14ac:dyDescent="0.25">
      <c r="B4" s="1" t="s">
        <v>562</v>
      </c>
      <c r="C4" s="56" t="s">
        <v>563</v>
      </c>
      <c r="D4" s="56" t="s">
        <v>564</v>
      </c>
      <c r="E4" s="56" t="s">
        <v>610</v>
      </c>
    </row>
    <row r="5" spans="2:5" x14ac:dyDescent="0.25">
      <c r="B5" s="1" t="s">
        <v>565</v>
      </c>
      <c r="C5" s="55" t="s">
        <v>566</v>
      </c>
      <c r="D5" s="55" t="s">
        <v>567</v>
      </c>
      <c r="E5" s="55" t="s">
        <v>611</v>
      </c>
    </row>
    <row r="6" spans="2:5" x14ac:dyDescent="0.25">
      <c r="B6" s="1" t="s">
        <v>568</v>
      </c>
      <c r="C6" s="55">
        <v>7.72</v>
      </c>
      <c r="D6" s="55" t="s">
        <v>569</v>
      </c>
      <c r="E6" s="55">
        <v>26</v>
      </c>
    </row>
    <row r="7" spans="2:5" x14ac:dyDescent="0.25">
      <c r="B7" s="1" t="s">
        <v>570</v>
      </c>
      <c r="C7" s="55">
        <v>133.09</v>
      </c>
      <c r="D7" s="55">
        <v>4.87</v>
      </c>
      <c r="E7" s="57" t="s">
        <v>62</v>
      </c>
    </row>
    <row r="8" spans="2:5" x14ac:dyDescent="0.25">
      <c r="B8" s="1" t="s">
        <v>410</v>
      </c>
      <c r="C8" s="55">
        <v>80</v>
      </c>
      <c r="D8" s="55">
        <v>16.73</v>
      </c>
      <c r="E8" s="55">
        <v>78.12</v>
      </c>
    </row>
    <row r="9" spans="2:5" x14ac:dyDescent="0.25">
      <c r="B9" s="1" t="s">
        <v>571</v>
      </c>
      <c r="C9"/>
      <c r="D9"/>
      <c r="E9"/>
    </row>
    <row r="10" spans="2:5" x14ac:dyDescent="0.25">
      <c r="B10" s="1" t="s">
        <v>572</v>
      </c>
      <c r="C10" s="57" t="s">
        <v>62</v>
      </c>
      <c r="D10" s="57" t="s">
        <v>62</v>
      </c>
      <c r="E10" s="58">
        <f>458519.054035113*1.1</f>
        <v>504370.95943862438</v>
      </c>
    </row>
    <row r="11" spans="2:5" x14ac:dyDescent="0.25">
      <c r="B11" s="1" t="s">
        <v>573</v>
      </c>
      <c r="C11" s="58">
        <f>149641.235541599*1.1</f>
        <v>164605.3590957589</v>
      </c>
      <c r="D11" s="58">
        <f>39853.9698181926*1.1</f>
        <v>43839.366800011863</v>
      </c>
      <c r="E11" s="58">
        <f>115270.802043591*1.1</f>
        <v>126797.88224795011</v>
      </c>
    </row>
    <row r="12" spans="2:5" x14ac:dyDescent="0.25">
      <c r="B12" s="1" t="s">
        <v>574</v>
      </c>
      <c r="C12" s="58">
        <f>49.4013518286664*1.1</f>
        <v>54.341487011533047</v>
      </c>
      <c r="D12" s="58">
        <f>15.3033353911919*1.1</f>
        <v>16.833668930311092</v>
      </c>
      <c r="E12" s="58">
        <f>133577.083921296*1.1</f>
        <v>146934.7923134256</v>
      </c>
    </row>
    <row r="13" spans="2:5" x14ac:dyDescent="0.25">
      <c r="B13" s="1" t="s">
        <v>192</v>
      </c>
      <c r="C13"/>
      <c r="D13"/>
      <c r="E13"/>
    </row>
    <row r="14" spans="2:5" x14ac:dyDescent="0.25">
      <c r="B14" s="1" t="s">
        <v>575</v>
      </c>
      <c r="C14" s="57" t="s">
        <v>62</v>
      </c>
      <c r="D14" s="57" t="s">
        <v>62</v>
      </c>
      <c r="E14" s="62">
        <v>19.4596964876778</v>
      </c>
    </row>
    <row r="15" spans="2:5" x14ac:dyDescent="0.25">
      <c r="B15" s="1" t="s">
        <v>576</v>
      </c>
      <c r="C15" s="58">
        <v>748.39779620040599</v>
      </c>
      <c r="D15" s="58">
        <v>797.30492059454605</v>
      </c>
      <c r="E15" s="58">
        <v>756.198349560064</v>
      </c>
    </row>
    <row r="16" spans="2:5" x14ac:dyDescent="0.25">
      <c r="B16" s="1" t="s">
        <v>577</v>
      </c>
      <c r="C16" s="58">
        <v>964.72585637050599</v>
      </c>
      <c r="D16" s="58">
        <v>1013.78278213926</v>
      </c>
      <c r="E16" s="58">
        <v>966.98319375290805</v>
      </c>
    </row>
    <row r="17" spans="2:5" x14ac:dyDescent="0.25">
      <c r="B17" s="1" t="s">
        <v>578</v>
      </c>
      <c r="C17"/>
      <c r="D17"/>
      <c r="E17"/>
    </row>
    <row r="18" spans="2:5" x14ac:dyDescent="0.25">
      <c r="B18" s="1" t="s">
        <v>579</v>
      </c>
      <c r="C18" s="59">
        <v>9.4159873667284502E-8</v>
      </c>
      <c r="D18" s="59">
        <v>9.4282788476099296E-8</v>
      </c>
      <c r="E18" s="59">
        <v>2.3843543469700599E-3</v>
      </c>
    </row>
    <row r="19" spans="2:5" x14ac:dyDescent="0.25">
      <c r="B19" s="1" t="s">
        <v>580</v>
      </c>
      <c r="C19" s="59">
        <v>1.7972896974111099E-4</v>
      </c>
      <c r="D19" s="59">
        <v>1.79974630135466E-4</v>
      </c>
      <c r="E19" s="59">
        <v>2.4049096287550899E-2</v>
      </c>
    </row>
    <row r="20" spans="2:5" x14ac:dyDescent="0.25">
      <c r="B20" s="60" t="s">
        <v>581</v>
      </c>
      <c r="C20" s="59">
        <v>5.7966321378973202E-4</v>
      </c>
      <c r="D20" s="59">
        <v>5.8043487101000805E-4</v>
      </c>
      <c r="E20" s="59">
        <v>0.61885533194232201</v>
      </c>
    </row>
    <row r="21" spans="2:5" x14ac:dyDescent="0.25">
      <c r="B21" s="60" t="s">
        <v>582</v>
      </c>
      <c r="C21" s="59">
        <v>2.5609375213051298E-3</v>
      </c>
      <c r="D21" s="59">
        <v>2.5633383670830298E-3</v>
      </c>
      <c r="E21" s="59">
        <v>4.21986276733936E-2</v>
      </c>
    </row>
    <row r="22" spans="2:5" x14ac:dyDescent="0.25">
      <c r="B22" s="60" t="s">
        <v>583</v>
      </c>
      <c r="C22" s="59">
        <v>1.8028565175178701E-2</v>
      </c>
      <c r="D22" s="59">
        <v>1.8056708934901099E-2</v>
      </c>
      <c r="E22" s="59">
        <v>2.0409061339974902E-2</v>
      </c>
    </row>
    <row r="23" spans="2:5" x14ac:dyDescent="0.25">
      <c r="B23" s="60" t="s">
        <v>584</v>
      </c>
      <c r="C23" s="59">
        <v>1.39195081679192E-2</v>
      </c>
      <c r="D23" s="59">
        <v>1.3980536596354801E-2</v>
      </c>
      <c r="E23" s="59">
        <v>3.41412579334978E-3</v>
      </c>
    </row>
    <row r="24" spans="2:5" x14ac:dyDescent="0.25">
      <c r="B24" s="60" t="s">
        <v>585</v>
      </c>
      <c r="C24" s="59">
        <v>4.2715777790402198E-2</v>
      </c>
      <c r="D24" s="59">
        <v>4.2919789028632797E-2</v>
      </c>
      <c r="E24" s="59">
        <v>6.3514928131281996E-3</v>
      </c>
    </row>
    <row r="25" spans="2:5" x14ac:dyDescent="0.25">
      <c r="B25" s="60" t="s">
        <v>586</v>
      </c>
      <c r="C25" s="59">
        <v>2.8660580629728601E-2</v>
      </c>
      <c r="D25" s="59">
        <v>2.87677039227647E-2</v>
      </c>
      <c r="E25" s="59">
        <v>1.90759557339872E-3</v>
      </c>
    </row>
    <row r="26" spans="2:5" x14ac:dyDescent="0.25">
      <c r="B26" s="60" t="s">
        <v>587</v>
      </c>
      <c r="C26" s="59">
        <v>4.4942354754034103E-2</v>
      </c>
      <c r="D26" s="59">
        <v>4.5084222680223503E-2</v>
      </c>
      <c r="E26" s="59">
        <v>2.48434787765649E-3</v>
      </c>
    </row>
    <row r="27" spans="2:5" x14ac:dyDescent="0.25">
      <c r="B27" s="60" t="s">
        <v>588</v>
      </c>
      <c r="C27" s="59">
        <v>6.7923443547386997E-2</v>
      </c>
      <c r="D27" s="59">
        <v>6.8131668912018897E-2</v>
      </c>
      <c r="E27" s="59">
        <v>2.6595040768779702E-3</v>
      </c>
    </row>
    <row r="28" spans="2:5" x14ac:dyDescent="0.25">
      <c r="B28" s="1" t="s">
        <v>589</v>
      </c>
      <c r="C28" s="59">
        <v>2.49847580036675E-2</v>
      </c>
      <c r="D28" s="59">
        <v>2.5063172278267001E-2</v>
      </c>
      <c r="E28" s="59">
        <v>8.9994177617781605E-4</v>
      </c>
    </row>
    <row r="29" spans="2:5" x14ac:dyDescent="0.25">
      <c r="B29" s="60" t="s">
        <v>590</v>
      </c>
      <c r="C29" s="59">
        <v>0.10820118712217</v>
      </c>
      <c r="D29" s="59">
        <v>0.108516578825798</v>
      </c>
      <c r="E29" s="59">
        <v>3.5141193240362102E-3</v>
      </c>
    </row>
    <row r="30" spans="2:5" x14ac:dyDescent="0.25">
      <c r="B30" s="1" t="s">
        <v>591</v>
      </c>
      <c r="C30" s="59">
        <v>3.8970809212668503E-2</v>
      </c>
      <c r="D30" s="59">
        <v>3.90881689293631E-2</v>
      </c>
      <c r="E30" s="59">
        <v>1.2297585077525599E-3</v>
      </c>
    </row>
    <row r="31" spans="2:5" x14ac:dyDescent="0.25">
      <c r="B31" s="60" t="s">
        <v>592</v>
      </c>
      <c r="C31" s="59">
        <v>0.12762428326142</v>
      </c>
      <c r="D31" s="59">
        <v>0.12797900448970301</v>
      </c>
      <c r="E31" s="59">
        <v>4.0919628589959301E-3</v>
      </c>
    </row>
    <row r="32" spans="2:5" x14ac:dyDescent="0.25">
      <c r="B32" s="1" t="s">
        <v>593</v>
      </c>
      <c r="C32" s="59">
        <v>2.3627920429072601E-3</v>
      </c>
      <c r="D32" s="59">
        <v>2.3694967294274499E-3</v>
      </c>
      <c r="E32" s="59">
        <v>9.9993530686423994E-5</v>
      </c>
    </row>
    <row r="33" spans="2:5" x14ac:dyDescent="0.25">
      <c r="B33" s="1" t="s">
        <v>594</v>
      </c>
      <c r="C33" s="59">
        <v>3.78851218534959E-2</v>
      </c>
      <c r="D33" s="59">
        <v>3.7991526076771302E-2</v>
      </c>
      <c r="E33" s="59">
        <v>1.2297585077525599E-3</v>
      </c>
    </row>
    <row r="34" spans="2:5" x14ac:dyDescent="0.25">
      <c r="B34" s="1" t="s">
        <v>595</v>
      </c>
      <c r="C34" s="59">
        <v>5.0373624992882997E-2</v>
      </c>
      <c r="D34" s="59">
        <v>5.0504961574600403E-2</v>
      </c>
      <c r="E34" s="59">
        <v>1.5595752393273001E-3</v>
      </c>
    </row>
    <row r="35" spans="2:5" x14ac:dyDescent="0.25">
      <c r="B35" s="1" t="s">
        <v>596</v>
      </c>
      <c r="C35" s="59">
        <v>5.63381342468076E-2</v>
      </c>
      <c r="D35" s="59">
        <v>5.6479801386927597E-2</v>
      </c>
      <c r="E35" s="59">
        <v>1.75956230070015E-3</v>
      </c>
    </row>
    <row r="36" spans="2:5" x14ac:dyDescent="0.25">
      <c r="B36" s="1" t="s">
        <v>597</v>
      </c>
      <c r="C36" s="59">
        <v>3.6330349464591398E-2</v>
      </c>
      <c r="D36" s="59">
        <v>3.6420751548907698E-2</v>
      </c>
      <c r="E36" s="59">
        <v>1.1297649770661399E-3</v>
      </c>
    </row>
    <row r="37" spans="2:5" x14ac:dyDescent="0.25">
      <c r="B37" s="1" t="s">
        <v>598</v>
      </c>
      <c r="C37" s="59">
        <v>3.0968318896020398E-2</v>
      </c>
      <c r="D37" s="59">
        <v>3.1044354874582201E-2</v>
      </c>
      <c r="E37" s="59">
        <v>9.2977791569328705E-4</v>
      </c>
    </row>
    <row r="38" spans="2:5" x14ac:dyDescent="0.25">
      <c r="B38" s="1" t="s">
        <v>599</v>
      </c>
      <c r="C38" s="59">
        <v>3.16679822204479E-2</v>
      </c>
      <c r="D38" s="59">
        <v>3.1744259013798799E-2</v>
      </c>
      <c r="E38" s="59">
        <v>9.2977791569328803E-4</v>
      </c>
    </row>
    <row r="39" spans="2:5" x14ac:dyDescent="0.25">
      <c r="B39" s="1" t="s">
        <v>600</v>
      </c>
      <c r="C39" s="59">
        <v>2.9264480649357001E-2</v>
      </c>
      <c r="D39" s="59">
        <v>2.9334494658018399E-2</v>
      </c>
      <c r="E39" s="59">
        <v>8.2978438500686501E-4</v>
      </c>
    </row>
    <row r="40" spans="2:5" x14ac:dyDescent="0.25">
      <c r="B40" s="1" t="s">
        <v>601</v>
      </c>
      <c r="C40" s="59">
        <v>2.4409230206756199E-2</v>
      </c>
      <c r="D40" s="59">
        <v>2.4467148688098302E-2</v>
      </c>
      <c r="E40" s="59">
        <v>7.2979085432044101E-4</v>
      </c>
    </row>
    <row r="41" spans="2:5" x14ac:dyDescent="0.25">
      <c r="B41" s="1" t="s">
        <v>602</v>
      </c>
      <c r="C41" s="59">
        <v>5.6224193688915597E-2</v>
      </c>
      <c r="D41" s="59">
        <v>5.6357106109794101E-2</v>
      </c>
      <c r="E41" s="59">
        <v>1.65956877001373E-3</v>
      </c>
    </row>
    <row r="42" spans="2:5" x14ac:dyDescent="0.25">
      <c r="B42" s="1" t="s">
        <v>603</v>
      </c>
      <c r="C42" s="59">
        <v>4.8862590092295002E-2</v>
      </c>
      <c r="D42" s="59">
        <v>4.8977557464380699E-2</v>
      </c>
      <c r="E42" s="59">
        <v>1.4363728287801101E-3</v>
      </c>
    </row>
    <row r="43" spans="2:5" x14ac:dyDescent="0.25">
      <c r="B43" s="1" t="s">
        <v>604</v>
      </c>
      <c r="C43" s="59">
        <v>4.8876546589562198E-2</v>
      </c>
      <c r="D43" s="59">
        <v>4.8991385519128801E-2</v>
      </c>
      <c r="E43" s="59">
        <v>1.21046367455395E-3</v>
      </c>
    </row>
    <row r="44" spans="2:5" x14ac:dyDescent="0.25">
      <c r="B44" s="1" t="s">
        <v>605</v>
      </c>
      <c r="C44" s="59">
        <v>2.0940425006008699E-2</v>
      </c>
      <c r="D44" s="59">
        <v>2.0989623342092801E-2</v>
      </c>
      <c r="E44" s="59">
        <v>4.58555171074689E-4</v>
      </c>
    </row>
    <row r="45" spans="2:5" x14ac:dyDescent="0.25">
      <c r="B45" s="60" t="s">
        <v>606</v>
      </c>
      <c r="C45" s="59">
        <v>6.2045185206676297E-3</v>
      </c>
      <c r="D45" s="59">
        <v>3.41613626442769E-3</v>
      </c>
      <c r="E45" s="59">
        <v>0.25158793373774502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D270-D0DE-4CA5-BE85-D27F16F723DC}">
  <sheetPr codeName="Sheet8"/>
  <dimension ref="A2:H24"/>
  <sheetViews>
    <sheetView topLeftCell="A13" workbookViewId="0">
      <selection activeCell="H41" sqref="H41"/>
    </sheetView>
  </sheetViews>
  <sheetFormatPr defaultRowHeight="15" x14ac:dyDescent="0.25"/>
  <sheetData>
    <row r="2" spans="1:8" x14ac:dyDescent="0.25">
      <c r="B2" t="s">
        <v>337</v>
      </c>
    </row>
    <row r="3" spans="1:8" x14ac:dyDescent="0.25">
      <c r="A3" t="s">
        <v>234</v>
      </c>
      <c r="E3" t="s">
        <v>269</v>
      </c>
    </row>
    <row r="4" spans="1:8" x14ac:dyDescent="0.25">
      <c r="B4">
        <v>4</v>
      </c>
      <c r="C4">
        <v>20000</v>
      </c>
      <c r="E4" s="2">
        <f>3.14*(25.4*2)^2*C4/10^9</f>
        <v>0.162064192</v>
      </c>
    </row>
    <row r="5" spans="1:8" x14ac:dyDescent="0.25">
      <c r="B5">
        <v>6</v>
      </c>
      <c r="C5">
        <v>18000</v>
      </c>
      <c r="E5" s="2">
        <f>3.14*(25.4*3)^2*C5/10^9</f>
        <v>0.32817998879999993</v>
      </c>
      <c r="G5" t="s">
        <v>267</v>
      </c>
      <c r="H5">
        <v>0.5</v>
      </c>
    </row>
    <row r="7" spans="1:8" x14ac:dyDescent="0.25">
      <c r="A7" t="s">
        <v>247</v>
      </c>
      <c r="B7" t="s">
        <v>345</v>
      </c>
      <c r="C7" t="s">
        <v>346</v>
      </c>
      <c r="E7">
        <f>1*2</f>
        <v>2</v>
      </c>
      <c r="G7" t="s">
        <v>267</v>
      </c>
      <c r="H7">
        <v>2</v>
      </c>
    </row>
    <row r="15" spans="1:8" x14ac:dyDescent="0.25">
      <c r="B15" t="s">
        <v>337</v>
      </c>
    </row>
    <row r="17" spans="1:8" x14ac:dyDescent="0.25">
      <c r="E17" t="s">
        <v>269</v>
      </c>
    </row>
    <row r="18" spans="1:8" x14ac:dyDescent="0.25">
      <c r="B18">
        <v>4</v>
      </c>
      <c r="C18">
        <v>20000</v>
      </c>
      <c r="E18" s="2">
        <f>3.14*(25.4*2)^2*C18/10^9</f>
        <v>0.162064192</v>
      </c>
    </row>
    <row r="19" spans="1:8" x14ac:dyDescent="0.25">
      <c r="B19">
        <v>3</v>
      </c>
      <c r="C19">
        <v>35000</v>
      </c>
      <c r="E19" s="2">
        <f>3.14*(25.4*3)^2*C19/10^9</f>
        <v>0.63812775599999993</v>
      </c>
      <c r="G19" t="s">
        <v>267</v>
      </c>
      <c r="H19">
        <v>1</v>
      </c>
    </row>
    <row r="22" spans="1:8" x14ac:dyDescent="0.25">
      <c r="A22" t="s">
        <v>247</v>
      </c>
      <c r="B22" t="s">
        <v>347</v>
      </c>
      <c r="C22" t="s">
        <v>267</v>
      </c>
    </row>
    <row r="23" spans="1:8" x14ac:dyDescent="0.25">
      <c r="B23" s="9" t="s">
        <v>348</v>
      </c>
      <c r="C23" s="9" t="s">
        <v>346</v>
      </c>
      <c r="D23" s="9"/>
      <c r="E23" s="9">
        <f>1*2</f>
        <v>2</v>
      </c>
      <c r="F23" s="9"/>
      <c r="G23" s="9"/>
      <c r="H23" s="9"/>
    </row>
    <row r="24" spans="1:8" x14ac:dyDescent="0.25">
      <c r="B24" t="s">
        <v>349</v>
      </c>
      <c r="C24" t="s">
        <v>267</v>
      </c>
      <c r="E24">
        <f>1*2</f>
        <v>2</v>
      </c>
      <c r="G24" t="s">
        <v>267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62D0-C1EA-4F23-AF75-4D17CFA0F549}">
  <sheetPr codeName="Sheet3"/>
  <dimension ref="B3:F14"/>
  <sheetViews>
    <sheetView workbookViewId="0">
      <selection activeCell="E9" sqref="E9"/>
    </sheetView>
  </sheetViews>
  <sheetFormatPr defaultRowHeight="15" x14ac:dyDescent="0.25"/>
  <cols>
    <col min="5" max="5" width="12" bestFit="1" customWidth="1"/>
  </cols>
  <sheetData>
    <row r="3" spans="2:6" x14ac:dyDescent="0.25">
      <c r="B3" t="s">
        <v>231</v>
      </c>
      <c r="E3" t="s">
        <v>269</v>
      </c>
    </row>
    <row r="4" spans="2:6" x14ac:dyDescent="0.25">
      <c r="B4" t="s">
        <v>333</v>
      </c>
      <c r="E4">
        <f>3.14*25.4^2*60000/10^9</f>
        <v>0.121548144</v>
      </c>
      <c r="F4" t="s">
        <v>270</v>
      </c>
    </row>
    <row r="5" spans="2:6" x14ac:dyDescent="0.25">
      <c r="B5" t="s">
        <v>267</v>
      </c>
      <c r="C5" t="s">
        <v>268</v>
      </c>
    </row>
    <row r="8" spans="2:6" x14ac:dyDescent="0.25">
      <c r="B8" t="s">
        <v>175</v>
      </c>
      <c r="C8" t="s">
        <v>334</v>
      </c>
      <c r="E8" t="s">
        <v>269</v>
      </c>
    </row>
    <row r="9" spans="2:6" x14ac:dyDescent="0.25">
      <c r="B9" t="s">
        <v>335</v>
      </c>
      <c r="C9" t="s">
        <v>336</v>
      </c>
      <c r="E9">
        <f>3.15*(25.4*1.5)^2*3000/10^9</f>
        <v>1.3717714499999999E-2</v>
      </c>
    </row>
    <row r="13" spans="2:6" x14ac:dyDescent="0.25">
      <c r="B13" t="s">
        <v>454</v>
      </c>
      <c r="E13" t="s">
        <v>269</v>
      </c>
    </row>
    <row r="14" spans="2:6" x14ac:dyDescent="0.25">
      <c r="B14" t="s">
        <v>457</v>
      </c>
      <c r="C14" t="s">
        <v>459</v>
      </c>
      <c r="E14">
        <f>3.15*(25.4*2)^2*20000/10^9</f>
        <v>0.16258032</v>
      </c>
      <c r="F14" t="s">
        <v>458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0113-4109-4DDF-A5AD-18367950ACF0}">
  <dimension ref="B2:G9"/>
  <sheetViews>
    <sheetView workbookViewId="0">
      <selection activeCell="I15" sqref="I15"/>
    </sheetView>
  </sheetViews>
  <sheetFormatPr defaultRowHeight="15" x14ac:dyDescent="0.25"/>
  <cols>
    <col min="7" max="7" width="67.42578125" customWidth="1"/>
  </cols>
  <sheetData>
    <row r="2" spans="2:7" x14ac:dyDescent="0.25">
      <c r="B2" t="s">
        <v>739</v>
      </c>
      <c r="C2" t="s">
        <v>0</v>
      </c>
      <c r="D2" t="s">
        <v>741</v>
      </c>
      <c r="E2" t="s">
        <v>742</v>
      </c>
      <c r="F2" t="s">
        <v>743</v>
      </c>
      <c r="G2" t="s">
        <v>744</v>
      </c>
    </row>
    <row r="3" spans="2:7" ht="30" x14ac:dyDescent="0.25">
      <c r="B3" t="s">
        <v>724</v>
      </c>
      <c r="C3" t="s">
        <v>740</v>
      </c>
      <c r="D3">
        <v>32</v>
      </c>
      <c r="E3">
        <v>22000</v>
      </c>
      <c r="F3">
        <f>3.14*(25.4*16)^2*E3/10^9</f>
        <v>11.409319116800001</v>
      </c>
      <c r="G3" s="98" t="s">
        <v>745</v>
      </c>
    </row>
    <row r="4" spans="2:7" x14ac:dyDescent="0.25">
      <c r="B4" t="s">
        <v>723</v>
      </c>
      <c r="C4" t="s">
        <v>173</v>
      </c>
      <c r="D4">
        <v>32</v>
      </c>
      <c r="E4">
        <v>100000</v>
      </c>
      <c r="F4">
        <f t="shared" ref="F4:F7" si="0">3.14*(25.4*16)^2*E4/10^9</f>
        <v>51.860541439999999</v>
      </c>
      <c r="G4" t="s">
        <v>746</v>
      </c>
    </row>
    <row r="5" spans="2:7" x14ac:dyDescent="0.25">
      <c r="B5" t="s">
        <v>752</v>
      </c>
      <c r="C5" t="s">
        <v>753</v>
      </c>
      <c r="D5">
        <v>32</v>
      </c>
      <c r="E5">
        <v>5000</v>
      </c>
      <c r="F5">
        <f t="shared" si="0"/>
        <v>2.5930270719999999</v>
      </c>
    </row>
    <row r="6" spans="2:7" x14ac:dyDescent="0.25">
      <c r="D6">
        <v>8</v>
      </c>
      <c r="E6">
        <v>5000</v>
      </c>
      <c r="F6">
        <f>3.14*(25.4*4)^2*E6/10^9</f>
        <v>0.162064192</v>
      </c>
    </row>
    <row r="7" spans="2:7" x14ac:dyDescent="0.25">
      <c r="B7" t="s">
        <v>728</v>
      </c>
      <c r="C7" t="s">
        <v>753</v>
      </c>
      <c r="D7">
        <v>32</v>
      </c>
      <c r="E7">
        <v>10000</v>
      </c>
      <c r="F7">
        <f t="shared" si="0"/>
        <v>5.1860541439999999</v>
      </c>
      <c r="G7" t="s">
        <v>754</v>
      </c>
    </row>
    <row r="9" spans="2:7" x14ac:dyDescent="0.25">
      <c r="C9" t="s">
        <v>755</v>
      </c>
      <c r="G9" t="s">
        <v>756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BC18-5AED-47D1-A6C4-F24703E634AF}">
  <sheetPr codeName="Sheet7"/>
  <dimension ref="A2:G11"/>
  <sheetViews>
    <sheetView workbookViewId="0">
      <selection activeCell="O19" sqref="N19:O20"/>
    </sheetView>
  </sheetViews>
  <sheetFormatPr defaultRowHeight="15" x14ac:dyDescent="0.25"/>
  <cols>
    <col min="1" max="1" width="14.85546875" customWidth="1"/>
    <col min="3" max="3" width="12.140625" customWidth="1"/>
    <col min="4" max="4" width="12" bestFit="1" customWidth="1"/>
    <col min="6" max="6" width="10" bestFit="1" customWidth="1"/>
  </cols>
  <sheetData>
    <row r="2" spans="1:7" x14ac:dyDescent="0.25">
      <c r="C2" t="s">
        <v>251</v>
      </c>
      <c r="D2" t="s">
        <v>246</v>
      </c>
      <c r="F2" t="s">
        <v>258</v>
      </c>
    </row>
    <row r="3" spans="1:7" x14ac:dyDescent="0.25">
      <c r="A3" t="s">
        <v>247</v>
      </c>
      <c r="B3" t="s">
        <v>248</v>
      </c>
      <c r="C3" t="s">
        <v>253</v>
      </c>
      <c r="D3" t="s">
        <v>257</v>
      </c>
      <c r="F3">
        <f>3.14*150^2*1600/10^9</f>
        <v>0.11304</v>
      </c>
    </row>
    <row r="4" spans="1:7" x14ac:dyDescent="0.25">
      <c r="B4" t="s">
        <v>250</v>
      </c>
      <c r="C4" t="s">
        <v>254</v>
      </c>
      <c r="F4">
        <f>3.14*300^2*1800/10^9</f>
        <v>0.50868000000000002</v>
      </c>
    </row>
    <row r="5" spans="1:7" x14ac:dyDescent="0.25">
      <c r="B5" t="s">
        <v>249</v>
      </c>
      <c r="C5" t="s">
        <v>255</v>
      </c>
      <c r="F5">
        <f>1</f>
        <v>1</v>
      </c>
    </row>
    <row r="7" spans="1:7" x14ac:dyDescent="0.25">
      <c r="C7" t="s">
        <v>252</v>
      </c>
      <c r="D7" t="s">
        <v>256</v>
      </c>
    </row>
    <row r="8" spans="1:7" x14ac:dyDescent="0.25">
      <c r="A8" t="s">
        <v>234</v>
      </c>
      <c r="B8">
        <v>8</v>
      </c>
      <c r="C8">
        <v>1000</v>
      </c>
      <c r="D8">
        <f>C8*G8/10^9</f>
        <v>3.2412838400000005E-2</v>
      </c>
      <c r="F8">
        <f>B8*25.4/2</f>
        <v>101.6</v>
      </c>
      <c r="G8">
        <f>F8^2*3.14</f>
        <v>32412.838400000001</v>
      </c>
    </row>
    <row r="9" spans="1:7" x14ac:dyDescent="0.25">
      <c r="B9">
        <v>6</v>
      </c>
      <c r="C9">
        <f>3000+3000*2+2000*2+4000*2</f>
        <v>21000</v>
      </c>
      <c r="D9">
        <f>C9*G9/10^9</f>
        <v>0.38287665359999995</v>
      </c>
      <c r="F9">
        <f t="shared" ref="F9:F10" si="0">B9*25.4/2</f>
        <v>76.199999999999989</v>
      </c>
      <c r="G9">
        <f t="shared" ref="G9:G10" si="1">F9^2*3.14</f>
        <v>18232.221599999997</v>
      </c>
    </row>
    <row r="10" spans="1:7" x14ac:dyDescent="0.25">
      <c r="B10">
        <v>4</v>
      </c>
      <c r="C10">
        <v>10000</v>
      </c>
      <c r="D10">
        <f>C10*G10/10^9</f>
        <v>8.1032095999999998E-2</v>
      </c>
      <c r="F10">
        <f t="shared" si="0"/>
        <v>50.8</v>
      </c>
      <c r="G10">
        <f t="shared" si="1"/>
        <v>8103.2096000000001</v>
      </c>
    </row>
    <row r="11" spans="1:7" x14ac:dyDescent="0.25">
      <c r="D11">
        <f>SUM(D8:D10)</f>
        <v>0.49632158799999998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BD77-B162-49DA-98A0-1A7847D7DAC9}">
  <dimension ref="A1"/>
  <sheetViews>
    <sheetView workbookViewId="0">
      <selection activeCell="M27" sqref="M27:M29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DBFD7C-7A71-4F17-8B8A-4E4694DCC2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111CE8-7B85-4427-87FC-DF1AB70FCCBA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24acf4f6-2027-4227-902f-54e7acde40e4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6288cde2-e4af-4292-b2f5-6ae8cb4b003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98D73A2-7EAA-4103-B191-161E65B38C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Isolatable summary</vt:lpstr>
      <vt:lpstr>Sheet1</vt:lpstr>
      <vt:lpstr>To be checked</vt:lpstr>
      <vt:lpstr>Material</vt:lpstr>
      <vt:lpstr>reference</vt:lpstr>
      <vt:lpstr>Part count leak freque</vt:lpstr>
      <vt:lpstr>Condition of 013-05_013-06</vt:lpstr>
      <vt:lpstr>062-01_02</vt:lpstr>
      <vt:lpstr>045_057</vt:lpstr>
      <vt:lpstr>021-01_021-02</vt:lpstr>
      <vt:lpstr>043-03</vt:lpstr>
      <vt:lpstr>Sheet2</vt:lpstr>
      <vt:lpstr>FH</vt:lpstr>
      <vt:lpstr>'Isolatable summary'!Print_Area</vt:lpstr>
      <vt:lpstr>'Isolatable summary'!Print_Titles</vt:lpstr>
      <vt:lpstr>R0_</vt:lpstr>
      <vt:lpstr>RHigh</vt:lpstr>
      <vt:lpstr>RLow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Lee, Jee-A</dc:creator>
  <cp:keywords/>
  <dc:description/>
  <cp:lastModifiedBy>Sung-Hoon Kim</cp:lastModifiedBy>
  <cp:revision/>
  <cp:lastPrinted>2020-03-03T08:16:09Z</cp:lastPrinted>
  <dcterms:created xsi:type="dcterms:W3CDTF">2020-01-07T02:07:38Z</dcterms:created>
  <dcterms:modified xsi:type="dcterms:W3CDTF">2020-07-16T07:12:59Z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814718-876d-4e3a-b4a4-03380483440b_Enabled">
    <vt:lpwstr>true</vt:lpwstr>
  </property>
  <property fmtid="{D5CDD505-2E9C-101B-9397-08002B2CF9AE}" pid="3" name="MSIP_Label_03814718-876d-4e3a-b4a4-03380483440b_SetDate">
    <vt:lpwstr>2020-01-07T06:53:28Z</vt:lpwstr>
  </property>
  <property fmtid="{D5CDD505-2E9C-101B-9397-08002B2CF9AE}" pid="4" name="MSIP_Label_03814718-876d-4e3a-b4a4-03380483440b_Method">
    <vt:lpwstr>Privileged</vt:lpwstr>
  </property>
  <property fmtid="{D5CDD505-2E9C-101B-9397-08002B2CF9AE}" pid="5" name="MSIP_Label_03814718-876d-4e3a-b4a4-03380483440b_Name">
    <vt:lpwstr>Non LR Business</vt:lpwstr>
  </property>
  <property fmtid="{D5CDD505-2E9C-101B-9397-08002B2CF9AE}" pid="6" name="MSIP_Label_03814718-876d-4e3a-b4a4-03380483440b_SiteId">
    <vt:lpwstr>4a3454a0-8cf4-4a9c-b1c0-6ce4d1495f82</vt:lpwstr>
  </property>
  <property fmtid="{D5CDD505-2E9C-101B-9397-08002B2CF9AE}" pid="7" name="MSIP_Label_03814718-876d-4e3a-b4a4-03380483440b_ActionId">
    <vt:lpwstr>3dbf5441-a42d-4c6f-9183-0000bb09c547</vt:lpwstr>
  </property>
  <property fmtid="{D5CDD505-2E9C-101B-9397-08002B2CF9AE}" pid="8" name="MSIP_Label_03814718-876d-4e3a-b4a4-03380483440b_ContentBits">
    <vt:lpwstr>0</vt:lpwstr>
  </property>
  <property fmtid="{D5CDD505-2E9C-101B-9397-08002B2CF9AE}" pid="9" name="LR_Classification">
    <vt:lpwstr>Not LR Business</vt:lpwstr>
  </property>
  <property fmtid="{D5CDD505-2E9C-101B-9397-08002B2CF9AE}" pid="10" name="ContentTypeId">
    <vt:lpwstr>0x0101004613AF91B89AB64687405739CD760E5A</vt:lpwstr>
  </property>
</Properties>
</file>