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oshk\LR\Energy - PRJ11100223773 - Documents\6. Project Work place\01 FRA\PyExdCrv\Rev.B\"/>
    </mc:Choice>
  </mc:AlternateContent>
  <xr:revisionPtr revIDLastSave="117" documentId="11_2172FA73B339E5DBBA35204853496850C733E5A5" xr6:coauthVersionLast="44" xr6:coauthVersionMax="44" xr10:uidLastSave="{51C7CB3A-E543-4ADF-AA5F-677B2B9308F5}"/>
  <bookViews>
    <workbookView xWindow="-120" yWindow="-120" windowWidth="29040" windowHeight="17640" xr2:uid="{00000000-000D-0000-FFFF-FFFF00000000}"/>
  </bookViews>
  <sheets>
    <sheet name="Isolatable summary" sheetId="1" r:id="rId1"/>
    <sheet name="Flange Count" sheetId="2" r:id="rId2"/>
    <sheet name="Flange Count v1" sheetId="3" r:id="rId3"/>
  </sheets>
  <definedNames>
    <definedName name="_xlnm._FilterDatabase" localSheetId="0" hidden="1">'Isolatable summary'!$A$2:$BA$80</definedName>
    <definedName name="_xlnm.Print_Area" localSheetId="0">'Isolatable summary'!$B$2:$AW$80</definedName>
    <definedName name="_xlnm.Print_Titles" localSheetId="0">'Isolatable summary'!$2:$2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3" l="1"/>
  <c r="I18" i="3"/>
  <c r="J18" i="3"/>
  <c r="G18" i="3"/>
  <c r="J17" i="3"/>
  <c r="H17" i="3"/>
  <c r="I17" i="3"/>
  <c r="G17" i="3"/>
  <c r="AL11" i="3"/>
  <c r="AK11" i="3"/>
  <c r="AL7" i="3"/>
  <c r="AK7" i="3"/>
  <c r="AM10" i="3"/>
  <c r="AL10" i="3"/>
  <c r="AM6" i="3"/>
  <c r="AL6" i="3"/>
  <c r="U10" i="3"/>
  <c r="V10" i="3"/>
  <c r="T10" i="3"/>
  <c r="U6" i="3"/>
  <c r="V6" i="3"/>
  <c r="T6" i="3"/>
  <c r="V5" i="3" l="1"/>
  <c r="V4" i="3"/>
  <c r="AD5" i="3"/>
  <c r="AD4" i="3"/>
  <c r="T5" i="3"/>
  <c r="U5" i="3"/>
  <c r="U4" i="3"/>
  <c r="L5" i="3"/>
  <c r="L4" i="3"/>
  <c r="G16" i="3"/>
  <c r="G15" i="3"/>
  <c r="G13" i="3"/>
  <c r="G12" i="3"/>
  <c r="T9" i="3"/>
  <c r="T8" i="3"/>
  <c r="V16" i="3"/>
  <c r="I16" i="3"/>
  <c r="H16" i="3"/>
  <c r="C16" i="3"/>
  <c r="V15" i="3"/>
  <c r="I15" i="3"/>
  <c r="H15" i="3"/>
  <c r="H14" i="3"/>
  <c r="G14" i="3"/>
  <c r="V13" i="3"/>
  <c r="I13" i="3"/>
  <c r="H13" i="3"/>
  <c r="V12" i="3"/>
  <c r="I12" i="3"/>
  <c r="H12" i="3"/>
  <c r="H11" i="3"/>
  <c r="G11" i="3"/>
  <c r="C11" i="3"/>
  <c r="V9" i="3"/>
  <c r="U9" i="3"/>
  <c r="P9" i="3"/>
  <c r="C9" i="3" s="1"/>
  <c r="M9" i="3"/>
  <c r="V8" i="3"/>
  <c r="U8" i="3"/>
  <c r="P8" i="3"/>
  <c r="M8" i="3"/>
  <c r="C7" i="3"/>
  <c r="T47" i="2"/>
  <c r="T46" i="2"/>
  <c r="C4" i="3" l="1"/>
  <c r="C3" i="3"/>
  <c r="C12" i="3"/>
  <c r="C8" i="3"/>
  <c r="C13" i="3"/>
  <c r="C5" i="3"/>
  <c r="C14" i="3"/>
  <c r="C15" i="3"/>
  <c r="C6" i="2"/>
  <c r="C9" i="2"/>
  <c r="C12" i="2"/>
  <c r="C15" i="2"/>
  <c r="C18" i="2"/>
  <c r="C19" i="2"/>
  <c r="C20" i="2"/>
  <c r="C21" i="2"/>
  <c r="C30" i="2"/>
  <c r="C39" i="2"/>
  <c r="C45" i="2"/>
  <c r="C54" i="2"/>
  <c r="C63" i="2"/>
  <c r="C75" i="2"/>
  <c r="C78" i="2"/>
  <c r="C81" i="2"/>
  <c r="C84" i="2"/>
  <c r="C90" i="2"/>
  <c r="C93" i="2"/>
  <c r="C96" i="2"/>
  <c r="C97" i="2"/>
  <c r="C98" i="2"/>
  <c r="C99" i="2"/>
  <c r="C105" i="2"/>
  <c r="C108" i="2"/>
  <c r="C111" i="2"/>
  <c r="C114" i="2"/>
  <c r="C115" i="2"/>
  <c r="C116" i="2"/>
  <c r="C117" i="2"/>
  <c r="C123" i="2"/>
  <c r="C126" i="2"/>
  <c r="C3" i="2"/>
  <c r="P5" i="2"/>
  <c r="P4" i="2"/>
  <c r="O5" i="2"/>
  <c r="O4" i="2"/>
  <c r="N5" i="2"/>
  <c r="C5" i="2" s="1"/>
  <c r="N4" i="2"/>
  <c r="C4" i="2" s="1"/>
  <c r="AA5" i="2"/>
  <c r="AA4" i="2"/>
  <c r="AH8" i="2"/>
  <c r="AH7" i="2"/>
  <c r="O8" i="2"/>
  <c r="C8" i="2" s="1"/>
  <c r="O7" i="2"/>
  <c r="C7" i="2" s="1"/>
  <c r="AB8" i="2"/>
  <c r="AB7" i="2"/>
  <c r="P11" i="2"/>
  <c r="P10" i="2"/>
  <c r="O11" i="2"/>
  <c r="O10" i="2"/>
  <c r="C10" i="2" s="1"/>
  <c r="AA11" i="2"/>
  <c r="C11" i="2" s="1"/>
  <c r="AA10" i="2"/>
  <c r="AH14" i="2"/>
  <c r="AH13" i="2"/>
  <c r="P14" i="2"/>
  <c r="P13" i="2"/>
  <c r="O13" i="2"/>
  <c r="O14" i="2"/>
  <c r="N14" i="2"/>
  <c r="C14" i="2" s="1"/>
  <c r="N13" i="2"/>
  <c r="C13" i="2" s="1"/>
  <c r="AA14" i="2"/>
  <c r="AA13" i="2"/>
  <c r="AA17" i="2"/>
  <c r="C17" i="2" s="1"/>
  <c r="AA16" i="2"/>
  <c r="C16" i="2" s="1"/>
  <c r="AE17" i="2"/>
  <c r="AE16" i="2"/>
  <c r="AF17" i="2"/>
  <c r="AF16" i="2"/>
  <c r="AF20" i="2"/>
  <c r="AF19" i="2"/>
  <c r="P23" i="2"/>
  <c r="P22" i="2"/>
  <c r="O23" i="2"/>
  <c r="O22" i="2"/>
  <c r="N23" i="2"/>
  <c r="C23" i="2" s="1"/>
  <c r="N22" i="2"/>
  <c r="C22" i="2" s="1"/>
  <c r="T26" i="2"/>
  <c r="T25" i="2"/>
  <c r="U26" i="2"/>
  <c r="U25" i="2"/>
  <c r="AA26" i="2"/>
  <c r="AA25" i="2"/>
  <c r="W26" i="2"/>
  <c r="C26" i="2" s="1"/>
  <c r="W25" i="2"/>
  <c r="P26" i="2"/>
  <c r="P25" i="2"/>
  <c r="O26" i="2"/>
  <c r="N26" i="2"/>
  <c r="N25" i="2"/>
  <c r="C25" i="2" s="1"/>
  <c r="N24" i="2"/>
  <c r="C24" i="2" s="1"/>
  <c r="O25" i="2"/>
  <c r="W29" i="2"/>
  <c r="W28" i="2"/>
  <c r="AF29" i="2"/>
  <c r="AF28" i="2"/>
  <c r="AE29" i="2"/>
  <c r="AE28" i="2"/>
  <c r="AD29" i="2"/>
  <c r="AD28" i="2"/>
  <c r="Y29" i="2"/>
  <c r="Y28" i="2"/>
  <c r="H29" i="2"/>
  <c r="H28" i="2"/>
  <c r="X29" i="2"/>
  <c r="X28" i="2"/>
  <c r="G27" i="2" l="1"/>
  <c r="C27" i="2" s="1"/>
  <c r="G29" i="2"/>
  <c r="G28" i="2"/>
  <c r="T29" i="2"/>
  <c r="T28" i="2"/>
  <c r="J28" i="2"/>
  <c r="J29" i="2"/>
  <c r="K29" i="2"/>
  <c r="K28" i="2"/>
  <c r="N28" i="2"/>
  <c r="O29" i="2"/>
  <c r="O28" i="2"/>
  <c r="U29" i="2"/>
  <c r="U28" i="2"/>
  <c r="N29" i="2"/>
  <c r="K32" i="2"/>
  <c r="K31" i="2"/>
  <c r="J31" i="2"/>
  <c r="C31" i="2" s="1"/>
  <c r="J32" i="2"/>
  <c r="L32" i="2"/>
  <c r="L31" i="2"/>
  <c r="O35" i="2"/>
  <c r="O34" i="2"/>
  <c r="P35" i="2"/>
  <c r="P34" i="2"/>
  <c r="C32" i="2" l="1"/>
  <c r="C28" i="2"/>
  <c r="C29" i="2"/>
  <c r="N35" i="2"/>
  <c r="C35" i="2" s="1"/>
  <c r="N34" i="2"/>
  <c r="C34" i="2" s="1"/>
  <c r="N33" i="2"/>
  <c r="C33" i="2" s="1"/>
  <c r="F36" i="2" l="1"/>
  <c r="C36" i="2" s="1"/>
  <c r="F37" i="2"/>
  <c r="C37" i="2" s="1"/>
  <c r="F38" i="2"/>
  <c r="C38" i="2" s="1"/>
  <c r="AF41" i="2"/>
  <c r="C41" i="2" s="1"/>
  <c r="AF40" i="2"/>
  <c r="C40" i="2" s="1"/>
  <c r="V44" i="2"/>
  <c r="V43" i="2"/>
  <c r="AD44" i="2"/>
  <c r="AD43" i="2"/>
  <c r="T44" i="2"/>
  <c r="T43" i="2"/>
  <c r="T42" i="2"/>
  <c r="C42" i="2" s="1"/>
  <c r="U44" i="2"/>
  <c r="U42" i="2"/>
  <c r="U43" i="2"/>
  <c r="L44" i="2"/>
  <c r="L43" i="2"/>
  <c r="V47" i="2"/>
  <c r="V46" i="2"/>
  <c r="U46" i="2"/>
  <c r="U47" i="2"/>
  <c r="M47" i="2"/>
  <c r="M46" i="2"/>
  <c r="P47" i="2"/>
  <c r="P46" i="2"/>
  <c r="I50" i="2"/>
  <c r="I49" i="2"/>
  <c r="H50" i="2"/>
  <c r="H49" i="2"/>
  <c r="G49" i="2"/>
  <c r="G50" i="2"/>
  <c r="G48" i="2"/>
  <c r="H48" i="2"/>
  <c r="V50" i="2"/>
  <c r="V49" i="2"/>
  <c r="I53" i="2"/>
  <c r="I52" i="2"/>
  <c r="H53" i="2"/>
  <c r="H52" i="2"/>
  <c r="G53" i="2"/>
  <c r="G52" i="2"/>
  <c r="C52" i="2" s="1"/>
  <c r="G51" i="2"/>
  <c r="H51" i="2"/>
  <c r="V53" i="2"/>
  <c r="V52" i="2"/>
  <c r="V56" i="2"/>
  <c r="V55" i="2"/>
  <c r="P56" i="2"/>
  <c r="C56" i="2" s="1"/>
  <c r="P55" i="2"/>
  <c r="C55" i="2" s="1"/>
  <c r="X59" i="2"/>
  <c r="X58" i="2"/>
  <c r="W59" i="2"/>
  <c r="W58" i="2"/>
  <c r="Y59" i="2"/>
  <c r="Y58" i="2"/>
  <c r="H57" i="2"/>
  <c r="C57" i="2" s="1"/>
  <c r="I59" i="2"/>
  <c r="I58" i="2"/>
  <c r="H59" i="2"/>
  <c r="H58" i="2"/>
  <c r="C58" i="2" s="1"/>
  <c r="P59" i="2"/>
  <c r="P58" i="2"/>
  <c r="Y62" i="2"/>
  <c r="Y61" i="2"/>
  <c r="X62" i="2"/>
  <c r="W62" i="2"/>
  <c r="C62" i="2" s="1"/>
  <c r="W61" i="2"/>
  <c r="X61" i="2"/>
  <c r="W60" i="2"/>
  <c r="Z62" i="2"/>
  <c r="Z61" i="2"/>
  <c r="X60" i="2"/>
  <c r="Z65" i="2"/>
  <c r="Z64" i="2"/>
  <c r="Y65" i="2"/>
  <c r="Y64" i="2"/>
  <c r="X64" i="2"/>
  <c r="X65" i="2"/>
  <c r="W65" i="2"/>
  <c r="W64" i="2"/>
  <c r="Z68" i="2"/>
  <c r="Z67" i="2"/>
  <c r="Y68" i="2"/>
  <c r="Y67" i="2"/>
  <c r="X68" i="2"/>
  <c r="X67" i="2"/>
  <c r="Y66" i="2"/>
  <c r="C66" i="2" s="1"/>
  <c r="Y71" i="2"/>
  <c r="Y70" i="2"/>
  <c r="AC71" i="2"/>
  <c r="AC70" i="2"/>
  <c r="X71" i="2"/>
  <c r="W69" i="2"/>
  <c r="W70" i="2"/>
  <c r="W71" i="2"/>
  <c r="Z71" i="2"/>
  <c r="Z70" i="2"/>
  <c r="Y69" i="2"/>
  <c r="AH79" i="2"/>
  <c r="AA74" i="2"/>
  <c r="C74" i="2" s="1"/>
  <c r="AA73" i="2"/>
  <c r="AA72" i="2"/>
  <c r="C72" i="2" s="1"/>
  <c r="AB74" i="2"/>
  <c r="AB73" i="2"/>
  <c r="AC74" i="2"/>
  <c r="AC73" i="2"/>
  <c r="AC77" i="2"/>
  <c r="AC76" i="2"/>
  <c r="AB77" i="2"/>
  <c r="AB76" i="2"/>
  <c r="O77" i="2"/>
  <c r="O76" i="2"/>
  <c r="AB80" i="2"/>
  <c r="C80" i="2" s="1"/>
  <c r="AB79" i="2"/>
  <c r="AE83" i="2"/>
  <c r="C83" i="2" s="1"/>
  <c r="AE82" i="2"/>
  <c r="C82" i="2" s="1"/>
  <c r="AF86" i="2"/>
  <c r="AF85" i="2"/>
  <c r="AD86" i="2"/>
  <c r="C86" i="2" s="1"/>
  <c r="AD85" i="2"/>
  <c r="C85" i="2" s="1"/>
  <c r="U89" i="2"/>
  <c r="U88" i="2"/>
  <c r="C88" i="2" s="1"/>
  <c r="U87" i="2"/>
  <c r="C87" i="2" s="1"/>
  <c r="V89" i="2"/>
  <c r="V88" i="2"/>
  <c r="AD89" i="2"/>
  <c r="AD88" i="2"/>
  <c r="V92" i="2"/>
  <c r="C92" i="2" s="1"/>
  <c r="V91" i="2"/>
  <c r="C91" i="2" s="1"/>
  <c r="AB95" i="2"/>
  <c r="AB94" i="2"/>
  <c r="I95" i="2"/>
  <c r="C95" i="2" s="1"/>
  <c r="I94" i="2"/>
  <c r="V95" i="2"/>
  <c r="V94" i="2"/>
  <c r="U95" i="2"/>
  <c r="U94" i="2"/>
  <c r="T95" i="2"/>
  <c r="T94" i="2"/>
  <c r="Z95" i="2"/>
  <c r="Z94" i="2"/>
  <c r="D101" i="2"/>
  <c r="E101" i="2"/>
  <c r="E100" i="2"/>
  <c r="D100" i="2"/>
  <c r="Q101" i="2"/>
  <c r="Q100" i="2"/>
  <c r="C59" i="2" l="1"/>
  <c r="C100" i="2"/>
  <c r="C64" i="2"/>
  <c r="C48" i="2"/>
  <c r="C77" i="2"/>
  <c r="C71" i="2"/>
  <c r="C65" i="2"/>
  <c r="C50" i="2"/>
  <c r="C46" i="2"/>
  <c r="C51" i="2"/>
  <c r="C43" i="2"/>
  <c r="C76" i="2"/>
  <c r="C53" i="2"/>
  <c r="C44" i="2"/>
  <c r="C101" i="2"/>
  <c r="C70" i="2"/>
  <c r="C67" i="2"/>
  <c r="C49" i="2"/>
  <c r="C47" i="2"/>
  <c r="C79" i="2"/>
  <c r="C89" i="2"/>
  <c r="C94" i="2"/>
  <c r="C73" i="2"/>
  <c r="C69" i="2"/>
  <c r="C68" i="2"/>
  <c r="C60" i="2"/>
  <c r="C61" i="2"/>
  <c r="Q104" i="2"/>
  <c r="Q103" i="2"/>
  <c r="Q102" i="2"/>
  <c r="C102" i="2" s="1"/>
  <c r="U104" i="2"/>
  <c r="U103" i="2"/>
  <c r="N104" i="2"/>
  <c r="N103" i="2"/>
  <c r="V104" i="2"/>
  <c r="V103" i="2"/>
  <c r="Q107" i="2"/>
  <c r="C107" i="2" s="1"/>
  <c r="Q106" i="2"/>
  <c r="C106" i="2" s="1"/>
  <c r="O110" i="2"/>
  <c r="I110" i="2"/>
  <c r="H110" i="2"/>
  <c r="Z110" i="2"/>
  <c r="Y110" i="2"/>
  <c r="I109" i="2"/>
  <c r="H109" i="2"/>
  <c r="Z109" i="2"/>
  <c r="Y109" i="2"/>
  <c r="O109" i="2"/>
  <c r="Q109" i="2"/>
  <c r="Q110" i="2"/>
  <c r="AF113" i="2"/>
  <c r="C113" i="2" s="1"/>
  <c r="AF112" i="2"/>
  <c r="C112" i="2" s="1"/>
  <c r="D122" i="2"/>
  <c r="C122" i="2" s="1"/>
  <c r="D121" i="2"/>
  <c r="C121" i="2" s="1"/>
  <c r="D120" i="2"/>
  <c r="C120" i="2" s="1"/>
  <c r="F119" i="2"/>
  <c r="C119" i="2" s="1"/>
  <c r="F118" i="2"/>
  <c r="C118" i="2" s="1"/>
  <c r="AF125" i="2"/>
  <c r="C125" i="2" s="1"/>
  <c r="AF124" i="2"/>
  <c r="C124" i="2" s="1"/>
  <c r="AF128" i="2"/>
  <c r="C128" i="2" s="1"/>
  <c r="AF127" i="2"/>
  <c r="C127" i="2" s="1"/>
  <c r="C110" i="2" l="1"/>
  <c r="C103" i="2"/>
  <c r="C104" i="2"/>
  <c r="C109" i="2"/>
  <c r="AD58" i="1"/>
  <c r="AD61" i="1"/>
  <c r="B1" i="1" l="1"/>
  <c r="AK22" i="1" l="1"/>
  <c r="AK23" i="1"/>
  <c r="AK21" i="1"/>
  <c r="AS74" i="1" l="1"/>
  <c r="AS75" i="1"/>
  <c r="AS76" i="1"/>
  <c r="AS77" i="1"/>
  <c r="AS78" i="1"/>
  <c r="AS79" i="1"/>
  <c r="AS80" i="1"/>
  <c r="M31" i="1" l="1"/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3" i="1"/>
  <c r="M74" i="1"/>
  <c r="M75" i="1"/>
  <c r="M76" i="1"/>
  <c r="M77" i="1"/>
  <c r="M78" i="1"/>
  <c r="M79" i="1"/>
  <c r="M80" i="1"/>
  <c r="M73" i="1"/>
  <c r="M47" i="1" l="1"/>
  <c r="M48" i="1"/>
  <c r="BA47" i="1"/>
  <c r="M53" i="1" l="1"/>
  <c r="M54" i="1"/>
  <c r="M55" i="1"/>
  <c r="M52" i="1"/>
  <c r="M23" i="1"/>
  <c r="M69" i="1" l="1"/>
  <c r="M70" i="1"/>
  <c r="M68" i="1"/>
  <c r="M22" i="1"/>
  <c r="M8" i="1"/>
  <c r="M7" i="1"/>
  <c r="M11" i="1"/>
  <c r="M12" i="1"/>
  <c r="M13" i="1"/>
  <c r="M14" i="1"/>
  <c r="M15" i="1"/>
  <c r="M16" i="1"/>
  <c r="M17" i="1"/>
  <c r="M18" i="1"/>
  <c r="M19" i="1"/>
  <c r="M20" i="1"/>
  <c r="M21" i="1"/>
  <c r="M24" i="1"/>
  <c r="M25" i="1"/>
  <c r="M26" i="1"/>
  <c r="M27" i="1"/>
  <c r="M28" i="1"/>
  <c r="M29" i="1"/>
  <c r="M30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9" i="1"/>
  <c r="M50" i="1"/>
  <c r="M51" i="1"/>
  <c r="M56" i="1"/>
  <c r="M57" i="1"/>
  <c r="M58" i="1"/>
  <c r="M59" i="1"/>
  <c r="M60" i="1"/>
  <c r="M61" i="1"/>
  <c r="M62" i="1"/>
  <c r="M63" i="1"/>
  <c r="M64" i="1"/>
  <c r="M65" i="1"/>
  <c r="M66" i="1"/>
  <c r="M67" i="1"/>
  <c r="M71" i="1"/>
  <c r="M72" i="1"/>
  <c r="M4" i="1"/>
  <c r="M5" i="1"/>
  <c r="M6" i="1"/>
  <c r="M9" i="1"/>
  <c r="M10" i="1"/>
  <c r="M3" i="1"/>
  <c r="AH77" i="1" l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4" i="1"/>
  <c r="AH55" i="1"/>
  <c r="AH53" i="1"/>
  <c r="AH52" i="1"/>
  <c r="AH51" i="1"/>
  <c r="AH50" i="1"/>
  <c r="AH47" i="1"/>
  <c r="AH46" i="1"/>
  <c r="AH45" i="1"/>
  <c r="AH44" i="1"/>
  <c r="AH43" i="1"/>
  <c r="AH42" i="1"/>
  <c r="AH41" i="1"/>
  <c r="AH38" i="1"/>
  <c r="AH37" i="1"/>
  <c r="AH36" i="1"/>
  <c r="AH35" i="1"/>
  <c r="AH34" i="1"/>
  <c r="AH33" i="1"/>
  <c r="AH30" i="1"/>
  <c r="AH29" i="1"/>
  <c r="AH27" i="1"/>
  <c r="AH26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5" i="1"/>
  <c r="AH4" i="1"/>
  <c r="AH3" i="1"/>
  <c r="AH7" i="1"/>
  <c r="AH6" i="1"/>
  <c r="AC30" i="1" l="1"/>
  <c r="AE30" i="1"/>
  <c r="AG30" i="1" s="1"/>
  <c r="AL30" i="1"/>
  <c r="AS30" i="1"/>
  <c r="AV30" i="1"/>
  <c r="AD22" i="1" l="1"/>
  <c r="AE22" i="1" s="1"/>
  <c r="AG22" i="1" s="1"/>
  <c r="AD21" i="1"/>
  <c r="AS23" i="1"/>
  <c r="AL23" i="1"/>
  <c r="AE23" i="1"/>
  <c r="AG23" i="1" s="1"/>
  <c r="AC23" i="1"/>
  <c r="T23" i="1"/>
  <c r="AS22" i="1"/>
  <c r="AL22" i="1"/>
  <c r="AC22" i="1"/>
  <c r="T22" i="1"/>
  <c r="AE4" i="1"/>
  <c r="AE5" i="1"/>
  <c r="AE6" i="1"/>
  <c r="AK73" i="1" l="1"/>
  <c r="AK70" i="1"/>
  <c r="AL69" i="1"/>
  <c r="AE69" i="1"/>
  <c r="AG69" i="1" s="1"/>
  <c r="AC69" i="1"/>
  <c r="AK67" i="1"/>
  <c r="AL67" i="1" s="1"/>
  <c r="AE67" i="1"/>
  <c r="AG67" i="1" s="1"/>
  <c r="AC67" i="1"/>
  <c r="T67" i="1"/>
  <c r="AK66" i="1"/>
  <c r="AL66" i="1" s="1"/>
  <c r="AE66" i="1"/>
  <c r="AG66" i="1" s="1"/>
  <c r="AC66" i="1"/>
  <c r="T66" i="1"/>
  <c r="AK55" i="1"/>
  <c r="AK53" i="1"/>
  <c r="AV58" i="1" l="1"/>
  <c r="AV57" i="1"/>
  <c r="AV54" i="1"/>
  <c r="AV52" i="1"/>
  <c r="AV51" i="1"/>
  <c r="AV50" i="1"/>
  <c r="AV47" i="1"/>
  <c r="AV45" i="1"/>
  <c r="AV43" i="1"/>
  <c r="AV41" i="1"/>
  <c r="AV38" i="1"/>
  <c r="AV35" i="1"/>
  <c r="AV36" i="1"/>
  <c r="AV27" i="1"/>
  <c r="AV24" i="1"/>
  <c r="AV19" i="1"/>
  <c r="AV15" i="1"/>
  <c r="AV14" i="1"/>
  <c r="AV12" i="1"/>
  <c r="AV9" i="1"/>
  <c r="AV6" i="1"/>
  <c r="AV5" i="1"/>
  <c r="AV4" i="1"/>
  <c r="AV3" i="1"/>
  <c r="T72" i="1"/>
  <c r="AC4" i="1" l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4" i="1"/>
  <c r="AC26" i="1"/>
  <c r="AC27" i="1"/>
  <c r="AC29" i="1"/>
  <c r="AC33" i="1"/>
  <c r="AC34" i="1"/>
  <c r="AC35" i="1"/>
  <c r="AC36" i="1"/>
  <c r="AC37" i="1"/>
  <c r="AC38" i="1"/>
  <c r="AC41" i="1"/>
  <c r="AC42" i="1"/>
  <c r="AC43" i="1"/>
  <c r="AC44" i="1"/>
  <c r="AC45" i="1"/>
  <c r="AC46" i="1"/>
  <c r="AC47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8" i="1"/>
  <c r="AC70" i="1"/>
  <c r="AC71" i="1"/>
  <c r="AC72" i="1"/>
  <c r="AC73" i="1"/>
  <c r="AC77" i="1"/>
  <c r="AC3" i="1"/>
  <c r="T63" i="1"/>
  <c r="T65" i="1"/>
  <c r="T64" i="1"/>
  <c r="T21" i="1" l="1"/>
  <c r="T77" i="1"/>
  <c r="T20" i="1"/>
  <c r="T19" i="1"/>
  <c r="T8" i="1"/>
  <c r="T7" i="1"/>
  <c r="AG4" i="1"/>
  <c r="AG5" i="1"/>
  <c r="AG6" i="1"/>
  <c r="AE7" i="1"/>
  <c r="AG7" i="1" s="1"/>
  <c r="AE8" i="1"/>
  <c r="AG8" i="1" s="1"/>
  <c r="AE9" i="1"/>
  <c r="AG9" i="1" s="1"/>
  <c r="AE10" i="1"/>
  <c r="AG10" i="1" s="1"/>
  <c r="AE11" i="1"/>
  <c r="AG11" i="1" s="1"/>
  <c r="AE12" i="1"/>
  <c r="AG12" i="1" s="1"/>
  <c r="AE13" i="1"/>
  <c r="AG13" i="1" s="1"/>
  <c r="AE14" i="1"/>
  <c r="AG14" i="1" s="1"/>
  <c r="AE15" i="1"/>
  <c r="AG15" i="1" s="1"/>
  <c r="AE16" i="1"/>
  <c r="AE17" i="1"/>
  <c r="AG17" i="1" s="1"/>
  <c r="AE18" i="1"/>
  <c r="AG18" i="1" s="1"/>
  <c r="AE19" i="1"/>
  <c r="AG19" i="1" s="1"/>
  <c r="AE20" i="1"/>
  <c r="AG20" i="1" s="1"/>
  <c r="AE21" i="1"/>
  <c r="AG21" i="1" s="1"/>
  <c r="AE24" i="1"/>
  <c r="AG24" i="1" s="1"/>
  <c r="AE26" i="1"/>
  <c r="AG26" i="1" s="1"/>
  <c r="AE27" i="1"/>
  <c r="AE29" i="1"/>
  <c r="AG29" i="1" s="1"/>
  <c r="AE33" i="1"/>
  <c r="AG33" i="1" s="1"/>
  <c r="AE34" i="1"/>
  <c r="AG34" i="1" s="1"/>
  <c r="AE35" i="1"/>
  <c r="AG35" i="1" s="1"/>
  <c r="AE36" i="1"/>
  <c r="AG36" i="1" s="1"/>
  <c r="AE37" i="1"/>
  <c r="AG37" i="1" s="1"/>
  <c r="AE38" i="1"/>
  <c r="AG38" i="1" s="1"/>
  <c r="AE41" i="1"/>
  <c r="AG41" i="1" s="1"/>
  <c r="AE42" i="1"/>
  <c r="AG42" i="1" s="1"/>
  <c r="AE43" i="1"/>
  <c r="AG43" i="1" s="1"/>
  <c r="AE44" i="1"/>
  <c r="AG44" i="1" s="1"/>
  <c r="AE45" i="1"/>
  <c r="AG45" i="1" s="1"/>
  <c r="AE46" i="1"/>
  <c r="AG46" i="1" s="1"/>
  <c r="AE47" i="1"/>
  <c r="AG47" i="1" s="1"/>
  <c r="AE50" i="1"/>
  <c r="AG50" i="1" s="1"/>
  <c r="AE51" i="1"/>
  <c r="AG51" i="1" s="1"/>
  <c r="AE52" i="1"/>
  <c r="AG52" i="1" s="1"/>
  <c r="AE53" i="1"/>
  <c r="AG53" i="1" s="1"/>
  <c r="AE54" i="1"/>
  <c r="AG54" i="1" s="1"/>
  <c r="AE55" i="1"/>
  <c r="AG55" i="1" s="1"/>
  <c r="AE56" i="1"/>
  <c r="AG56" i="1" s="1"/>
  <c r="AE57" i="1"/>
  <c r="AG57" i="1" s="1"/>
  <c r="AE58" i="1"/>
  <c r="AG58" i="1" s="1"/>
  <c r="AE59" i="1"/>
  <c r="AG59" i="1" s="1"/>
  <c r="AE60" i="1"/>
  <c r="AG60" i="1" s="1"/>
  <c r="AE61" i="1"/>
  <c r="AG61" i="1" s="1"/>
  <c r="AE62" i="1"/>
  <c r="AG62" i="1" s="1"/>
  <c r="AE63" i="1"/>
  <c r="AG63" i="1" s="1"/>
  <c r="AE64" i="1"/>
  <c r="AG64" i="1" s="1"/>
  <c r="AE65" i="1"/>
  <c r="AG65" i="1" s="1"/>
  <c r="AE68" i="1"/>
  <c r="AG68" i="1" s="1"/>
  <c r="AE70" i="1"/>
  <c r="AG70" i="1" s="1"/>
  <c r="AE71" i="1"/>
  <c r="AG71" i="1" s="1"/>
  <c r="AE72" i="1"/>
  <c r="AG72" i="1" s="1"/>
  <c r="AE73" i="1"/>
  <c r="AG73" i="1" s="1"/>
  <c r="AG74" i="1"/>
  <c r="AG75" i="1"/>
  <c r="AG76" i="1"/>
  <c r="AE77" i="1"/>
  <c r="AG77" i="1" s="1"/>
  <c r="AD3" i="1"/>
  <c r="AE3" i="1" l="1"/>
  <c r="AG3" i="1" s="1"/>
  <c r="AK72" i="1"/>
  <c r="AL72" i="1" s="1"/>
  <c r="AK71" i="1"/>
  <c r="AL71" i="1" s="1"/>
  <c r="AK77" i="1"/>
  <c r="AK68" i="1"/>
  <c r="AK65" i="1"/>
  <c r="AK64" i="1"/>
  <c r="AK63" i="1"/>
  <c r="AK62" i="1"/>
  <c r="AL53" i="1"/>
  <c r="AL55" i="1"/>
  <c r="AG78" i="1"/>
  <c r="AG79" i="1"/>
  <c r="AG80" i="1"/>
  <c r="AS61" i="1" l="1"/>
  <c r="AL61" i="1"/>
  <c r="AS72" i="1" l="1"/>
  <c r="AS63" i="1" l="1"/>
  <c r="AL63" i="1"/>
  <c r="AS65" i="1" l="1"/>
  <c r="AL65" i="1"/>
  <c r="AS64" i="1"/>
  <c r="AL64" i="1"/>
  <c r="AS71" i="1" l="1"/>
  <c r="AX9" i="1" l="1"/>
  <c r="AX45" i="1"/>
  <c r="AW45" i="1"/>
  <c r="AX43" i="1"/>
  <c r="AW43" i="1"/>
  <c r="AX41" i="1"/>
  <c r="AW41" i="1"/>
  <c r="AX38" i="1"/>
  <c r="AX36" i="1"/>
  <c r="AW38" i="1"/>
  <c r="AW36" i="1"/>
  <c r="AW9" i="1"/>
  <c r="AS4" i="1"/>
  <c r="AS5" i="1"/>
  <c r="AS6" i="1"/>
  <c r="AS7" i="1"/>
  <c r="AS8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4" i="1"/>
  <c r="AS26" i="1"/>
  <c r="AS27" i="1"/>
  <c r="AS29" i="1"/>
  <c r="AS33" i="1"/>
  <c r="AS34" i="1"/>
  <c r="AS35" i="1"/>
  <c r="AS37" i="1"/>
  <c r="AS42" i="1"/>
  <c r="AS44" i="1"/>
  <c r="AS46" i="1"/>
  <c r="AS47" i="1"/>
  <c r="AS50" i="1"/>
  <c r="AS51" i="1"/>
  <c r="AS53" i="1"/>
  <c r="AS55" i="1"/>
  <c r="AS56" i="1"/>
  <c r="AS57" i="1"/>
  <c r="AS58" i="1"/>
  <c r="AS59" i="1"/>
  <c r="AS60" i="1"/>
  <c r="AS62" i="1"/>
  <c r="AS66" i="1"/>
  <c r="AS67" i="1"/>
  <c r="AS68" i="1"/>
  <c r="AS70" i="1"/>
  <c r="AS73" i="1"/>
  <c r="AS3" i="1"/>
  <c r="AL77" i="1" l="1"/>
  <c r="AL76" i="1"/>
  <c r="AL75" i="1"/>
  <c r="AL74" i="1"/>
  <c r="AL73" i="1"/>
  <c r="AL70" i="1"/>
  <c r="AL68" i="1"/>
  <c r="AL62" i="1"/>
  <c r="AL60" i="1"/>
  <c r="AL59" i="1"/>
  <c r="AL58" i="1"/>
  <c r="AL57" i="1"/>
  <c r="AL56" i="1"/>
  <c r="AL54" i="1"/>
  <c r="AL52" i="1"/>
  <c r="AL51" i="1"/>
  <c r="AL50" i="1"/>
  <c r="AL47" i="1"/>
  <c r="AL46" i="1"/>
  <c r="AL45" i="1"/>
  <c r="AL44" i="1"/>
  <c r="AL43" i="1"/>
  <c r="AL42" i="1"/>
  <c r="AL41" i="1"/>
  <c r="AL38" i="1"/>
  <c r="AL37" i="1"/>
  <c r="AL36" i="1"/>
  <c r="AL35" i="1"/>
  <c r="AL34" i="1"/>
  <c r="AL33" i="1"/>
  <c r="AL29" i="1"/>
  <c r="AL27" i="1"/>
  <c r="AL26" i="1"/>
  <c r="AL24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F27" i="1" l="1"/>
  <c r="AG27" i="1" s="1"/>
  <c r="AF16" i="1" l="1"/>
  <c r="AG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tc={D1E990B0-C9AA-4954-9956-122C1DF67460}</author>
    <author>tc={496CB7E1-6877-49A5-853D-76394DBE4DAF}</author>
    <author>tc={58A887B6-3C98-4696-94DE-9B7B7A91C08D}</author>
    <author>tc={59060254-ED05-4827-A1A0-F6D8C9E6922F}</author>
    <author>Kim, Sung-Hoon</author>
    <author>tc={2DFDB6BF-9E0D-483C-A097-EA64E67D8A01}</author>
    <author>tc={1F0BC560-1B35-4D59-B3D9-65A1E5C98578}</author>
  </authors>
  <commentList>
    <comment ref="AA2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-. 5% 마진을 적용하기 전의 volume 임
Colume V 의  volume 은 업데이트 되지 X
(failure case 에 대한 참고용으로 남겨둠)
-. Colume AC 의 volume 은 업데이트 된 것.</t>
      </text>
    </comment>
    <comment ref="AE2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5% increased</t>
      </text>
    </comment>
    <comment ref="AH2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Largest volume of adjacent section
(considering ESDV/SDV failure case during normal operation)
(ESDV closes)</t>
      </text>
    </comment>
    <comment ref="AI2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Largest volume of adjacent section
(considering ESDV/SDV failure case during normal operation)
(ESDV closes)</t>
      </text>
    </comment>
    <comment ref="AM19" authorId="4" shapeId="0" xr:uid="{4D687197-D99A-43B7-9274-2FFDC9282D02}">
      <text>
        <r>
          <rPr>
            <b/>
            <sz val="9"/>
            <color indexed="81"/>
            <rFont val="Tahoma"/>
            <family val="2"/>
          </rPr>
          <t>Kim, Sung-Hoon:</t>
        </r>
        <r>
          <rPr>
            <sz val="9"/>
            <color indexed="81"/>
            <rFont val="Tahoma"/>
            <family val="2"/>
          </rPr>
          <t xml:space="preserve">
Ref.1</t>
        </r>
      </text>
    </comment>
    <comment ref="AN19" authorId="4" shapeId="0" xr:uid="{AE8E6F86-889F-402B-81D5-D9DE0CA02D54}">
      <text>
        <r>
          <rPr>
            <b/>
            <sz val="9"/>
            <color indexed="81"/>
            <rFont val="Tahoma"/>
            <family val="2"/>
          </rPr>
          <t>Kim, Sung-Hoon:</t>
        </r>
        <r>
          <rPr>
            <sz val="9"/>
            <color indexed="81"/>
            <rFont val="Tahoma"/>
            <family val="2"/>
          </rPr>
          <t xml:space="preserve">
Ref.1</t>
        </r>
      </text>
    </comment>
    <comment ref="AM20" authorId="4" shapeId="0" xr:uid="{BB8AB97C-DA46-47E8-B3FD-BB8EE14695D8}">
      <text>
        <r>
          <rPr>
            <b/>
            <sz val="9"/>
            <color indexed="81"/>
            <rFont val="Tahoma"/>
            <family val="2"/>
          </rPr>
          <t>Kim, Sung-Hoon:</t>
        </r>
        <r>
          <rPr>
            <sz val="9"/>
            <color indexed="81"/>
            <rFont val="Tahoma"/>
            <family val="2"/>
          </rPr>
          <t xml:space="preserve">
Ref.1</t>
        </r>
      </text>
    </comment>
    <comment ref="AN20" authorId="4" shapeId="0" xr:uid="{8E5D0247-24B2-4B06-BF00-1B0670C340D7}">
      <text>
        <r>
          <rPr>
            <b/>
            <sz val="9"/>
            <color indexed="81"/>
            <rFont val="Tahoma"/>
            <family val="2"/>
          </rPr>
          <t>Kim, Sung-Hoon:</t>
        </r>
        <r>
          <rPr>
            <sz val="9"/>
            <color indexed="81"/>
            <rFont val="Tahoma"/>
            <family val="2"/>
          </rPr>
          <t xml:space="preserve">
Ref.1</t>
        </r>
      </text>
    </comment>
    <comment ref="AR69" authorId="5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continuously connected line</t>
      </text>
    </comment>
    <comment ref="AS69" authorId="6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continuously connected line</t>
      </text>
    </comment>
  </commentList>
</comments>
</file>

<file path=xl/sharedStrings.xml><?xml version="1.0" encoding="utf-8"?>
<sst xmlns="http://schemas.openxmlformats.org/spreadsheetml/2006/main" count="1637" uniqueCount="751">
  <si>
    <t>Area</t>
  </si>
  <si>
    <t>SCE Cube No.</t>
  </si>
  <si>
    <t xml:space="preserve">Main equipment </t>
  </si>
  <si>
    <t>Most likely leak source</t>
  </si>
  <si>
    <t>Isolation valve-ESDVs/SDVs</t>
  </si>
  <si>
    <t>Piping volume (m3), Ref. [16]</t>
  </si>
  <si>
    <t>Release location and elevation</t>
  </si>
  <si>
    <t>Flowlines</t>
  </si>
  <si>
    <t>S05</t>
  </si>
  <si>
    <t>N1</t>
  </si>
  <si>
    <t>G</t>
  </si>
  <si>
    <t>Flange connections at flowline, 1m from the bottom</t>
  </si>
  <si>
    <t>Yes
2"-BDV-0001</t>
  </si>
  <si>
    <t>N2</t>
  </si>
  <si>
    <t>C1</t>
  </si>
  <si>
    <t>C2</t>
  </si>
  <si>
    <t>Yes
2"-BDV-0004</t>
  </si>
  <si>
    <t>Dead oil circulation</t>
  </si>
  <si>
    <t>020-01</t>
  </si>
  <si>
    <t>Slug catcher</t>
  </si>
  <si>
    <t>Flange connections at 020-VZ-001</t>
  </si>
  <si>
    <t>Flange connections to 020-VZ-001, 1m from  the bottom</t>
  </si>
  <si>
    <t>L</t>
  </si>
  <si>
    <t>Flange connections from 020-VZ-001</t>
  </si>
  <si>
    <t>Flange connections from 020-VZ-001, 1m from  the bottom</t>
  </si>
  <si>
    <t>No</t>
  </si>
  <si>
    <t>020-02</t>
  </si>
  <si>
    <t>HP separator</t>
  </si>
  <si>
    <t>Flange connections to 020-VZ-002</t>
  </si>
  <si>
    <t>Flange connections from 020-VZ-002, 1m from  the bottom</t>
  </si>
  <si>
    <t xml:space="preserve">020-VZ-002 </t>
  </si>
  <si>
    <t>Flange connections from 020-VZ-002</t>
  </si>
  <si>
    <t>Yes
4"-BDV-0004</t>
  </si>
  <si>
    <t>Test separator</t>
  </si>
  <si>
    <t>Flange connections to 020-VZ-005</t>
  </si>
  <si>
    <t>Flange connections from 020-VZ-005</t>
  </si>
  <si>
    <t>Yes
4"-BDV-0003</t>
  </si>
  <si>
    <t>020-03</t>
  </si>
  <si>
    <t>MP separator</t>
  </si>
  <si>
    <t>S04</t>
  </si>
  <si>
    <t>Flange connections to 020-VZ-003</t>
  </si>
  <si>
    <t xml:space="preserve"> </t>
  </si>
  <si>
    <t>Flange connection to 020-VZ-003, 1m from the bottom</t>
  </si>
  <si>
    <t xml:space="preserve">020-VZ-003 </t>
  </si>
  <si>
    <t>Flange connections  from 020-VZ-003</t>
  </si>
  <si>
    <t>Flange connection from 020-VZ-003, 1m from the bottom</t>
  </si>
  <si>
    <t>8-1</t>
  </si>
  <si>
    <t xml:space="preserve">020-VZ-003,020-VZ-006 </t>
  </si>
  <si>
    <t>Flange connections  from/to 020-VZ-006</t>
  </si>
  <si>
    <t>Flange connection from 020-VZ-006, 1m from the bottom</t>
  </si>
  <si>
    <t>020-04</t>
  </si>
  <si>
    <t>Flange connections from 020-VZ-004, 1m from the bottom</t>
  </si>
  <si>
    <t xml:space="preserve">020-VZ-004 </t>
  </si>
  <si>
    <t>Flange connections from 020-VZ-004</t>
  </si>
  <si>
    <t>14"-SDV-0020</t>
  </si>
  <si>
    <t>021-01</t>
  </si>
  <si>
    <t>Condensate export metering</t>
  </si>
  <si>
    <t>S02</t>
  </si>
  <si>
    <t>021-UN-001</t>
  </si>
  <si>
    <t>Flange connections from 021-UN-001</t>
  </si>
  <si>
    <t>-</t>
  </si>
  <si>
    <t>Flange connections from 021-UN-001, 1m from the bottom</t>
  </si>
  <si>
    <t>023-01</t>
  </si>
  <si>
    <t>LP compression</t>
  </si>
  <si>
    <t>P03</t>
  </si>
  <si>
    <t>Flange connections from 023-KZ-001, 1m from the bottom</t>
  </si>
  <si>
    <t>lange connections at 023-VZ-001, 1m from the bottom</t>
  </si>
  <si>
    <t>023-02</t>
  </si>
  <si>
    <t xml:space="preserve">023-ES-002, 023-VZ-002, 023-KZ-002 </t>
  </si>
  <si>
    <t>Flange connections  at 023-KZ-002, 1m from the bottom</t>
  </si>
  <si>
    <t>Yes
2"-BDV-0005</t>
  </si>
  <si>
    <t>023-VZ-002</t>
  </si>
  <si>
    <t>Flange connections at 023-VZ-002</t>
  </si>
  <si>
    <t>3"-SDV-0004</t>
  </si>
  <si>
    <t>Flange connections at 023-VZ-002, 1m from the bottom</t>
  </si>
  <si>
    <t>023-03</t>
  </si>
  <si>
    <t>HP compression train1/2</t>
  </si>
  <si>
    <t>S03</t>
  </si>
  <si>
    <t>114A</t>
  </si>
  <si>
    <t>Flange connections at 023-KZ-004A, 1m from the bottom</t>
  </si>
  <si>
    <t>Yes
4"-BDV-0003A</t>
  </si>
  <si>
    <t>112-1</t>
  </si>
  <si>
    <t>023-VZ-003A</t>
  </si>
  <si>
    <t>Flange connections at 023-VZ-003A</t>
  </si>
  <si>
    <t>4"-SDV-0007A</t>
  </si>
  <si>
    <t>Flange connections at 023-VZ-003A, 1m from the bottom</t>
  </si>
  <si>
    <t>113-5</t>
  </si>
  <si>
    <t xml:space="preserve">023-VZ-004A </t>
  </si>
  <si>
    <t>Flange connections at 023-VZ-004A</t>
  </si>
  <si>
    <t>4"-SDV-0010A</t>
  </si>
  <si>
    <t>Flange connections at 023-VZ-004A, 1m from the bottom</t>
  </si>
  <si>
    <t>HP separator gas outlet</t>
  </si>
  <si>
    <t>Valve and piping</t>
  </si>
  <si>
    <t>Flange connections, 1m from the bottom</t>
  </si>
  <si>
    <t>024-01</t>
  </si>
  <si>
    <t>TEG contactor inlet filter coalesce</t>
  </si>
  <si>
    <t>P04</t>
  </si>
  <si>
    <t>Flange connections at 024-VF-001A</t>
  </si>
  <si>
    <t>Flange connections at 024-VF-001A, 1m form the bottom</t>
  </si>
  <si>
    <t>Yes
3"-BDV-0003</t>
  </si>
  <si>
    <t>117-1</t>
  </si>
  <si>
    <t xml:space="preserve">024-VF-001A </t>
  </si>
  <si>
    <t>2"-SDV-0001A
3"-SDV-0002A</t>
  </si>
  <si>
    <t>Mercury removal filters</t>
  </si>
  <si>
    <t>025-HE-001, 025-VC-001A/B, 025-VF-001A</t>
  </si>
  <si>
    <t>Flange connections at 025-VF-001A</t>
  </si>
  <si>
    <t>Flange connections at 025-VF-001A, 1m from the bottom</t>
  </si>
  <si>
    <t>024-03</t>
  </si>
  <si>
    <t>TEG contactor</t>
  </si>
  <si>
    <t>024-VC-001</t>
  </si>
  <si>
    <t>Flange connections at  024-VC-001</t>
  </si>
  <si>
    <t>Flange connections at  024-VC-001, 1m from the bottom</t>
  </si>
  <si>
    <t>025-01</t>
  </si>
  <si>
    <t>Gas dew pointing</t>
  </si>
  <si>
    <t>025-EM-002, 025-VZ-001</t>
  </si>
  <si>
    <t>Flange connections at  025-VZ-001</t>
  </si>
  <si>
    <t>Flange connections at  025-VZ-001, 1m from the bottom</t>
  </si>
  <si>
    <t>121-1</t>
  </si>
  <si>
    <t>025-VZ-001</t>
  </si>
  <si>
    <t>6"-SDV-0004</t>
  </si>
  <si>
    <t>025-02</t>
  </si>
  <si>
    <t>LT separator</t>
  </si>
  <si>
    <t>025-VZ-002, 025-EM-002</t>
  </si>
  <si>
    <t>Flange connections at  025-VZ-002</t>
  </si>
  <si>
    <t>Flange connections at  025-VZ-002, 1m from the bottom</t>
  </si>
  <si>
    <t xml:space="preserve">025-VZ-002 </t>
  </si>
  <si>
    <t>8"-SDV-0005</t>
  </si>
  <si>
    <t>P05</t>
  </si>
  <si>
    <t xml:space="preserve">027-VZ-001A, 027-KZ-001A, 027-ES-001A </t>
  </si>
  <si>
    <t>Flange connections at 027-KA-001A, 1m from the bottom</t>
  </si>
  <si>
    <t>Gas export</t>
  </si>
  <si>
    <t>027-UN-001</t>
  </si>
  <si>
    <t>Flange connections at 027-UN-001</t>
  </si>
  <si>
    <t>Flange connections at 027-UN-001, 1m from the bottom</t>
  </si>
  <si>
    <t>Yes
3"-BDV-0003A</t>
  </si>
  <si>
    <t>Gas export to turret</t>
  </si>
  <si>
    <t>259-1</t>
  </si>
  <si>
    <t>Yes
3"-BDV-0003B</t>
  </si>
  <si>
    <t>043-01</t>
  </si>
  <si>
    <t>HP KO drum</t>
  </si>
  <si>
    <t>KOD</t>
  </si>
  <si>
    <t xml:space="preserve">043-VZ-001 </t>
  </si>
  <si>
    <t>Flange connections at 043-VZ-001</t>
  </si>
  <si>
    <t>6"-ESDV-0003</t>
  </si>
  <si>
    <t>043-02</t>
  </si>
  <si>
    <t>LP KO drum</t>
  </si>
  <si>
    <t xml:space="preserve">043-VZ-002 </t>
  </si>
  <si>
    <t>Flange connections at 043-VZ-002</t>
  </si>
  <si>
    <t>HC gas receovery unit</t>
  </si>
  <si>
    <t>045-HE-002</t>
  </si>
  <si>
    <t>Flange connections at 045-HE-002</t>
  </si>
  <si>
    <t>Flange connections at 045-HE-002, 1m from the bottom</t>
  </si>
  <si>
    <t>045-02</t>
  </si>
  <si>
    <t>045-VZ-001, 045-ES-001, 045-VF-001A/B</t>
  </si>
  <si>
    <t>Flange connections at 045-VZ-001</t>
  </si>
  <si>
    <t>Flange connections at 045-VZ-001, 1m from the bottom</t>
  </si>
  <si>
    <t>Yes
6"-BDV-001</t>
  </si>
  <si>
    <t>046-01</t>
  </si>
  <si>
    <t>P02</t>
  </si>
  <si>
    <t>Flange connections at 046-PR-001A/B/C,  1m from the bottom</t>
  </si>
  <si>
    <t>Flange connections,  1m from the bottom</t>
  </si>
  <si>
    <t>Hull</t>
  </si>
  <si>
    <t>3"-ESDV-0001</t>
  </si>
  <si>
    <t>057-01</t>
  </si>
  <si>
    <t>Closed drain</t>
  </si>
  <si>
    <t>057-VZ-001</t>
  </si>
  <si>
    <t>Flange connections at 057-VZ-001</t>
  </si>
  <si>
    <t>Condensate loading</t>
  </si>
  <si>
    <t>Flange connections to tank</t>
  </si>
  <si>
    <t>Flange connection, 1m from the bottom</t>
  </si>
  <si>
    <t>Condensate offloading</t>
  </si>
  <si>
    <t>MP compression</t>
  </si>
  <si>
    <t>Yes
3"-BDV-0001</t>
  </si>
  <si>
    <t>Yes
3"-BDV-0002</t>
  </si>
  <si>
    <t>Yes
3"-BDV-0004</t>
  </si>
  <si>
    <t>Flowline (N2), production swivel No.2</t>
  </si>
  <si>
    <t>Flowline (N1), production swivel No.2</t>
  </si>
  <si>
    <t>3-1</t>
  </si>
  <si>
    <t>4"-BDV-0005</t>
  </si>
  <si>
    <t>025-ES-001, 043-PE-001A/B, 043-PE-002A/B,057-PE-001A/B, 020-ES-001</t>
  </si>
  <si>
    <t>Yes
3"-BDV-0005</t>
  </si>
  <si>
    <t>11-2</t>
  </si>
  <si>
    <t>Flange connections at 020-PC-001A</t>
  </si>
  <si>
    <t>020-ES-002, 020-VZ-004, 020-PC-001A/B/C, 020-ES-001, 020-VF-001A, 020-VF-002A, 020-EP-002A</t>
  </si>
  <si>
    <t xml:space="preserve">023-VZ-001, 023-PE-001A/B </t>
  </si>
  <si>
    <t>2"-SDV-0020</t>
  </si>
  <si>
    <t>16"-SDV-0016</t>
  </si>
  <si>
    <t>10"-SDV-0018</t>
  </si>
  <si>
    <t>Flange connections at 023-PE-001A/B</t>
  </si>
  <si>
    <t xml:space="preserve">023-ES-003A, 023-VZ-003A, 023-KZ-003A, 023-ES-004A, 023-VZ-004A, 023-KZ-004A </t>
  </si>
  <si>
    <t>20"-SDV-0012
14"-SDV-0012A
14"-SDV-0012B
20"-SDV-0008</t>
  </si>
  <si>
    <t xml:space="preserve">Yes
4"-BDV-0003A
4"-BDV-0003B
</t>
  </si>
  <si>
    <t>Yes
4"-BDV-0001A
4"-BDV-0001B</t>
  </si>
  <si>
    <t>20"-SDV-0008
20"-SDV-0001</t>
  </si>
  <si>
    <t>20"-SDV-0001
20"-SDV-0005
4"-SDV-0003</t>
  </si>
  <si>
    <t>20"-SDV-0005
18"-SDV-0003</t>
  </si>
  <si>
    <t>Yes
6"-BDV-0002A
4"-BDV-0001B</t>
  </si>
  <si>
    <t>Yes
6"-BDV-0003A
6"-BDV-0003B</t>
  </si>
  <si>
    <t>18"-SDV-0003
16"-SDV-0009A
16"-SDV-0009B</t>
  </si>
  <si>
    <t>16"-SDV-0009A
12"-SDV-0003A</t>
  </si>
  <si>
    <t>16"-ESDV-0001
12"-SDV-0003A
12"-SDV-0003B
3"-SDV-0005</t>
  </si>
  <si>
    <t>3"-ESDV-0002</t>
  </si>
  <si>
    <t>Yes
26"-BDV-0001</t>
  </si>
  <si>
    <t>4"-ESDV-0006</t>
  </si>
  <si>
    <t>8"-ESDV-0005</t>
  </si>
  <si>
    <t>Yes
10"-BDV-0002</t>
  </si>
  <si>
    <t>3"-SDV-0005
3"-SDV-0005</t>
  </si>
  <si>
    <t>Yes
2"-BDV-0002</t>
  </si>
  <si>
    <t>piping</t>
  </si>
  <si>
    <t>6"-ESDV-0001</t>
  </si>
  <si>
    <t>013-ES-001, 013-PC-001A/B</t>
  </si>
  <si>
    <t>013-PC-002-A/B</t>
  </si>
  <si>
    <t>Flange connections at 013-PC-001A/B</t>
  </si>
  <si>
    <t>Flange connections at 013-PC-002A/B</t>
  </si>
  <si>
    <t>020-05</t>
  </si>
  <si>
    <t>020-VZ-005</t>
  </si>
  <si>
    <t>8"-ESDV-0005
6"-SDV-0001</t>
  </si>
  <si>
    <t>043-KZ-001(cooler, KO drum, blower)</t>
  </si>
  <si>
    <t>Flange connections at 043-KZ-001</t>
  </si>
  <si>
    <t>ESDV/SDV Failure case</t>
  </si>
  <si>
    <t>6"-SDV-0004
8"-SDV-0005
12"-SDV-0003
2"-SDV-0020
4"-SDV-0007A
4"-SDV-0010A
4"-SDV-0007B
4"-SDV-0010B</t>
  </si>
  <si>
    <t>12"-SDV-0006A
14"-SDV-0012A</t>
  </si>
  <si>
    <t xml:space="preserve">Downstream
020-03-01(normally, SDV-0007A, 19.8) </t>
  </si>
  <si>
    <t>Downstream
020-03-01(normally,  SDV-0010A, 19.8)</t>
  </si>
  <si>
    <t>Downstream
043-03(normal, ESDV-0005, 2.5</t>
  </si>
  <si>
    <t>2"-SDV-0002
2"-SDV-0003</t>
  </si>
  <si>
    <t xml:space="preserve">32"-ESDV-0002
</t>
  </si>
  <si>
    <t>2"-ESDV-0004A</t>
  </si>
  <si>
    <t>Note for ESDV/SDV failure case</t>
  </si>
  <si>
    <t>Note for BDV</t>
  </si>
  <si>
    <t>There are two types of blowdown lines provided for each flowline; 1) emergency blowdown line and 2) riser depressurisation line.
1) &amp; 2) are interlocked to prevent simultaneous  openiong.</t>
  </si>
  <si>
    <t>No BDV valve</t>
  </si>
  <si>
    <t>staged blowdown</t>
  </si>
  <si>
    <t>Another depressure line for compressor start up
(tag: XV 0008)</t>
  </si>
  <si>
    <t>Yes
6"-BDV-0001A
4"-BDV-0001B</t>
  </si>
  <si>
    <t>Yes
6"-BDV-0004A</t>
  </si>
  <si>
    <t>another depressure line for start up</t>
  </si>
  <si>
    <t>Staged blowdown</t>
  </si>
  <si>
    <t>AT downstream of the LT separator
liquid section</t>
  </si>
  <si>
    <t>Level</t>
  </si>
  <si>
    <t>B</t>
  </si>
  <si>
    <t>A</t>
  </si>
  <si>
    <t>staged blowdown
BD report  (primary 1224, secondary 1714)</t>
  </si>
  <si>
    <t>Dynamic inventory</t>
  </si>
  <si>
    <t>Mass flow [kg/hr]</t>
  </si>
  <si>
    <t>Mass flow [kg/s]</t>
  </si>
  <si>
    <t xml:space="preserve">16"-ESDV-0001
12"-ESDV-0041
12"-ESDV-0051 
12"-ESDV-0061 </t>
  </si>
  <si>
    <t>Orifice area
(Flare and blow down report)</t>
  </si>
  <si>
    <t>1224
1714</t>
  </si>
  <si>
    <t>393
587</t>
  </si>
  <si>
    <t>540
752</t>
  </si>
  <si>
    <t>567
772</t>
  </si>
  <si>
    <t>574
785</t>
  </si>
  <si>
    <t>729
1003</t>
  </si>
  <si>
    <t>No RO</t>
  </si>
  <si>
    <t>22.37
27.35</t>
  </si>
  <si>
    <t>26.23
30.95</t>
  </si>
  <si>
    <t>26.88
31.36</t>
  </si>
  <si>
    <t>27.04
31.62</t>
  </si>
  <si>
    <t>30.47
35.75</t>
  </si>
  <si>
    <t>39.49
46.73</t>
  </si>
  <si>
    <t>Flange connections at 013-PC-001A/B, 1m from the bottom</t>
  </si>
  <si>
    <t>Flange connections at 013-PC-002A/B, 1m from the bottom</t>
  </si>
  <si>
    <t>Flange connections at 020-PC-001A, 1m from the bottom</t>
  </si>
  <si>
    <t>Flange connections to 020-VZ-005, 1m from  the bottom</t>
  </si>
  <si>
    <t>Flange connections from 020-VZ-005, 1m from  the bottom</t>
  </si>
  <si>
    <t>Flange connections at 043-VZ-001, 1m from the bottom</t>
  </si>
  <si>
    <t>Flange connections at 043-VZ-002, 1m from the bottom</t>
  </si>
  <si>
    <t>Flange connections at 043-KZ-001, 1m from the bottom</t>
  </si>
  <si>
    <t>045-VZ-001, 045-VF-001A/B</t>
  </si>
  <si>
    <t>Flange connection at 057-VZ-001, 1m from the bottom</t>
  </si>
  <si>
    <t>12"-SDV-0003</t>
  </si>
  <si>
    <t>10"-SDV-0004</t>
  </si>
  <si>
    <t>10"-SDV-0004
10"-ESDV-0001</t>
  </si>
  <si>
    <t>8"-SDV-0002</t>
  </si>
  <si>
    <t>32"-ESDV-0002</t>
  </si>
  <si>
    <t>16"-SDV-0016
10"-SDV-0013
12"-SDV-0006A
12"-SDV-0006B</t>
  </si>
  <si>
    <t>2"-SDV-0014</t>
  </si>
  <si>
    <t xml:space="preserve">023-VZ-001(P03, deck A), 023-PE-001A/B(P03, Deck A) </t>
  </si>
  <si>
    <t>Description</t>
  </si>
  <si>
    <t>027-01-G</t>
  </si>
  <si>
    <t>Export compression train 1 &amp; 2</t>
  </si>
  <si>
    <t>4"-ESDV-0001</t>
  </si>
  <si>
    <t>LP separator and condensate transfer</t>
  </si>
  <si>
    <t>from 8"-ESDV-0009
to 6"-ESDV-0019</t>
  </si>
  <si>
    <t xml:space="preserve"> 12"-SDV-0004
</t>
  </si>
  <si>
    <t>12"-SDV-0010</t>
  </si>
  <si>
    <t xml:space="preserve"> 12"-SDV-0013</t>
  </si>
  <si>
    <t>12"-SDV-0016</t>
  </si>
  <si>
    <t>12"-ESDV-0001
 8"-ESDV-0002</t>
  </si>
  <si>
    <t>8"-ESDV-0009
 6"-ESDV-0019</t>
  </si>
  <si>
    <t>12”-SDV-0004
12”-SDV-0010
12”-SDV-0013
12”-SDV-0016
20"-SDV-0012</t>
  </si>
  <si>
    <t xml:space="preserve"> 10"-SDV-0001</t>
  </si>
  <si>
    <t xml:space="preserve"> 20"-SDV-0007
20"-SDV-0009
20"-SDV-0012
20"-SDV-0015
2"-SDV-0002
2"-SDV-0003
2"-SDV-0001A
2"-SDV-0001B
2"-SDV-0001A
3"-SDV-0002A
10"-SDV-0001
2"-SDV-0014</t>
  </si>
  <si>
    <t>from 10"-SDV-0004
to 2"-SDV-0031A
10"-ESDV-0001</t>
  </si>
  <si>
    <t>from 16"-SDV-0006
16"-SDV-0008
16"-SDV-0011
16"-SDV-0014
to 2"-SDV-0013
12"-SDV-0014</t>
  </si>
  <si>
    <t>16"-SDV-0006
16"-SDV-0008
16"-SDV-0011
16"-SDV-0014
 12"-SDV-0014</t>
  </si>
  <si>
    <t>from 14"-SDV-0020
3"-SDV-0004
6"-SDV-0001
3"-ESDV-0002
to 10"-SDV-0002
2"-SDV-0003</t>
  </si>
  <si>
    <t xml:space="preserve"> 14"-SDV-0020
3"-SDV-0004
6"-SDV-0001
3"-ESDV-0002
10"-SDV-0002</t>
  </si>
  <si>
    <t>from 10"-SDV-0002
2"-SDV-0003
2"-SDV-0017
10"-SDV-0018
12"-SDV-0021
to 10"-SDV-0013</t>
  </si>
  <si>
    <t>from 2"-SDV-0005A
12"-SDV-0006A
to 14"-SDV-0012A
2"-SDV-0011A</t>
  </si>
  <si>
    <t>from 2"-SDV-0011
20"-SDV-0012
2"-SDV-0011A
14"-SDV-0012A
2"-SDV-0011B
14"-SDV-0012B
to 20"-SDV-0008
2"-SDV-0009</t>
  </si>
  <si>
    <t>from 20"-SDV-0008
2"-SDV-0009
to 20"-SDV-0001
2"-SDV-0002</t>
  </si>
  <si>
    <t>from 20"-SDV-0001
2"-SDV-0002
to 20"-SDV-0005
2"-SDV-0006
4"-SDV-0003
2"-SDV-0004</t>
  </si>
  <si>
    <t>from 20"-SDV-0005
2"-SDV-0006
to 18"-SDV-0003</t>
  </si>
  <si>
    <t>from 18"-SDV-0003
to 4"-SDV-0011
16"-SDV-0009A
2"-SDV-0010A
16"-SDV-0009B
2"-SDV-0010B</t>
  </si>
  <si>
    <t>from 16"-ESDV-0001
2"-ESDV-0003
to 12"-ESDV-0041on swivel below
12"-ESDV-0051 on swivel below
12"-ESDV-0061 on swivel below</t>
  </si>
  <si>
    <t>from 8"-ESDV-0005
to 6"-SDV-0001</t>
  </si>
  <si>
    <t>from 3"-SDV-0005
3"-SDV-0006
to 3"-SDV-0005
2"-SDV-0006</t>
  </si>
  <si>
    <t>from 2"-SDV-0017
to 2"-SDV-0020
2"-SDV-0008
2"-SDV-0009
2"-SDV-0010
2"-SDV-0011
2"-SDV-0007</t>
  </si>
  <si>
    <t>Automatic
Blow down (Yes/No)</t>
  </si>
  <si>
    <t>Off-spec condensate</t>
  </si>
  <si>
    <t>Topsides MeOH tank</t>
  </si>
  <si>
    <t>MeOH Turret distribution pump</t>
  </si>
  <si>
    <t>MeOH Topsides distribution pump</t>
  </si>
  <si>
    <t>046-PR-001A/B/C,</t>
  </si>
  <si>
    <t>046-PR-002A/B</t>
  </si>
  <si>
    <t>Flange connections at 046-PR-001A/B/C, 1m from the bottom</t>
  </si>
  <si>
    <t>Flange connections at 046-PR-002A/B, 1m from the bottom</t>
  </si>
  <si>
    <t>046-VZ-001</t>
  </si>
  <si>
    <t>Flange connections at 046-VZ-001</t>
  </si>
  <si>
    <t>046-VF-001A, 046-PR-001A/B/C, 046-PR-002A/B</t>
  </si>
  <si>
    <t>Flange connections at 046-VZ-001, 1m from the bottom</t>
  </si>
  <si>
    <t>S01</t>
  </si>
  <si>
    <t>062-VF-001A/B(S02, deck A)</t>
  </si>
  <si>
    <t>080-UZ-002A/B/C(S1, deck A)
080-G-001A/B/C(S1, deck A)</t>
  </si>
  <si>
    <t>062-VF-001A/B</t>
  </si>
  <si>
    <t>080-UZ-002A/B/C
080-G-001A/B/C</t>
  </si>
  <si>
    <t>Flange connections at 062-VF-001A/B</t>
  </si>
  <si>
    <t>Flange connections at 062-VF-001A/B,  1m from the bottom</t>
  </si>
  <si>
    <t>Flange connections at GTG,  1m from the bottom</t>
  </si>
  <si>
    <t>Hull deck 
P05 below</t>
  </si>
  <si>
    <t>Hull deck
Below btw P04&amp;P05</t>
  </si>
  <si>
    <t>S05 deck A</t>
  </si>
  <si>
    <t>Flange connections at 024-ES-001</t>
  </si>
  <si>
    <t>Flange connections at 024-ES-001, 1m form the bottom</t>
  </si>
  <si>
    <t xml:space="preserve"> 045-HE-002(P03, deck B)</t>
  </si>
  <si>
    <t>045-VZ-001(P03, Deck A/B), 045-ES-001(P03, deckB), 045-VF-001A/B(P03, deck B)</t>
  </si>
  <si>
    <t>Fuel gas supply</t>
  </si>
  <si>
    <t>Liquid outlet from fuel gas scrubber</t>
  </si>
  <si>
    <t>Fuel gas distribution to GTG</t>
  </si>
  <si>
    <t>LP fuel gas</t>
  </si>
  <si>
    <t>080-G-001A/B/C</t>
  </si>
  <si>
    <t>Flange connections  at valve</t>
  </si>
  <si>
    <t>Buyback gas
(Fuel gas supply)</t>
  </si>
  <si>
    <t>Note for location</t>
  </si>
  <si>
    <t>S05 deck B, Turret
CMT: ESDV/SDV connections at S05 deck B</t>
  </si>
  <si>
    <t>Upstream
046-01-01(normal SDV-002)
Down -46-01-03/04 not normal</t>
  </si>
  <si>
    <t>Yes
8"-BDV-0001
6"-BDV-0002</t>
  </si>
  <si>
    <t>10"-ESDV-0001</t>
  </si>
  <si>
    <t>3"-ESDV-0002A
3"-ESDV-0002B</t>
  </si>
  <si>
    <t>from  2"-ESDV-0001 on swivel below
to 8"-ESDV-0020
6"-ESDV-0003
12"SDV-0004
16"-SDV-0006
20"-SDV-0007</t>
  </si>
  <si>
    <t>from 12"-ESDV-0001
to 8"-ESDV-0002
12"-ESDV-0013
8"-ESDV-0012
8"-ESDV-0020</t>
  </si>
  <si>
    <t>from 4"-ESDV-0001
to 3" -ESDV-0002A
3"-ESDV-0002B
3"-ESDV-0002C</t>
  </si>
  <si>
    <t>from 2"-SDV-0013
12"-SDV-0014
12"-SDV-0021
2"-SDV-0015
16"-SDV-0016
10"-SDV-0013
to 12"-SDV-0006A
2"-SDV-0005A
12"-SDV-0006B
2"-SDV-0005B</t>
  </si>
  <si>
    <t>from 12"-SDV-0003A
2"-SDV-0004A
12"-SDV-0003B
2"-SDV-0004B
to 16"-ESDV-0001
2"-ESDV-0003
4"-ESDV-0021
3"-SDV-0005
3"-SDV-0006</t>
  </si>
  <si>
    <t>Upstream043-02-01(normal, ESDV-0005, 60.2)
Down stream023-01-01(normal, ESDV-0001,33.7)</t>
  </si>
  <si>
    <t>2"-SDV-0017
2"-SDV-0020
2"-SDV-0008
2"-SDV-0009
2"-SDV-0010
2"-SDV-0011
2"-SDV-0007</t>
  </si>
  <si>
    <t>013-01-N1-G</t>
  </si>
  <si>
    <t>013-05-L</t>
  </si>
  <si>
    <t>013-06-L</t>
  </si>
  <si>
    <t>020-01-01-G</t>
  </si>
  <si>
    <t>020-01-02-L</t>
  </si>
  <si>
    <t>020-02-01-Li</t>
  </si>
  <si>
    <t>020-02-02-G</t>
  </si>
  <si>
    <t>020-02-03-Lo</t>
  </si>
  <si>
    <t>020-03-01-Li</t>
  </si>
  <si>
    <t>020-03-02-G</t>
  </si>
  <si>
    <t>020-03-03-Lo</t>
  </si>
  <si>
    <t>020-04-01-L</t>
  </si>
  <si>
    <t>020-04-02-G</t>
  </si>
  <si>
    <t>020-05-01-G</t>
  </si>
  <si>
    <t>020-05-02-L</t>
  </si>
  <si>
    <t>023-01-02-L</t>
  </si>
  <si>
    <t>023-02-02-L</t>
  </si>
  <si>
    <t>023-03-02-L</t>
  </si>
  <si>
    <t>023-03-03-L</t>
  </si>
  <si>
    <t>023-04-G</t>
  </si>
  <si>
    <t>024-01-01-G</t>
  </si>
  <si>
    <t>024-01-02-L</t>
  </si>
  <si>
    <t>024-02-G</t>
  </si>
  <si>
    <t>024-03-01-G</t>
  </si>
  <si>
    <t>024-03-02-L</t>
  </si>
  <si>
    <t>025-01-01-G</t>
  </si>
  <si>
    <t>025-01-02-L</t>
  </si>
  <si>
    <t>025-02-01-G</t>
  </si>
  <si>
    <t>025-02-02-L</t>
  </si>
  <si>
    <t>027-02-G</t>
  </si>
  <si>
    <t>027-03-G</t>
  </si>
  <si>
    <t>043-01-01-G</t>
  </si>
  <si>
    <t>043-01-02-L</t>
  </si>
  <si>
    <t>043-02-01-G</t>
  </si>
  <si>
    <t>043-02-02-L</t>
  </si>
  <si>
    <t>043-03-G</t>
  </si>
  <si>
    <t>045-02-01-G</t>
  </si>
  <si>
    <t>045-02-02-L</t>
  </si>
  <si>
    <t>045-03-G</t>
  </si>
  <si>
    <t>045-04-G</t>
  </si>
  <si>
    <t>046-01-01-L</t>
  </si>
  <si>
    <t>046-01-02-L</t>
  </si>
  <si>
    <t>046-01-03-L</t>
  </si>
  <si>
    <t>046-01-04-L</t>
  </si>
  <si>
    <t>046-02-L</t>
  </si>
  <si>
    <t>046-03-L</t>
  </si>
  <si>
    <t>046-04-L</t>
  </si>
  <si>
    <t>057-01-01-G</t>
  </si>
  <si>
    <t>057-01-02-L</t>
  </si>
  <si>
    <t>131-01-L</t>
  </si>
  <si>
    <t>131-02-L</t>
  </si>
  <si>
    <t>Utilisation factor</t>
  </si>
  <si>
    <t>Note for utilisation factor</t>
  </si>
  <si>
    <t>Normal operation</t>
  </si>
  <si>
    <t>2 times a month
(7 days per an operation)</t>
  </si>
  <si>
    <t>6 times a year
1 day per an operation</t>
  </si>
  <si>
    <t>Utiltisation factor of 131-02
once in every  20 days
1 day  per an operation</t>
  </si>
  <si>
    <t>Normal operation
considering two trains</t>
  </si>
  <si>
    <t>Once a year
7 days per an opeation</t>
  </si>
  <si>
    <t>once in every 20 days
1 day  per an operation</t>
  </si>
  <si>
    <t>from 3"-ESDV-0001
to 4"-SDV -0002</t>
  </si>
  <si>
    <t>4"-SDV-0002</t>
  </si>
  <si>
    <t>BDV(primary) diameter</t>
  </si>
  <si>
    <t>045-01-G</t>
  </si>
  <si>
    <t>NA</t>
  </si>
  <si>
    <t xml:space="preserve">023-ES-001, 023-VZ-001, 023-KZ-001(023-VZ-001, 023-VZ-201) </t>
  </si>
  <si>
    <t>024-ES-001, 025-ES-001(S03), 
024-VF-001A(P03)</t>
  </si>
  <si>
    <t>Stream no. of HMB</t>
  </si>
  <si>
    <t>SHI, Ref. (1)</t>
  </si>
  <si>
    <t>1, SHI Ref. (1)</t>
  </si>
  <si>
    <t>3-1, SHI Ref. (1)</t>
  </si>
  <si>
    <t>13, 4 of PRD 5203-02</t>
  </si>
  <si>
    <t>405, Ref.2</t>
  </si>
  <si>
    <t>3-1, Ref.2</t>
  </si>
  <si>
    <t>405, Ref. 3</t>
  </si>
  <si>
    <t>11-1, Ref. 3</t>
  </si>
  <si>
    <t>107, 1of PRD 0001-24</t>
  </si>
  <si>
    <t>13, 1 of PRD 5203-02</t>
  </si>
  <si>
    <t>2 of PRD 0001-35</t>
  </si>
  <si>
    <t>3 of PRD 0001-35</t>
  </si>
  <si>
    <t>2 of PRD 5203-06</t>
  </si>
  <si>
    <t>3 of PRD 0001-31</t>
  </si>
  <si>
    <t>2 of PRD 0001-31</t>
  </si>
  <si>
    <t>1 of PRD 0001-31</t>
  </si>
  <si>
    <t>Iso time (t2)</t>
  </si>
  <si>
    <t>Detection time (t1)</t>
  </si>
  <si>
    <t>Vp (m3), Ref. [16]</t>
  </si>
  <si>
    <t>Veq (m3), Ref. [16]</t>
  </si>
  <si>
    <t>Density [kg/m3]</t>
  </si>
  <si>
    <t>Orifice dia
(mm)</t>
  </si>
  <si>
    <t>BD time (t3)</t>
  </si>
  <si>
    <t>Biggest ESDV/ SDV [inch]</t>
  </si>
  <si>
    <t xml:space="preserve">Phase </t>
  </si>
  <si>
    <t>046-VZ-001(P02 deckB)</t>
  </si>
  <si>
    <t>046-VF-001A(P02, deckB), 046-PR-001A/B/C(P02 deckA), 046-PR-002A/B(P02 deckA)</t>
  </si>
  <si>
    <t>Piping between Topsides MeOH tank and distribution pumps</t>
  </si>
  <si>
    <t>MeOH distribution piping to Turret</t>
  </si>
  <si>
    <t>MeOH distribution pipign to  Topsides</t>
  </si>
  <si>
    <t xml:space="preserve">Piping betwwen Hull MeOH storage tank to Topside MeOH storage tank </t>
  </si>
  <si>
    <t>C</t>
  </si>
  <si>
    <t>025-VZ-002(P04, deckA), 025-EM-002(P04, deck C)</t>
  </si>
  <si>
    <t>025-EM-002(P04, deck C), 025-VZ-001(P04, deckB)</t>
  </si>
  <si>
    <t>Top flange connection of 025-VZ-002</t>
  </si>
  <si>
    <t>025-HE-001(P04, deckB), 025-VC-001A/B(P04, Deck B), 025-VF-001A(P04, deck A)</t>
  </si>
  <si>
    <t>Top flange into 025-VC-001A/B(P04, Deck C),</t>
  </si>
  <si>
    <t>Flange connection to 025-VF-001A(P04, deck A)</t>
  </si>
  <si>
    <t>Flange connection to 024-ES-001</t>
  </si>
  <si>
    <t>Top flange connection of 024-VC-001</t>
  </si>
  <si>
    <t>Bottom flange of 024-VC-001</t>
  </si>
  <si>
    <t>025-ES-001(S03, DeckB), 043-PE-001A/B(Hull), 043-PE-002A/B(hull),057-PE-001A/B(hull), 020-ES-001(s04, deck b)
020-VZ-003(S04, deck B)</t>
  </si>
  <si>
    <t>Flange connection to 013-PC-001</t>
  </si>
  <si>
    <t>Flange connection to 013-PC-002</t>
  </si>
  <si>
    <t>Flange connection to 020-VZ-002</t>
  </si>
  <si>
    <t>Flange connection from 020-VZ-002</t>
  </si>
  <si>
    <t>Flange connection to 020-VZ-003</t>
  </si>
  <si>
    <t>Flange connection from 020-VZ-003</t>
  </si>
  <si>
    <t>Flange connection at 020-VZ-006</t>
  </si>
  <si>
    <t xml:space="preserve">020-ES-002, 020-VZ-004(S04, deck B), 020-PC-001A/B/C, 020-ES-001, 020-VF-001A, 020-VF-002A, 020-EP-002A                 </t>
  </si>
  <si>
    <t>Top flange connection at 020-VZ-004</t>
  </si>
  <si>
    <t>Top flange connection at 020-VZ-005</t>
  </si>
  <si>
    <t>Bottom flange connection at 020-VZ-005</t>
  </si>
  <si>
    <t>Flange connection at 021-UN-001</t>
  </si>
  <si>
    <t>Flange connection at 023-PE-001</t>
  </si>
  <si>
    <t>023-ES-001(P03, deck B),</t>
  </si>
  <si>
    <t xml:space="preserve"> 023-VZ-001(P03, deck A), 023-KZ-001(P03, deckA) </t>
  </si>
  <si>
    <t>Flange connection at 023-ES-001</t>
  </si>
  <si>
    <t>Flange connection at 023-KZ-001</t>
  </si>
  <si>
    <t xml:space="preserve">023-ES-002(P03, deck B), </t>
  </si>
  <si>
    <t xml:space="preserve">023-VZ-002(P03, DeckA), 023-KZ-002(deck A) </t>
  </si>
  <si>
    <t>023-VZ-002(P03, DeckA),</t>
  </si>
  <si>
    <t>Flange connection at 023-ES-002</t>
  </si>
  <si>
    <t>Flange connection at 023-VZ-002</t>
  </si>
  <si>
    <t>Flange connection at 023-KZ-002</t>
  </si>
  <si>
    <t>Flange connection at 023-VZ-003A</t>
  </si>
  <si>
    <t>Flange connection at 023-VZ-004A</t>
  </si>
  <si>
    <t>Flange connection at 023-KZ-003A</t>
  </si>
  <si>
    <t>Flange connections at 023-ES-004A</t>
  </si>
  <si>
    <t>023-ES-003A(S03, DeckB),023-ES-004A(S03, deck B),</t>
  </si>
  <si>
    <t>023-VZ-003A(S03, Deck A), 023-KZ-003A(S03, deckA), 023-VZ-004A(S03. deck A), 023-KZ-004A (S03, deckA)</t>
  </si>
  <si>
    <t>023-VZ-003A(S03, Deck A)</t>
  </si>
  <si>
    <t>023-VZ-004A(S03. deck A)</t>
  </si>
  <si>
    <t>Piping lines to 023-ES-003A</t>
  </si>
  <si>
    <t>027-VZ-001A(P05, deckA), 027-KZ-001A(P05, deck A),</t>
  </si>
  <si>
    <t xml:space="preserve"> 027-ES-001A(P05, deck B) </t>
  </si>
  <si>
    <t>Flange connection at 027-KZ-001A</t>
  </si>
  <si>
    <t>Flange connection at 027-UN-001</t>
  </si>
  <si>
    <t>Top flange connections at 043-VZ-001</t>
  </si>
  <si>
    <t>Bottom flange connections at 043-VZ-001</t>
  </si>
  <si>
    <t>Bottom flange connection at 045-VZ-001</t>
  </si>
  <si>
    <t>045-VZ-001(P03, Deck A/B)</t>
  </si>
  <si>
    <t>Top flange connection at 045-VZ-001</t>
  </si>
  <si>
    <t>Flange connections at piiping lines from 045-ES-001</t>
  </si>
  <si>
    <t>45-ES-001(P03, deckB),</t>
  </si>
  <si>
    <t>Flange connection to 046-VZ-001(P02 deckB)</t>
  </si>
  <si>
    <t>Flange connection from 046-VF-001A(P02, deckB)</t>
  </si>
  <si>
    <t xml:space="preserve">046-PR-001A/B/C(P02 deckA), </t>
  </si>
  <si>
    <t>046-PR-002A/B(P02 deckA)</t>
  </si>
  <si>
    <t>Flange connection at 046-PR-001A</t>
  </si>
  <si>
    <t>Flange connection at 046-PR-002A</t>
  </si>
  <si>
    <t>Flange connection at MeOH Hull tank</t>
  </si>
  <si>
    <t>Top flange connection at 057-VZ-001</t>
  </si>
  <si>
    <t>Bottom flange connection at 057-VZ-001</t>
  </si>
  <si>
    <t>062-01-01-L</t>
  </si>
  <si>
    <t>062-01-02-L</t>
  </si>
  <si>
    <t>Flange connection at 062-VF-001</t>
  </si>
  <si>
    <t>Flange connection at valve to liquid fuel console</t>
  </si>
  <si>
    <t>Modelling location</t>
  </si>
  <si>
    <t>Flange at R02 ~ R05</t>
  </si>
  <si>
    <t>021-01-02-L</t>
  </si>
  <si>
    <t>021-01-01-L</t>
  </si>
  <si>
    <t>Offloading hose reel</t>
  </si>
  <si>
    <t>Flange connection at hose reel</t>
  </si>
  <si>
    <t>021-02-L</t>
  </si>
  <si>
    <t>32"-ESDV-0001</t>
  </si>
  <si>
    <t>Upstream
021-01-L(ESDV-0001, 78.1)</t>
  </si>
  <si>
    <r>
      <rPr>
        <b/>
        <sz val="12"/>
        <color theme="1"/>
        <rFont val="Frutiger LT 45 Light"/>
        <family val="2"/>
      </rPr>
      <t>*013-02 operates on demand</t>
    </r>
    <r>
      <rPr>
        <sz val="12"/>
        <color theme="1"/>
        <rFont val="Frutiger LT 45 Light"/>
        <family val="2"/>
      </rPr>
      <t xml:space="preserve">
Upstream
131-02(-nor mormal, ESDV-0001, 121)
downstream
131-01(not-normal, ESDV-0002, 15.92) 
013-01(-not normal, 14.6) with check valve</t>
    </r>
  </si>
  <si>
    <r>
      <rPr>
        <b/>
        <sz val="12"/>
        <color theme="1"/>
        <rFont val="Frutiger LT 45 Light"/>
        <family val="2"/>
      </rPr>
      <t xml:space="preserve">*013-02 operates on demand
</t>
    </r>
    <r>
      <rPr>
        <sz val="12"/>
        <color theme="1"/>
        <rFont val="Frutiger LT 45 Light"/>
        <family val="2"/>
      </rPr>
      <t>Upstream
131-02(-nor mormal, ESDV-0009, 121)
Downstream
020-03-01(-normally closed, ESDV-0019, 20) with check valve</t>
    </r>
  </si>
  <si>
    <t>Downstream
020-02-01(-normal, SDV-0001, 22.7) with check valve</t>
  </si>
  <si>
    <t>Downstream
023-02-01(-normal, SDV-0018, 26.7) with check valve</t>
  </si>
  <si>
    <t>Downstream
023-01-01(-normal, SDV-0020, 34.3) with check valve</t>
  </si>
  <si>
    <t>Downstream
020-03-01(-normal, SDV-0020, 20.6)</t>
  </si>
  <si>
    <t xml:space="preserve">Downstream
020-03-01(-normally , SDV-0004, 20.6) </t>
  </si>
  <si>
    <t xml:space="preserve">Downstream
020-02-01(-normal, SDV-0002A or SDV-0001A, 22.7) </t>
  </si>
  <si>
    <t>Downstream
020-03-01(-normally,SDV-0004,20.6)</t>
  </si>
  <si>
    <t>Down stream
020-03-01(-normally, SDV-0005, 20.6)</t>
  </si>
  <si>
    <t>Upstream
027-01-01(normal, SDV-0003A or SDV-0003B, 73.3)
025-02-01(NC valve)
downstream
027-03(normal, ESDV-0001, 18)
045-01(normal, SDV-0005, 1.5)
013-01-04(NC, ESDV-0021)</t>
  </si>
  <si>
    <t>Downstream 
023-01-01(normally, ESDV-0002, 34.3)</t>
  </si>
  <si>
    <t>Downstream
020-03-01(Open when pump operates, ESDV-0003, 20.6)</t>
  </si>
  <si>
    <t>Downstream
020-03-01(Open when pump operates, ESDV-0006, 20.6)</t>
  </si>
  <si>
    <t>Upstream
045-02-01(normal, SDV-0017, 69.3)</t>
  </si>
  <si>
    <t>Upstream046-01-03</t>
  </si>
  <si>
    <t>Upstream046-01-04</t>
  </si>
  <si>
    <t>down stream
046-01(normal ESDV-0001, 9.7)</t>
  </si>
  <si>
    <t>Downstream
020-03-01(ESDV-0001, open when pump operates)- however this case is considered</t>
  </si>
  <si>
    <t>Upstream
---from Hull ESDV-0001(no section) - however this is considered with assumed volume (3)
Downstream
062-01-02(ESDV 0002A or B-not filled during normal )</t>
  </si>
  <si>
    <t>Upstream
062-01-01(ESDV-0002A or B,, 3.1)</t>
  </si>
  <si>
    <t>Downstream
013-02-01(NC, ESDV-0001 open when pump operates)
013-02-02(NC, ESDV-0009 open when pump operated)
021-01(ESDV-0002, 78.1)</t>
  </si>
  <si>
    <t>Flange connections of piping at S05 deck B(piping area)</t>
  </si>
  <si>
    <t>X</t>
  </si>
  <si>
    <t>Y</t>
  </si>
  <si>
    <t>Z</t>
  </si>
  <si>
    <t>Flange connections at piping</t>
  </si>
  <si>
    <t>131-UZ-001</t>
  </si>
  <si>
    <t>Flange connections of piping line to 023-ES-003A</t>
  </si>
  <si>
    <t>Piping flange connections from absorber oulet &amp; heat exchanger</t>
  </si>
  <si>
    <t>Top flange into 025-VC-001A/B</t>
  </si>
  <si>
    <t>Top flange connection of 025-VZ-001 (P04 Deck C)</t>
  </si>
  <si>
    <t>Bottom flange connection of 025-VZ-001</t>
  </si>
  <si>
    <t>Bottom flange connection of 025-VZ-002</t>
  </si>
  <si>
    <t>Flange connection to 027-ES-001A</t>
  </si>
  <si>
    <t>Flange connection of piping at P05 deck B(piping area)</t>
  </si>
  <si>
    <t>Top flange connections at 043-VZ-002</t>
  </si>
  <si>
    <t>Bottom flange connections at 043-VZ-002</t>
  </si>
  <si>
    <t>Flange connections at valve</t>
  </si>
  <si>
    <t>Flange connection from 046-VF-001A</t>
  </si>
  <si>
    <t>Flange connection at R02 ~ R05</t>
  </si>
  <si>
    <t>Isolatable section</t>
  </si>
  <si>
    <t>T 
[degC]</t>
  </si>
  <si>
    <t>P 
[bara]</t>
  </si>
  <si>
    <t>Vp&amp;eq [m3]</t>
  </si>
  <si>
    <t>023-01-01-G-DA</t>
  </si>
  <si>
    <t>023-02-01-G-DB</t>
  </si>
  <si>
    <t>023-02-01-G-DA</t>
  </si>
  <si>
    <t>023-03-01-G-DB</t>
  </si>
  <si>
    <t>023-03-01-G-DA</t>
  </si>
  <si>
    <t>024-02-G-DA</t>
  </si>
  <si>
    <t>024-02-G-DB</t>
  </si>
  <si>
    <t>024-02-G-DC</t>
  </si>
  <si>
    <t>027-01-G-DA</t>
  </si>
  <si>
    <t>027-01-G-DB</t>
  </si>
  <si>
    <t>ULF Seg No</t>
  </si>
  <si>
    <t>027-01-G-DC</t>
  </si>
  <si>
    <t>023-03-01-G-DC</t>
  </si>
  <si>
    <t>P05 Deck C</t>
  </si>
  <si>
    <t>Leak freq. Dist.
(%)</t>
  </si>
  <si>
    <t xml:space="preserve">Production manifold, 020-VZ-001 </t>
  </si>
  <si>
    <t xml:space="preserve">020-VZ-001 </t>
  </si>
  <si>
    <t xml:space="preserve">HP manifold, 020-VZ-002 </t>
  </si>
  <si>
    <t>021-UN-001, piping</t>
  </si>
  <si>
    <t>DO supply line</t>
  </si>
  <si>
    <t>DO distribution to GTG</t>
  </si>
  <si>
    <t>Vadj
[Kg]</t>
  </si>
  <si>
    <t>Vadj
[m3]</t>
  </si>
  <si>
    <t>Release location</t>
  </si>
  <si>
    <t>FBR</t>
  </si>
  <si>
    <t>Note for FBR</t>
  </si>
  <si>
    <t>MA</t>
  </si>
  <si>
    <t>fwd-port</t>
  </si>
  <si>
    <t>Flange connection</t>
  </si>
  <si>
    <t>aft-port</t>
  </si>
  <si>
    <t>fwd-stbd</t>
  </si>
  <si>
    <t>aft-stbd</t>
  </si>
  <si>
    <t>024-ES-001(S03, deckB), 025-ES-001(S03, deckB), 024-VF-001A(P04, deckA)</t>
  </si>
  <si>
    <t>Flange connection of 024-VF-001A (P04, deckA)</t>
  </si>
  <si>
    <t>Flange connection at valve</t>
  </si>
  <si>
    <t>Flange connections at piping linese from 045-ES-001</t>
  </si>
  <si>
    <t>013-01-N2-G</t>
  </si>
  <si>
    <t>013-01-C1-G</t>
  </si>
  <si>
    <t>013-01-C2-G</t>
  </si>
  <si>
    <t>Flowline (C1), production swivel No. 3</t>
  </si>
  <si>
    <t>Flowline (C2), production swivel No.4</t>
  </si>
  <si>
    <t>Process identifier</t>
  </si>
  <si>
    <t>slug catr</t>
  </si>
  <si>
    <t>from 2"-SDV-0024
4"-SDV-0011
4"-SDV-0003
2"-SDV-0004
2"-SDV-0001
3"-SDV-0005
2"-SDV-0006
to 2"-SDV-0017
2"-SDV-0021
6"-ESDV-XXXX</t>
  </si>
  <si>
    <t>4"-SDV-0003
3"-SDV-0005
2"-SDV-0017
2"-SDV-0021
6"-ESDV-XXXX</t>
  </si>
  <si>
    <r>
      <rPr>
        <sz val="12"/>
        <color rgb="FFFF0000"/>
        <rFont val="Frutiger LT 45 Light"/>
        <family val="2"/>
      </rPr>
      <t>from 020-VZ-001</t>
    </r>
    <r>
      <rPr>
        <sz val="12"/>
        <color theme="1"/>
        <rFont val="Frutiger LT 45 Light"/>
        <family val="2"/>
      </rPr>
      <t xml:space="preserve">
to 10"-SDV-0001</t>
    </r>
  </si>
  <si>
    <r>
      <rPr>
        <sz val="12"/>
        <color rgb="FFFF0000"/>
        <rFont val="Frutiger LT 45 Light"/>
        <family val="2"/>
      </rPr>
      <t>from 020-VZ-002</t>
    </r>
    <r>
      <rPr>
        <sz val="12"/>
        <color theme="1"/>
        <rFont val="Frutiger LT 45 Light"/>
        <family val="2"/>
      </rPr>
      <t xml:space="preserve">
to 2"-SDV-0015
16"-SDV-0016</t>
    </r>
  </si>
  <si>
    <r>
      <rPr>
        <sz val="12"/>
        <color rgb="FFFF0000"/>
        <rFont val="Frutiger LT 45 Light"/>
        <family val="2"/>
      </rPr>
      <t>from 020-VZ-002</t>
    </r>
    <r>
      <rPr>
        <sz val="12"/>
        <color theme="1"/>
        <rFont val="Frutiger LT 45 Light"/>
        <family val="2"/>
      </rPr>
      <t xml:space="preserve">
to 12"-SDV-0003
10"-SDV-0005</t>
    </r>
  </si>
  <si>
    <r>
      <t xml:space="preserve">from 6"-SDV-0004
8"-SDV-0005
8"-SDV-0002
12"-SDV-0003
2"-SDV-0020
6"-ESDV-0003
4"-ESDV-0006
6"-ESDV-0001
3"-ESDV-0002
6"-ESDV-0019
4"-SDV-0007A
4"-SDV-0010A
4"-SDV-0007B
4"-SDV-0010B
2"-SDV-0003
</t>
    </r>
    <r>
      <rPr>
        <sz val="12"/>
        <color rgb="FFFF0000"/>
        <rFont val="Frutiger LT 45 Light"/>
        <family val="2"/>
      </rPr>
      <t>to 020-VZ-003</t>
    </r>
  </si>
  <si>
    <r>
      <rPr>
        <sz val="12"/>
        <color rgb="FFFF0000"/>
        <rFont val="Frutiger LT 45 Light"/>
        <family val="2"/>
      </rPr>
      <t>from 020-VZ-003</t>
    </r>
    <r>
      <rPr>
        <sz val="12"/>
        <color theme="1"/>
        <rFont val="Frutiger LT 45 Light"/>
        <family val="2"/>
      </rPr>
      <t xml:space="preserve">
to 2"-SDV-0017
10"-SDV-0018</t>
    </r>
  </si>
  <si>
    <r>
      <rPr>
        <sz val="12"/>
        <color rgb="FFFF0000"/>
        <rFont val="Frutiger LT 45 Light"/>
        <family val="2"/>
      </rPr>
      <t>from 020-VZ-003</t>
    </r>
    <r>
      <rPr>
        <sz val="12"/>
        <color theme="1"/>
        <rFont val="Frutiger LT 45 Light"/>
        <family val="2"/>
      </rPr>
      <t xml:space="preserve">
to 6"-SDV-0006
4"-SDV-0007
10"-SDV-0004</t>
    </r>
  </si>
  <si>
    <r>
      <rPr>
        <sz val="12"/>
        <color rgb="FFFF0000"/>
        <rFont val="Frutiger LT 45 Light"/>
        <family val="2"/>
      </rPr>
      <t>from 020-VZ-004</t>
    </r>
    <r>
      <rPr>
        <sz val="12"/>
        <color theme="1"/>
        <rFont val="Frutiger LT 45 Light"/>
        <family val="2"/>
      </rPr>
      <t xml:space="preserve">
to 14"-SDV-0020</t>
    </r>
  </si>
  <si>
    <r>
      <rPr>
        <sz val="12"/>
        <color rgb="FFFF0000"/>
        <rFont val="Frutiger LT 45 Light"/>
        <family val="2"/>
      </rPr>
      <t>from 020-VZ-005</t>
    </r>
    <r>
      <rPr>
        <sz val="12"/>
        <color theme="1"/>
        <rFont val="Frutiger LT 45 Light"/>
        <family val="2"/>
      </rPr>
      <t xml:space="preserve">
to 8"-SDV-0002
4"-SDV-0022</t>
    </r>
  </si>
  <si>
    <r>
      <t xml:space="preserve">from 32"-ESDV-0002
</t>
    </r>
    <r>
      <rPr>
        <sz val="12"/>
        <color rgb="FFFF0000"/>
        <rFont val="Frutiger LT 45 Light"/>
        <family val="2"/>
      </rPr>
      <t>to</t>
    </r>
    <r>
      <rPr>
        <sz val="12"/>
        <color theme="1"/>
        <rFont val="Frutiger LT 45 Light"/>
        <family val="2"/>
      </rPr>
      <t xml:space="preserve"> 32"-ESDV-0001</t>
    </r>
  </si>
  <si>
    <r>
      <t xml:space="preserve">from 32"-ESDV-0001
</t>
    </r>
    <r>
      <rPr>
        <sz val="12"/>
        <color rgb="FFFF0000"/>
        <rFont val="Frutiger LT 45 Light"/>
        <family val="2"/>
      </rPr>
      <t>to Stern discharge system</t>
    </r>
  </si>
  <si>
    <r>
      <rPr>
        <sz val="12"/>
        <color rgb="FFFF0000"/>
        <rFont val="Frutiger LT 45 Light"/>
        <family val="2"/>
      </rPr>
      <t>from 023-VZ-001</t>
    </r>
    <r>
      <rPr>
        <sz val="12"/>
        <color theme="1"/>
        <rFont val="Frutiger LT 45 Light"/>
        <family val="2"/>
      </rPr>
      <t xml:space="preserve">
to 2"-SDV-0020</t>
    </r>
  </si>
  <si>
    <r>
      <rPr>
        <sz val="12"/>
        <color rgb="FFFF0000"/>
        <rFont val="Frutiger LT 45 Light"/>
        <family val="2"/>
      </rPr>
      <t>from 023-VZ-002</t>
    </r>
    <r>
      <rPr>
        <sz val="12"/>
        <color theme="1"/>
        <rFont val="Frutiger LT 45 Light"/>
        <family val="2"/>
      </rPr>
      <t xml:space="preserve">
to 3"-SDV-0004</t>
    </r>
  </si>
  <si>
    <r>
      <rPr>
        <sz val="12"/>
        <color rgb="FFFF0000"/>
        <rFont val="Frutiger LT 45 Light"/>
        <family val="2"/>
      </rPr>
      <t>from 023-VZ-003A</t>
    </r>
    <r>
      <rPr>
        <sz val="12"/>
        <color theme="1"/>
        <rFont val="Frutiger LT 45 Light"/>
        <family val="2"/>
      </rPr>
      <t xml:space="preserve">
to 4"-SDV-0007A</t>
    </r>
  </si>
  <si>
    <r>
      <rPr>
        <sz val="12"/>
        <color rgb="FFFF0000"/>
        <rFont val="Frutiger LT 45 Light"/>
        <family val="2"/>
      </rPr>
      <t>from 023-VZ-004A</t>
    </r>
    <r>
      <rPr>
        <sz val="12"/>
        <color theme="1"/>
        <rFont val="Frutiger LT 45 Light"/>
        <family val="2"/>
      </rPr>
      <t xml:space="preserve">
to 4"-SDV-0010A</t>
    </r>
  </si>
  <si>
    <r>
      <rPr>
        <sz val="12"/>
        <color rgb="FFFF0000"/>
        <rFont val="Frutiger LT 45 Light"/>
        <family val="2"/>
      </rPr>
      <t>from 024-VF-001A</t>
    </r>
    <r>
      <rPr>
        <sz val="12"/>
        <color theme="1"/>
        <rFont val="Frutiger LT 45 Light"/>
        <family val="2"/>
      </rPr>
      <t xml:space="preserve">
to 2"-SDV-0001A
3"-SDV-0002A</t>
    </r>
  </si>
  <si>
    <r>
      <rPr>
        <sz val="12"/>
        <color rgb="FFFF0000"/>
        <rFont val="Frutiger LT 45 Light"/>
        <family val="2"/>
      </rPr>
      <t>from 024-VC-001</t>
    </r>
    <r>
      <rPr>
        <sz val="12"/>
        <color theme="1"/>
        <rFont val="Frutiger LT 45 Light"/>
        <family val="2"/>
      </rPr>
      <t xml:space="preserve">
to 2"-SDV-0014
3"-SDV-0011
3"-SDV-0012</t>
    </r>
  </si>
  <si>
    <r>
      <rPr>
        <sz val="12"/>
        <color rgb="FFFF0000"/>
        <rFont val="Frutiger LT 45 Light"/>
        <family val="2"/>
      </rPr>
      <t>from 024-VZ-001</t>
    </r>
    <r>
      <rPr>
        <sz val="12"/>
        <color theme="1"/>
        <rFont val="Frutiger LT 45 Light"/>
        <family val="2"/>
      </rPr>
      <t xml:space="preserve">
to 6"-SDV-0004</t>
    </r>
  </si>
  <si>
    <r>
      <rPr>
        <sz val="12"/>
        <color rgb="FFFF0000"/>
        <rFont val="Frutiger LT 45 Light"/>
        <family val="2"/>
      </rPr>
      <t>from 025-VZ-002</t>
    </r>
    <r>
      <rPr>
        <sz val="12"/>
        <color theme="1"/>
        <rFont val="Frutiger LT 45 Light"/>
        <family val="2"/>
      </rPr>
      <t xml:space="preserve">
to 8"-SDV-0005</t>
    </r>
  </si>
  <si>
    <r>
      <rPr>
        <sz val="12"/>
        <color rgb="FFFF0000"/>
        <rFont val="Frutiger LT 45 Light"/>
        <family val="2"/>
      </rPr>
      <t>from 043-VZ-001</t>
    </r>
    <r>
      <rPr>
        <sz val="12"/>
        <color theme="1"/>
        <rFont val="Frutiger LT 45 Light"/>
        <family val="2"/>
      </rPr>
      <t xml:space="preserve">
to 3"-ESDV-0002</t>
    </r>
  </si>
  <si>
    <r>
      <rPr>
        <sz val="12"/>
        <color rgb="FFFF0000"/>
        <rFont val="Frutiger LT 45 Light"/>
        <family val="2"/>
      </rPr>
      <t>from 043-VZ-001</t>
    </r>
    <r>
      <rPr>
        <sz val="12"/>
        <color theme="1"/>
        <rFont val="Frutiger LT 45 Light"/>
        <family val="2"/>
      </rPr>
      <t xml:space="preserve">
to 6"-ESDV-0003</t>
    </r>
  </si>
  <si>
    <r>
      <rPr>
        <sz val="12"/>
        <color rgb="FFFF0000"/>
        <rFont val="Frutiger LT 45 Light"/>
        <family val="2"/>
      </rPr>
      <t>from 043-VZ-002</t>
    </r>
    <r>
      <rPr>
        <sz val="12"/>
        <color theme="1"/>
        <rFont val="Frutiger LT 45 Light"/>
        <family val="2"/>
      </rPr>
      <t xml:space="preserve">
to 8"-ESDV-0005</t>
    </r>
  </si>
  <si>
    <r>
      <rPr>
        <sz val="12"/>
        <color rgb="FFFF0000"/>
        <rFont val="Frutiger LT 45 Light"/>
        <family val="2"/>
      </rPr>
      <t>from 043-VZ-002</t>
    </r>
    <r>
      <rPr>
        <sz val="12"/>
        <color theme="1"/>
        <rFont val="Frutiger LT 45 Light"/>
        <family val="2"/>
      </rPr>
      <t xml:space="preserve">
to 4"-ESDV-0006</t>
    </r>
  </si>
  <si>
    <r>
      <t xml:space="preserve">from 6"-ESDV-XXXX
</t>
    </r>
    <r>
      <rPr>
        <sz val="12"/>
        <color rgb="FFFF0000"/>
        <rFont val="Frutiger LT 45 Light"/>
        <family val="2"/>
      </rPr>
      <t>to 080-G-001A/B/C</t>
    </r>
  </si>
  <si>
    <r>
      <t xml:space="preserve">from 4"-SDV-0002
</t>
    </r>
    <r>
      <rPr>
        <sz val="12"/>
        <color rgb="FFFF0000"/>
        <rFont val="Frutiger LT 45 Light"/>
        <family val="2"/>
      </rPr>
      <t xml:space="preserve">to 046-PR-001A/B/C, 046-PR-002A/B </t>
    </r>
  </si>
  <si>
    <r>
      <rPr>
        <sz val="12"/>
        <color rgb="FFFF0000"/>
        <rFont val="Frutiger LT 45 Light"/>
        <family val="2"/>
      </rPr>
      <t>from 046-PR-001A/B/C</t>
    </r>
    <r>
      <rPr>
        <sz val="12"/>
        <color theme="1"/>
        <rFont val="Frutiger LT 45 Light"/>
        <family val="2"/>
      </rPr>
      <t xml:space="preserve">
to 3"-ESDV-0003A
3"-ESDV-0003B
3"-ESDV-0003C</t>
    </r>
  </si>
  <si>
    <r>
      <rPr>
        <sz val="12"/>
        <color rgb="FFFF0000"/>
        <rFont val="Frutiger LT 45 Light"/>
        <family val="2"/>
      </rPr>
      <t xml:space="preserve">from 046-PR-002A/B </t>
    </r>
    <r>
      <rPr>
        <sz val="12"/>
        <color theme="1"/>
        <rFont val="Frutiger LT 45 Light"/>
        <family val="2"/>
      </rPr>
      <t xml:space="preserve">
to 2"-ESDV-0004A
2"-ESDV-0004B</t>
    </r>
  </si>
  <si>
    <r>
      <rPr>
        <sz val="12"/>
        <color rgb="FFFF0000"/>
        <rFont val="Frutiger LT 45 Light"/>
        <family val="2"/>
      </rPr>
      <t>from</t>
    </r>
    <r>
      <rPr>
        <sz val="12"/>
        <color theme="1"/>
        <rFont val="Frutiger LT 45 Light"/>
        <family val="2"/>
      </rPr>
      <t xml:space="preserve"> 3"-ESDV-0003A
3"-ESDV-0003B
3"-ESDV-0003C
</t>
    </r>
    <r>
      <rPr>
        <sz val="12"/>
        <color rgb="FFFF0000"/>
        <rFont val="Frutiger LT 45 Light"/>
        <family val="2"/>
      </rPr>
      <t>to Turret</t>
    </r>
  </si>
  <si>
    <r>
      <rPr>
        <sz val="12"/>
        <color rgb="FFFF0000"/>
        <rFont val="Frutiger LT 45 Light"/>
        <family val="2"/>
      </rPr>
      <t>from</t>
    </r>
    <r>
      <rPr>
        <sz val="12"/>
        <color theme="1"/>
        <rFont val="Frutiger LT 45 Light"/>
        <family val="2"/>
      </rPr>
      <t xml:space="preserve"> 2"-ESDV-0004A
2"-ESDV-0004B
</t>
    </r>
    <r>
      <rPr>
        <sz val="12"/>
        <color rgb="FFFF0000"/>
        <rFont val="Frutiger LT 45 Light"/>
        <family val="2"/>
      </rPr>
      <t>to  G/L exchanger, TEG contactor, HC dewpointing inlet scrubber, flowlines</t>
    </r>
  </si>
  <si>
    <r>
      <rPr>
        <sz val="12"/>
        <color rgb="FFFF0000"/>
        <rFont val="Frutiger LT 45 Light"/>
        <family val="2"/>
      </rPr>
      <t>from methanol tank(metahnol pump)</t>
    </r>
    <r>
      <rPr>
        <sz val="12"/>
        <color theme="1"/>
        <rFont val="Frutiger LT 45 Light"/>
        <family val="2"/>
      </rPr>
      <t xml:space="preserve">
to 3"-ESDV-0001</t>
    </r>
  </si>
  <si>
    <r>
      <rPr>
        <sz val="12"/>
        <color rgb="FFFF0000"/>
        <rFont val="Frutiger LT 45 Light"/>
        <family val="2"/>
      </rPr>
      <t>from 057-VZ-001</t>
    </r>
    <r>
      <rPr>
        <sz val="12"/>
        <color theme="1"/>
        <rFont val="Frutiger LT 45 Light"/>
        <family val="2"/>
      </rPr>
      <t xml:space="preserve">
'to 6"-ESDV-0001</t>
    </r>
  </si>
  <si>
    <r>
      <rPr>
        <sz val="12"/>
        <color rgb="FFFF0000"/>
        <rFont val="Frutiger LT 45 Light"/>
        <family val="2"/>
      </rPr>
      <t>from 057-VZ-001</t>
    </r>
    <r>
      <rPr>
        <sz val="12"/>
        <color theme="1"/>
        <rFont val="Frutiger LT 45 Light"/>
        <family val="2"/>
      </rPr>
      <t xml:space="preserve">
to 8"-ESDV-0005</t>
    </r>
  </si>
  <si>
    <t>057-01-01 G 의 경우 worst 를 고려하여, 043-02 gas case 를 가져온다 ~</t>
  </si>
  <si>
    <r>
      <t xml:space="preserve">from  3" -ESDV-0002A
3"-ESDV-0002B or C
</t>
    </r>
    <r>
      <rPr>
        <sz val="12"/>
        <color rgb="FFFF0000"/>
        <rFont val="Frutiger LT 45 Light"/>
        <family val="2"/>
      </rPr>
      <t>to 080-G-001A/B/C</t>
    </r>
  </si>
  <si>
    <r>
      <t xml:space="preserve">from 10"-ESDV-0001
</t>
    </r>
    <r>
      <rPr>
        <sz val="12"/>
        <color rgb="FFFF0000"/>
        <rFont val="Frutiger LT 45 Light"/>
        <family val="2"/>
      </rPr>
      <t>to 10"-SDV-0117
10"-SDV-0217
10"-SDV-0317
10"-SDV-0417
10"-SDV-0517
10"-SDV-0617
10"-SDV-0717
10"-SDV-0817
10"-SDV-0917
10"-SDV-1017
10"-SDV-1117
10"-SDV-1217</t>
    </r>
  </si>
  <si>
    <r>
      <rPr>
        <sz val="12"/>
        <color rgb="FFFF0000"/>
        <rFont val="Frutiger LT 45 Light"/>
        <family val="2"/>
      </rPr>
      <t>from condensate tanks (pumps)</t>
    </r>
    <r>
      <rPr>
        <sz val="12"/>
        <color theme="1"/>
        <rFont val="Frutiger LT 45 Light"/>
        <family val="2"/>
      </rPr>
      <t xml:space="preserve">
to 12"-ESDV-0001
8"-ESDV-0009
32"-ESDV-0002</t>
    </r>
  </si>
  <si>
    <t>Gas Fraction</t>
  </si>
  <si>
    <t>from 2"-ESDV-0011 on swivel below
to 8"-ESDV-0012
6"-ESDV-0004
16"-SDV-0008
20"-SDV-0009
12"-SDV-0010</t>
  </si>
  <si>
    <t>from 2"-ESDV-0021 on swivel below
to 8"-ESDV-0014
6"-ESDV-0007
16"-SDV-0011
20"-SDV-0012
12"-SDV-0013</t>
  </si>
  <si>
    <r>
      <t xml:space="preserve">Upstream
013-05 (-not normal, 8"-ESDV-0020 23.15)
Swivel(-normal,  ??, ESDV-0001)
Downstream
</t>
    </r>
    <r>
      <rPr>
        <b/>
        <sz val="12"/>
        <rFont val="Frutiger LT 45 Light"/>
        <family val="2"/>
      </rPr>
      <t xml:space="preserve">020-01-01(-normal, 130.61, 12"-SDV-0004) with check valve
</t>
    </r>
    <r>
      <rPr>
        <sz val="12"/>
        <rFont val="Frutiger LT 45 Light"/>
        <family val="2"/>
      </rPr>
      <t>020-02-01(-not normal, 20"-SDV-0007, 21.65) with check valve
020-05-01(-not normal, 16"-SDV-0006, 73.15) with check valve
6"-ESDV-0003 to flare header</t>
    </r>
  </si>
  <si>
    <t>from  2"-ESDV-0031 on swivel below
4"-ESDV-0021
to 8"-ESDV-0013
6"-ESDV-0008
16"-SDV-0014
20"-SDV-0015
12"-SDV-0016</t>
  </si>
  <si>
    <r>
      <t xml:space="preserve">Upstream
013-05(-not normal, 8"-ESDV-0012, 23.15)
Swivel(-normal,  ??, ESDV-0011)
Downstream
</t>
    </r>
    <r>
      <rPr>
        <b/>
        <sz val="12"/>
        <color theme="1"/>
        <rFont val="Frutiger LT 45 Light"/>
        <family val="2"/>
      </rPr>
      <t>020-01-01(-normal, 130.61, 12"-SDV-0010) with check valve</t>
    </r>
    <r>
      <rPr>
        <sz val="12"/>
        <color theme="1"/>
        <rFont val="Frutiger LT 45 Light"/>
        <family val="2"/>
      </rPr>
      <t xml:space="preserve">
020-02-01(-not normal, 20"-SDV-0009, 21.65) with check valve
020-05-01(-not normal, 16"-SDV-0008, 73.15) with check valve
6"-ESDV-0004 to flare header
</t>
    </r>
  </si>
  <si>
    <r>
      <t xml:space="preserve">Upstream
013-05(-not normal, 8"-ESDV-0014, 23.15)
Swivel(-normal,  ??, ESDV-0021)
Downstream
</t>
    </r>
    <r>
      <rPr>
        <b/>
        <sz val="12"/>
        <color theme="1"/>
        <rFont val="Frutiger LT 45 Light"/>
        <family val="2"/>
      </rPr>
      <t xml:space="preserve">020-01-01(-normal, 130.61, 12"-SDV-0013) with check valve
</t>
    </r>
    <r>
      <rPr>
        <sz val="12"/>
        <color theme="1"/>
        <rFont val="Frutiger LT 45 Light"/>
        <family val="2"/>
      </rPr>
      <t>020-02-01(-not normal, 20"-SDV-0012, 21.65) with check valve
020-05-01(-not normal, 16"-SDV-0011, 73.15) with check valve
6"-ESDV-0007 to flare header</t>
    </r>
  </si>
  <si>
    <r>
      <t xml:space="preserve">Upstream
013-05(-not normal, 8"-ESDV-0013 23.15)
Swivel(-normal,  ??, ESDV-0001)
027-02(-not normal, ESDV-0021)
Downstream
</t>
    </r>
    <r>
      <rPr>
        <b/>
        <sz val="12"/>
        <color theme="1"/>
        <rFont val="Frutiger LT 45 Light"/>
        <family val="2"/>
      </rPr>
      <t xml:space="preserve">020-01-01(-normal, 130.61, 12"-SDV-0016) with check valve
</t>
    </r>
    <r>
      <rPr>
        <sz val="12"/>
        <color theme="1"/>
        <rFont val="Frutiger LT 45 Light"/>
        <family val="2"/>
      </rPr>
      <t>020-02-01(-not normal, 20"-SDV-0015, 21.65) with check valve
020-05-01(-not normal, 16"-SDV-0014, 73.15) with check valve
6"-ESDV-0008 to flare header</t>
    </r>
  </si>
  <si>
    <t>from 12”-SDV-0004
12”-SDV-0010
12”-SDV-0013
12”-SDV-0016
to 20"-SDV-0012
2"-SDV-0011
2"-SDV-0024</t>
  </si>
  <si>
    <t>Upstream 
013-01(-normal, SDV-0004 or, 0010 or 0013 or 0016, 14.6)
Down stream
024-01(-normal, SDV-0012, 68.9) with check valve + 2"-SDV-0011 (NC)
045-02(-not normal, 2"-SDV-0024 69.1) with check valve</t>
  </si>
  <si>
    <r>
      <t xml:space="preserve">from 20"-SDV-0007
20"-SDV-0009
20"-SDV-0012
 20"-SDV-0015
2"-SDV-0002
2"-SDV-0003
2"-SDV-0004
2"-SDV-0001A
2"-SDV-0001B
2"-SDV-0001C
2"-SDV-0001A
3"-SDV-0002A
2"-SDV-0001B
3"-SDV-0002B
10"-SDV-0001
2"-SDV-0014
</t>
    </r>
    <r>
      <rPr>
        <sz val="12"/>
        <color rgb="FFFF0000"/>
        <rFont val="Frutiger LT 45 Light"/>
        <family val="2"/>
      </rPr>
      <t>to 020-VZ-002</t>
    </r>
  </si>
  <si>
    <t>Upstream
020-01-02(-normal, 10"-SDV-0001, 33.6)
013-01(case by, 20"-SDV-0007/0009/0012/0015, 14.6)
024-01-02(-normal, SDV-0002A or SDV-0001A, 3), SDV-0001B(SB), SDV-0002B(SB)
024-03-02(normal , SDV-0014, 1.6)
027-01-02(-normal, SDV-0001A  or SDV-0001B, 4.7-water), SDV-0001C(SB)
045-02-02(-normal, SDV-0002 or, SDV-0003, 11.6), SDV -004(NC)
down stream - No impact(separator, physically separated?)
020-02-03(-normal, NO SDV/ESDV, 52)</t>
  </si>
  <si>
    <t>Down stream
023-04(-normal, SDV-0016, 13.3) with check valve, SDV-0015(NC)</t>
  </si>
  <si>
    <t xml:space="preserve">Upstream
020-02-01(-normal, No SDV/ESDV, 22.7)
Downstream
020-03-01(-normal, SDV-0003, 20) with check valve
SDV-0005(Water outlet, note 23 in P&amp;ID) to produced water buffer vessel </t>
  </si>
  <si>
    <t>Upstream
020-02-03(-normal, 12"-SDV-0003, 51.9)
020-05-02(-not normal, 8"-SDV-0002, 36.6)
013-06(-not normal, ESDV-0019(NC), 1.6)
023-01-02(-normal, 2"-SDV-0020, 2.1)
023-03-02(-normal, SDV-0007A, 2.1)
023-03-03(-normal, SDV-0010A, 1.6)
023-03-05(-normal, SDV-0007B, 2.1)
023-03-06(-normal, SDV-0010B, 1.6)
025-01-02(-normal, 6"-SDV-0004, 7)
025-02-02(-normal, 8"-SDV-0005, 10)
057-01-02(-normally, open when pump operates, ESDV-0001, 20.5)
043-01-02(-normal, open when pump operates, ESDV-0003, 43)
043-02-02(-normal, open when pump operates, ESDV-0006, 9.3)
2"-SDV-0003 from TEG regeneration pkg.
Downstream-No impact(separator-physically separated?)
020-03-03(-normal, no SDV/ESDV, 76.7)</t>
  </si>
  <si>
    <t>Upstream
020-03-01 (-normal, no SDV/ESDV, 19.8 )
Downstream
020-04-01(-normal, SDV-0004, 113.3) with check valve
SDV-0006/0007 to water buffer vessel</t>
  </si>
  <si>
    <t>Upstream
020-03-03(-normal, SDV-0004, 76.8)
Downstream
131-01(-normal, ESDV-0001, 16) - no check valve 
2"-SDV-0031A to CD</t>
  </si>
  <si>
    <t>Downstream
020-03-01(SDV-0002, 20.6) with check valve
4"- SDV-0022 (water outlet) to water buffer vessel</t>
  </si>
  <si>
    <t>*020-05  operates on demand
Upstream
013-01(16"-SDV-0006, or 16"-SDV-0008 or 16"-SDV-0011 or  16"-SDV-0014, 15.3)
Down stream
023-04(SDV-0014, 12.8)  with check valve, SDV-0013(NC)</t>
  </si>
  <si>
    <t>Upstream
131-02(ESDV-0002, 121)
downstream
021-02-L(ESDV-0001, 16.3)</t>
  </si>
  <si>
    <t>Upstream
020-04-02(-normal, SDV-0020, 32.2)
043-03(-normal, SDV-0001, 2.5)
023-02-02(-normally, open when the start-up of LP compressor, SDV-0004, 1.6)
043-01-01(normally, ESDV-0002, 214.3)
downstream
023-02-01(-normal, SDV-0002, 25.9) with check valve, SDV-0003(NC)</t>
  </si>
  <si>
    <t xml:space="preserve">Upstream
023-01-01(-normally, SDV-0002, 34.3), 2"-SDV-0003(NC)
023-04(NNF, SDV-0021-NC) 
020-03-02(-normally,SDV-0018, 29.3), 2"-SDV-0017(NC)
Down stream
023-04(-normally,SDV-0013, 12.71)   
</t>
  </si>
  <si>
    <t>10"-SDV-0002
10"-SDV-0018
10"-SDV-0013</t>
  </si>
  <si>
    <t xml:space="preserve">Upstream
023-04(-normally,  SDV-0006A, 13.3),  2"-SDV-0005A(NC)
Downstream
024-01-01(-normal, SDV-0012A, 68.9), SDV-0011A(NC) </t>
  </si>
  <si>
    <t>Upstream
023-02-01(normally, SDV-0013, 25.9)
020-02-02(normally,SDV-0016, 85.7), SDV-0015(NC)
020-05-01(NNF, SDV-0014), SDV-0013/0021(NC)
down stream
023-03-01(normally, SDv-0006A, 46.5), SDV-005A(NC)
023-03-04(normally, SDv-0006B , 46.5), SDV-005B(NC)</t>
  </si>
  <si>
    <t xml:space="preserve">Upstream
023-03-01(-normally, SDV-0012A, 46.5), SDV-0011A(NC)
023-03-04(-normally, SDV-0012B, 46.5), SDV-0011B(NC)
020-01-01(-normally, SDV-0012, 131.5), SDV-0011(NC)
Downstream
024-02(-normally, SDV-0008, 65.4), SDV-0009(NC) </t>
  </si>
  <si>
    <t xml:space="preserve">Upstream
024-01-01(-normally, SDV-0008, 68.9), SDV-0009(NC) 
Downstream
024-03-02(-normally, SDV-0001, 5.5), SDV-0002(NC) </t>
  </si>
  <si>
    <t>Upstream
024-02(-normally, SDV-0001, 65.4), SDV-0002(NC)
Downstream
025-01-01(-normally, SDV-0005, 38), SDV-0006(NC)
045-02-01(-normally, SDV-0003, 69.3), SDV-0004(NC)</t>
  </si>
  <si>
    <t>Downstream
020-02-01(normally, SDV-0014, 22.7)
SDV-0011/0012(Glycol)</t>
  </si>
  <si>
    <t>Upstream
024-03-01(-normally, SDV-0005, 69.4), SDV-0006(NC)
Downstream
025-02-01(-normally, SDV-0003, 85.8)</t>
  </si>
  <si>
    <t>Upstream
025-01-01(-normally, SDV-0003, 38)
Downstream
027-02(NC valve))
045-02(NC, SDV-0011)
027-01-01(SDV-0009A or SDV-0009B, 73.3) SDV-0010A/0010B(NC)</t>
  </si>
  <si>
    <t>from 16"-SDV-0009A
2"-SDV-0010A
to 12"-SDV-0003A
2"-SDV-0004A
2"-SDV-0001A</t>
  </si>
  <si>
    <t>Upstream
025-02-01(normal, SDV-0009A, 85.8), SDV0010A(NC)
downstream
027-02(normal, SDV-0003A, 12.6), SDV-0004A(NC)
SDV-0001A(Water)</t>
  </si>
  <si>
    <t>Upstream
027-02(normal, ESDV-0001, 13.1 ), ESDV-0003(NC)
Downstream
Swivel below(ESDV-0041 or 0051 or 0061 ?)</t>
  </si>
  <si>
    <t>Upstream
027-02(normal, SDV-0005, 13.1), SDV-0006(NC)
down stream
045-02-01( open with permitssive during start up, 69.3, SDV-0005), SDV-0006(NC)</t>
  </si>
  <si>
    <r>
      <rPr>
        <sz val="12"/>
        <color rgb="FFFF0000"/>
        <rFont val="Frutiger LT 45 Light"/>
        <family val="2"/>
      </rPr>
      <t>from 045-VZ-001, 045-VF-001A/B</t>
    </r>
    <r>
      <rPr>
        <sz val="12"/>
        <rFont val="Frutiger LT 45 Light"/>
        <family val="2"/>
      </rPr>
      <t xml:space="preserve">
to 2"-SDV-0002
2"-SDV-0003
2"-SDV-0004</t>
    </r>
  </si>
  <si>
    <t>Downstream
020-02-01(normal SDV-0002 or SDV-0003, 22.7)
SDV-0004(NF)</t>
  </si>
  <si>
    <t>Upstream
024-03-01(normal, SDV-0003, 69.9), SDV-0004(NC)
020-01-01(NC, SDV-0024)
025-02-01(NC, SDV-0011)
045-01( SDV0005, normal open with permitssive during start up,1.5), SDV-0006(NC)
2"-SDV-0001(NNF)
Downstream
045-03(SDV-0017, normal, 1)
023-02-01(normal SDV-0021, 25.9)
045-04(normal, 6"-ESDV-XXX)</t>
  </si>
  <si>
    <t>6"-ESDV-XXXX</t>
  </si>
  <si>
    <t>Upstream
045-02-01-G(normal, 6" ESDV-XXXX, 3)</t>
  </si>
  <si>
    <t>Upstream
046-04(normal, ESDV-0001, 0.3)
downstream
046-01-02(-not normal, SDV-0002)</t>
  </si>
  <si>
    <t>Upstream046-01-02(normal, -, 0.5)
downstream
046-02(-not normal)</t>
  </si>
  <si>
    <t>Upstream046-01-02(normal, -, 0.5)
downstream 046-03(-not normal)</t>
  </si>
  <si>
    <t>3"-ESDV-0003A 3"-ESDV-0003B</t>
  </si>
  <si>
    <t>Upstream
020-04-01(normal ESDV-0001, 113.3)
Downstream to tank inlet (FC), valves at tank above..(In case of valve failure, tank volume can not be into the isolatable section)
to 10"-SDV-0117
10"-SDV-0217
10"-SDV-0317
10"-SDV-0417
10"-SDV-0517
10"-SDV-0617
10"-SDV-0717
10"-SDV-0817
10"-SDV-0917
10"-SDV-1017
10"-SDV-1117
10"-SDV-1217</t>
  </si>
  <si>
    <t>Process Identifier</t>
    <phoneticPr fontId="16" type="noConversion"/>
  </si>
  <si>
    <t>S02</t>
    <phoneticPr fontId="16" type="noConversion"/>
  </si>
  <si>
    <t>A</t>
    <phoneticPr fontId="16" type="noConversion"/>
  </si>
  <si>
    <t>B</t>
    <phoneticPr fontId="16" type="noConversion"/>
  </si>
  <si>
    <t>Hull Deck</t>
    <phoneticPr fontId="16" type="noConversion"/>
  </si>
  <si>
    <t>Sum</t>
    <phoneticPr fontId="16" type="noConversion"/>
  </si>
  <si>
    <t>S03</t>
    <phoneticPr fontId="16" type="noConversion"/>
  </si>
  <si>
    <t>C</t>
    <phoneticPr fontId="16" type="noConversion"/>
  </si>
  <si>
    <t>S04</t>
    <phoneticPr fontId="16" type="noConversion"/>
  </si>
  <si>
    <t>S05</t>
    <phoneticPr fontId="16" type="noConversion"/>
  </si>
  <si>
    <t>P02</t>
    <phoneticPr fontId="16" type="noConversion"/>
  </si>
  <si>
    <t>P03</t>
    <phoneticPr fontId="16" type="noConversion"/>
  </si>
  <si>
    <t>P04</t>
    <phoneticPr fontId="16" type="noConversion"/>
  </si>
  <si>
    <t>D</t>
    <phoneticPr fontId="16" type="noConversion"/>
  </si>
  <si>
    <t>P05</t>
    <phoneticPr fontId="16" type="noConversion"/>
  </si>
  <si>
    <t>KOD</t>
    <phoneticPr fontId="16" type="noConversion"/>
  </si>
  <si>
    <t>PF</t>
    <phoneticPr fontId="16" type="noConversion"/>
  </si>
  <si>
    <t>Equipment</t>
    <phoneticPr fontId="16" type="noConversion"/>
  </si>
  <si>
    <t>Valve</t>
    <phoneticPr fontId="16" type="noConversion"/>
  </si>
  <si>
    <t>Flange</t>
    <phoneticPr fontId="16" type="noConversion"/>
  </si>
  <si>
    <t>Element</t>
    <phoneticPr fontId="16" type="noConversion"/>
  </si>
  <si>
    <t>S01</t>
    <phoneticPr fontId="16" type="noConversion"/>
  </si>
  <si>
    <t>Piperack</t>
    <phoneticPr fontId="16" type="noConversion"/>
  </si>
  <si>
    <t>Turret</t>
    <phoneticPr fontId="16" type="noConversion"/>
  </si>
  <si>
    <t>023-03 (Train I)</t>
    <phoneticPr fontId="16" type="noConversion"/>
  </si>
  <si>
    <t>023-03 (Train II)</t>
    <phoneticPr fontId="16" type="noConversion"/>
  </si>
  <si>
    <t>PF</t>
    <phoneticPr fontId="16" type="noConversion"/>
  </si>
  <si>
    <t>020-03</t>
    <phoneticPr fontId="16" type="noConversion"/>
  </si>
  <si>
    <t>023-02-01-G</t>
    <phoneticPr fontId="16" type="noConversion"/>
  </si>
  <si>
    <t>023-02</t>
    <phoneticPr fontId="16" type="noConversion"/>
  </si>
  <si>
    <t>023-03-01-G (Train I)</t>
    <phoneticPr fontId="16" type="noConversion"/>
  </si>
  <si>
    <t>023-03-01-G (Train II)</t>
    <phoneticPr fontId="16" type="noConversion"/>
  </si>
  <si>
    <t>023-01-01-G</t>
    <phoneticPr fontId="16" type="noConversion"/>
  </si>
  <si>
    <t>023-01-01-G-DB</t>
  </si>
  <si>
    <t>R02</t>
  </si>
  <si>
    <t>131-01-L-fwdP</t>
  </si>
  <si>
    <t>131-01-L-aftP</t>
  </si>
  <si>
    <t>131-01-L-fwdS</t>
  </si>
  <si>
    <t>131-01-L-aftS</t>
  </si>
  <si>
    <t>131-02-L-fwdP</t>
  </si>
  <si>
    <t>131-02-L-aftP</t>
  </si>
  <si>
    <t>131-02-L-fwdS</t>
  </si>
  <si>
    <t>131-02-L-aftS</t>
  </si>
  <si>
    <t>HD_FP</t>
  </si>
  <si>
    <t>HD_AS</t>
  </si>
  <si>
    <t>HD_FS</t>
  </si>
  <si>
    <t>HD_AP</t>
  </si>
  <si>
    <t>LQ_A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</si>
</sst>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"/>
  </numFmts>
  <fonts count="19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Frutiger LT 65 Bold"/>
      <family val="2"/>
    </font>
    <font>
      <sz val="12"/>
      <color theme="1"/>
      <name val="Calibri"/>
      <family val="2"/>
      <scheme val="minor"/>
    </font>
    <font>
      <sz val="12"/>
      <color rgb="FF414042"/>
      <name val="Frutiger LT 45 Light"/>
      <family val="2"/>
    </font>
    <font>
      <sz val="12"/>
      <name val="Frutiger LT 45 Light"/>
      <family val="2"/>
    </font>
    <font>
      <sz val="12"/>
      <color theme="1"/>
      <name val="Frutiger LT 45 Light"/>
      <family val="2"/>
    </font>
    <font>
      <b/>
      <sz val="12"/>
      <color theme="1"/>
      <name val="Frutiger LT 45 Light"/>
      <family val="2"/>
    </font>
    <font>
      <sz val="12"/>
      <color theme="1"/>
      <name val="Frutiger LT 45 Light"/>
      <family val="2"/>
    </font>
    <font>
      <sz val="12"/>
      <color rgb="FFFFFFFF"/>
      <name val="Frutiger LT 65 Bold"/>
      <family val="2"/>
    </font>
    <font>
      <sz val="12"/>
      <color theme="1"/>
      <name val="Frutiger LT 45 Light"/>
      <family val="2"/>
    </font>
    <font>
      <b/>
      <sz val="12"/>
      <color rgb="FFFFFFFF"/>
      <name val="Frutiger LT 65 Bold"/>
      <family val="2"/>
    </font>
    <font>
      <sz val="12"/>
      <color theme="0" tint="-0.249977111117893"/>
      <name val="Frutiger LT 45 Light"/>
      <family val="2"/>
    </font>
    <font>
      <sz val="12"/>
      <name val="Calibri"/>
      <family val="2"/>
      <scheme val="minor"/>
    </font>
    <font>
      <b/>
      <sz val="12"/>
      <name val="Frutiger LT 45 Light"/>
      <family val="2"/>
    </font>
    <font>
      <sz val="12"/>
      <color rgb="FFFF0000"/>
      <name val="Frutiger LT 45 Light"/>
      <family val="2"/>
    </font>
    <font>
      <sz val="8"/>
      <name val="Calibri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3B8EDE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2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1" fontId="2" fillId="2" borderId="1" xfId="0" applyNumberFormat="1" applyFont="1" applyFill="1" applyBorder="1" applyAlignment="1">
      <alignment vertical="center" wrapText="1"/>
    </xf>
    <xf numFmtId="2" fontId="2" fillId="2" borderId="1" xfId="0" applyNumberFormat="1" applyFont="1" applyFill="1" applyBorder="1" applyAlignment="1">
      <alignment vertic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1" fontId="3" fillId="0" borderId="0" xfId="0" applyNumberFormat="1" applyFont="1" applyAlignment="1">
      <alignment wrapText="1"/>
    </xf>
    <xf numFmtId="2" fontId="3" fillId="0" borderId="0" xfId="0" applyNumberFormat="1" applyFont="1" applyAlignment="1">
      <alignment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right" vertical="center" wrapText="1"/>
    </xf>
    <xf numFmtId="0" fontId="3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right" vertical="center" wrapText="1"/>
    </xf>
    <xf numFmtId="1" fontId="6" fillId="0" borderId="1" xfId="0" applyNumberFormat="1" applyFont="1" applyBorder="1" applyAlignment="1">
      <alignment horizontal="right" vertical="center" wrapText="1"/>
    </xf>
    <xf numFmtId="164" fontId="6" fillId="0" borderId="1" xfId="0" applyNumberFormat="1" applyFont="1" applyBorder="1" applyAlignment="1">
      <alignment horizontal="right" vertical="center" wrapText="1"/>
    </xf>
    <xf numFmtId="2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Fill="1" applyBorder="1" applyAlignment="1">
      <alignment horizontal="right" vertical="center" wrapText="1"/>
    </xf>
    <xf numFmtId="1" fontId="6" fillId="0" borderId="1" xfId="0" applyNumberFormat="1" applyFont="1" applyFill="1" applyBorder="1" applyAlignment="1">
      <alignment horizontal="right" vertical="center" wrapText="1"/>
    </xf>
    <xf numFmtId="0" fontId="6" fillId="0" borderId="1" xfId="0" quotePrefix="1" applyFont="1" applyFill="1" applyBorder="1" applyAlignment="1">
      <alignment horizontal="right" vertical="center" wrapText="1"/>
    </xf>
    <xf numFmtId="49" fontId="6" fillId="0" borderId="1" xfId="0" applyNumberFormat="1" applyFont="1" applyBorder="1" applyAlignment="1">
      <alignment horizontal="right" vertical="center" wrapText="1"/>
    </xf>
    <xf numFmtId="0" fontId="6" fillId="0" borderId="1" xfId="0" quotePrefix="1" applyFont="1" applyBorder="1" applyAlignment="1">
      <alignment horizontal="right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6" fillId="8" borderId="1" xfId="0" applyFont="1" applyFill="1" applyBorder="1" applyAlignment="1">
      <alignment horizontal="right" vertical="center" wrapText="1"/>
    </xf>
    <xf numFmtId="1" fontId="6" fillId="0" borderId="1" xfId="0" quotePrefix="1" applyNumberFormat="1" applyFont="1" applyFill="1" applyBorder="1" applyAlignment="1">
      <alignment horizontal="right" vertical="center" wrapText="1"/>
    </xf>
    <xf numFmtId="2" fontId="6" fillId="8" borderId="1" xfId="0" applyNumberFormat="1" applyFont="1" applyFill="1" applyBorder="1" applyAlignment="1">
      <alignment horizontal="right" vertical="center" wrapText="1"/>
    </xf>
    <xf numFmtId="0" fontId="6" fillId="6" borderId="1" xfId="0" quotePrefix="1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right" vertical="center" wrapText="1"/>
    </xf>
    <xf numFmtId="49" fontId="6" fillId="8" borderId="1" xfId="0" applyNumberFormat="1" applyFont="1" applyFill="1" applyBorder="1" applyAlignment="1">
      <alignment horizontal="right" vertical="center" wrapText="1"/>
    </xf>
    <xf numFmtId="0" fontId="6" fillId="8" borderId="1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164" fontId="6" fillId="0" borderId="1" xfId="0" applyNumberFormat="1" applyFont="1" applyFill="1" applyBorder="1" applyAlignment="1">
      <alignment horizontal="right" vertical="center" wrapText="1"/>
    </xf>
    <xf numFmtId="164" fontId="6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left" wrapText="1"/>
    </xf>
    <xf numFmtId="0" fontId="6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vertical="center" wrapText="1"/>
    </xf>
    <xf numFmtId="41" fontId="6" fillId="0" borderId="1" xfId="0" applyNumberFormat="1" applyFont="1" applyBorder="1" applyAlignment="1">
      <alignment horizontal="right" vertical="center" wrapText="1"/>
    </xf>
    <xf numFmtId="41" fontId="6" fillId="0" borderId="1" xfId="0" applyNumberFormat="1" applyFont="1" applyFill="1" applyBorder="1" applyAlignment="1">
      <alignment horizontal="right" vertical="center" wrapText="1"/>
    </xf>
    <xf numFmtId="2" fontId="6" fillId="7" borderId="1" xfId="0" applyNumberFormat="1" applyFont="1" applyFill="1" applyBorder="1" applyAlignment="1">
      <alignment horizontal="right" vertical="center" wrapText="1"/>
    </xf>
    <xf numFmtId="164" fontId="6" fillId="0" borderId="1" xfId="0" quotePrefix="1" applyNumberFormat="1" applyFont="1" applyFill="1" applyBorder="1" applyAlignment="1">
      <alignment horizontal="right" vertical="center" wrapText="1"/>
    </xf>
    <xf numFmtId="2" fontId="6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right" vertical="center" wrapText="1"/>
    </xf>
    <xf numFmtId="0" fontId="9" fillId="9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Fill="1" applyBorder="1" applyAlignment="1">
      <alignment horizontal="right" vertical="center" wrapText="1"/>
    </xf>
    <xf numFmtId="164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right" vertical="center" wrapText="1"/>
    </xf>
    <xf numFmtId="0" fontId="12" fillId="0" borderId="4" xfId="0" applyFont="1" applyFill="1" applyBorder="1" applyAlignment="1">
      <alignment horizontal="righ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right" vertical="center" wrapText="1"/>
    </xf>
    <xf numFmtId="9" fontId="6" fillId="0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wrapText="1"/>
    </xf>
    <xf numFmtId="0" fontId="6" fillId="0" borderId="1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164" fontId="6" fillId="0" borderId="3" xfId="0" applyNumberFormat="1" applyFont="1" applyBorder="1" applyAlignment="1">
      <alignment horizontal="right" vertical="center" wrapText="1"/>
    </xf>
    <xf numFmtId="164" fontId="6" fillId="0" borderId="2" xfId="0" applyNumberFormat="1" applyFont="1" applyBorder="1" applyAlignment="1">
      <alignment horizontal="right" vertical="center" wrapText="1"/>
    </xf>
    <xf numFmtId="164" fontId="6" fillId="0" borderId="4" xfId="0" applyNumberFormat="1" applyFont="1" applyBorder="1" applyAlignment="1">
      <alignment horizontal="right" vertical="center" wrapText="1"/>
    </xf>
    <xf numFmtId="164" fontId="6" fillId="0" borderId="1" xfId="0" applyNumberFormat="1" applyFont="1" applyBorder="1" applyAlignment="1">
      <alignment horizontal="right"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left" vertical="center" wrapText="1"/>
    </xf>
    <xf numFmtId="0" fontId="2" fillId="1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11" borderId="1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Fill="1" applyBorder="1" applyAlignment="1">
      <alignment horizontal="right" vertical="center" wrapText="1"/>
    </xf>
    <xf numFmtId="164" fontId="6" fillId="12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1" fontId="3" fillId="0" borderId="0" xfId="0" applyNumberFormat="1" applyFont="1" applyFill="1" applyAlignment="1">
      <alignment wrapText="1"/>
    </xf>
    <xf numFmtId="0" fontId="10" fillId="0" borderId="1" xfId="0" applyFont="1" applyBorder="1" applyAlignment="1">
      <alignment vertical="center" wrapText="1"/>
    </xf>
    <xf numFmtId="164" fontId="6" fillId="5" borderId="1" xfId="0" applyNumberFormat="1" applyFont="1" applyFill="1" applyBorder="1" applyAlignment="1">
      <alignment horizontal="right" vertical="center" wrapText="1"/>
    </xf>
    <xf numFmtId="1" fontId="6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vertical="center" wrapText="1"/>
    </xf>
    <xf numFmtId="0" fontId="13" fillId="0" borderId="0" xfId="0" applyFont="1" applyFill="1" applyAlignment="1">
      <alignment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right" vertical="center" wrapText="1"/>
    </xf>
    <xf numFmtId="41" fontId="5" fillId="0" borderId="1" xfId="0" applyNumberFormat="1" applyFont="1" applyFill="1" applyBorder="1" applyAlignment="1">
      <alignment horizontal="right" vertical="center" wrapText="1"/>
    </xf>
    <xf numFmtId="164" fontId="5" fillId="0" borderId="1" xfId="0" applyNumberFormat="1" applyFont="1" applyFill="1" applyBorder="1" applyAlignment="1">
      <alignment horizontal="right" vertical="center" wrapText="1"/>
    </xf>
    <xf numFmtId="1" fontId="5" fillId="0" borderId="1" xfId="0" applyNumberFormat="1" applyFont="1" applyFill="1" applyBorder="1" applyAlignment="1">
      <alignment horizontal="right" vertical="center" wrapText="1"/>
    </xf>
    <xf numFmtId="2" fontId="5" fillId="0" borderId="1" xfId="0" applyNumberFormat="1" applyFont="1" applyFill="1" applyBorder="1" applyAlignment="1">
      <alignment horizontal="right" vertical="center" wrapText="1"/>
    </xf>
    <xf numFmtId="0" fontId="13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41" fontId="5" fillId="0" borderId="1" xfId="0" applyNumberFormat="1" applyFont="1" applyBorder="1" applyAlignment="1">
      <alignment horizontal="right" vertical="center" wrapText="1"/>
    </xf>
    <xf numFmtId="0" fontId="5" fillId="5" borderId="1" xfId="0" applyFont="1" applyFill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2" fontId="5" fillId="0" borderId="1" xfId="0" applyNumberFormat="1" applyFont="1" applyBorder="1" applyAlignment="1">
      <alignment horizontal="right" vertical="center" wrapText="1"/>
    </xf>
    <xf numFmtId="0" fontId="5" fillId="0" borderId="1" xfId="0" quotePrefix="1" applyFont="1" applyFill="1" applyBorder="1" applyAlignment="1">
      <alignment horizontal="right" vertical="center" wrapText="1"/>
    </xf>
    <xf numFmtId="0" fontId="5" fillId="8" borderId="1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0" borderId="1" xfId="0" quotePrefix="1" applyFont="1" applyBorder="1" applyAlignment="1">
      <alignment horizontal="right" vertical="center" wrapText="1"/>
    </xf>
    <xf numFmtId="0" fontId="2" fillId="1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6" fillId="14" borderId="1" xfId="0" applyFont="1" applyFill="1" applyBorder="1" applyAlignment="1">
      <alignment vertical="center" wrapText="1"/>
    </xf>
    <xf numFmtId="0" fontId="0" fillId="14" borderId="1" xfId="0" applyFill="1" applyBorder="1"/>
    <xf numFmtId="0" fontId="6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vertical="center" wrapText="1"/>
    </xf>
    <xf numFmtId="0" fontId="0" fillId="5" borderId="1" xfId="0" applyFill="1" applyBorder="1"/>
    <xf numFmtId="0" fontId="0" fillId="5" borderId="0" xfId="0" applyFill="1"/>
    <xf numFmtId="9" fontId="6" fillId="15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41" fontId="6" fillId="0" borderId="3" xfId="0" applyNumberFormat="1" applyFont="1" applyBorder="1" applyAlignment="1">
      <alignment horizontal="right" vertical="center" wrapText="1"/>
    </xf>
    <xf numFmtId="41" fontId="6" fillId="0" borderId="4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41" fontId="6" fillId="0" borderId="3" xfId="0" applyNumberFormat="1" applyFont="1" applyBorder="1" applyAlignment="1">
      <alignment horizontal="center" vertical="center" wrapText="1"/>
    </xf>
    <xf numFmtId="41" fontId="6" fillId="0" borderId="2" xfId="0" applyNumberFormat="1" applyFont="1" applyBorder="1" applyAlignment="1">
      <alignment horizontal="center" vertical="center" wrapText="1"/>
    </xf>
    <xf numFmtId="41" fontId="6" fillId="0" borderId="4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1" fontId="6" fillId="0" borderId="3" xfId="0" applyNumberFormat="1" applyFont="1" applyBorder="1" applyAlignment="1">
      <alignment horizontal="right" vertical="center" wrapText="1"/>
    </xf>
    <xf numFmtId="1" fontId="6" fillId="0" borderId="2" xfId="0" applyNumberFormat="1" applyFont="1" applyBorder="1" applyAlignment="1">
      <alignment horizontal="right" vertical="center" wrapText="1"/>
    </xf>
    <xf numFmtId="1" fontId="6" fillId="0" borderId="4" xfId="0" applyNumberFormat="1" applyFont="1" applyBorder="1" applyAlignment="1">
      <alignment horizontal="right" vertical="center" wrapText="1"/>
    </xf>
    <xf numFmtId="1" fontId="4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164" fontId="6" fillId="0" borderId="3" xfId="0" applyNumberFormat="1" applyFont="1" applyBorder="1" applyAlignment="1">
      <alignment horizontal="right" vertical="center" wrapText="1"/>
    </xf>
    <xf numFmtId="164" fontId="6" fillId="0" borderId="2" xfId="0" applyNumberFormat="1" applyFont="1" applyBorder="1" applyAlignment="1">
      <alignment horizontal="right" vertical="center" wrapText="1"/>
    </xf>
    <xf numFmtId="164" fontId="6" fillId="0" borderId="4" xfId="0" applyNumberFormat="1" applyFont="1" applyBorder="1" applyAlignment="1">
      <alignment horizontal="right" vertical="center" wrapText="1"/>
    </xf>
    <xf numFmtId="164" fontId="6" fillId="0" borderId="3" xfId="0" applyNumberFormat="1" applyFont="1" applyFill="1" applyBorder="1" applyAlignment="1">
      <alignment horizontal="right" vertical="center" wrapText="1"/>
    </xf>
    <xf numFmtId="164" fontId="6" fillId="0" borderId="2" xfId="0" applyNumberFormat="1" applyFont="1" applyFill="1" applyBorder="1" applyAlignment="1">
      <alignment horizontal="right" vertical="center" wrapText="1"/>
    </xf>
    <xf numFmtId="164" fontId="6" fillId="0" borderId="4" xfId="0" applyNumberFormat="1" applyFont="1" applyFill="1" applyBorder="1" applyAlignment="1">
      <alignment horizontal="right"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164" fontId="6" fillId="0" borderId="1" xfId="0" applyNumberFormat="1" applyFont="1" applyBorder="1" applyAlignment="1">
      <alignment horizontal="right" vertical="center" wrapText="1"/>
    </xf>
    <xf numFmtId="1" fontId="6" fillId="0" borderId="1" xfId="0" applyNumberFormat="1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right" vertical="center" wrapText="1"/>
    </xf>
    <xf numFmtId="2" fontId="6" fillId="0" borderId="3" xfId="0" applyNumberFormat="1" applyFont="1" applyBorder="1" applyAlignment="1">
      <alignment horizontal="right" vertical="center" wrapText="1"/>
    </xf>
    <xf numFmtId="2" fontId="6" fillId="0" borderId="2" xfId="0" applyNumberFormat="1" applyFont="1" applyBorder="1" applyAlignment="1">
      <alignment horizontal="right" vertical="center" wrapText="1"/>
    </xf>
    <xf numFmtId="2" fontId="6" fillId="0" borderId="4" xfId="0" applyNumberFormat="1" applyFont="1" applyBorder="1" applyAlignment="1">
      <alignment horizontal="right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right" vertical="center" wrapText="1"/>
    </xf>
    <xf numFmtId="41" fontId="6" fillId="0" borderId="2" xfId="0" applyNumberFormat="1" applyFont="1" applyBorder="1" applyAlignment="1">
      <alignment horizontal="right" vertical="center" wrapText="1"/>
    </xf>
    <xf numFmtId="164" fontId="6" fillId="8" borderId="3" xfId="0" applyNumberFormat="1" applyFont="1" applyFill="1" applyBorder="1" applyAlignment="1">
      <alignment horizontal="right" vertical="center" wrapText="1"/>
    </xf>
    <xf numFmtId="164" fontId="6" fillId="8" borderId="2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left" vertical="center" wrapText="1"/>
    </xf>
    <xf numFmtId="0" fontId="3" fillId="0" borderId="5" xfId="0" applyFont="1" applyFill="1" applyBorder="1" applyAlignment="1">
      <alignment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14" borderId="3" xfId="0" applyFont="1" applyFill="1" applyBorder="1" applyAlignment="1">
      <alignment horizontal="left" vertical="top" wrapText="1"/>
    </xf>
    <xf numFmtId="0" fontId="6" fillId="14" borderId="2" xfId="0" applyFont="1" applyFill="1" applyBorder="1" applyAlignment="1">
      <alignment horizontal="left" vertical="top" wrapText="1"/>
    </xf>
    <xf numFmtId="0" fontId="6" fillId="14" borderId="4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B8E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e, Jee-A" id="{80960707-181B-4662-9FE1-60635C90EA05}" userId="S::Jee-A.Lee@lr.org::cfea377f-76c6-4135-93bf-a4aa787c4d15" providerId="AD"/>
  <person displayName="Kim, Sung-Hoon" id="{898F68DF-D52F-435B-859E-B47450FB097B}" userId="S::sung-hoon.kim@lr.org::ac53c902-feb7-45e4-8225-5711da062fe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2" dT="2020-02-26T04:59:35.57" personId="{80960707-181B-4662-9FE1-60635C90EA05}" id="{D1E990B0-C9AA-4954-9956-122C1DF67460}">
    <text>-. 5% 마진을 적용하기 전의 volume 임
Colume V 의  volume 은 업데이트 되지 X
(failure case 에 대한 참고용으로 남겨둠)
-. Colume AC 의 volume 은 업데이트 된 것.</text>
  </threadedComment>
  <threadedComment ref="AE2" dT="2020-02-19T00:01:31.48" personId="{80960707-181B-4662-9FE1-60635C90EA05}" id="{496CB7E1-6877-49A5-853D-76394DBE4DAF}">
    <text>5% increased</text>
  </threadedComment>
  <threadedComment ref="AH2" dT="2020-02-24T01:52:47.45" personId="{898F68DF-D52F-435B-859E-B47450FB097B}" id="{58A887B6-3C98-4696-94DE-9B7B7A91C08D}">
    <text>Largest volume of adjacent section
(considering ESDV/SDV failure case during normal operation)
(ESDV closes)</text>
  </threadedComment>
  <threadedComment ref="AI2" dT="2020-02-24T01:52:47.45" personId="{898F68DF-D52F-435B-859E-B47450FB097B}" id="{59060254-ED05-4827-A1A0-F6D8C9E6922F}">
    <text>Largest volume of adjacent section
(considering ESDV/SDV failure case during normal operation)
(ESDV closes)</text>
  </threadedComment>
  <threadedComment ref="AR69" dT="2020-02-19T00:28:26.07" personId="{80960707-181B-4662-9FE1-60635C90EA05}" id="{2DFDB6BF-9E0D-483C-A097-EA64E67D8A01}">
    <text>continuously connected line</text>
  </threadedComment>
  <threadedComment ref="AS69" dT="2020-02-19T00:28:26.07" personId="{80960707-181B-4662-9FE1-60635C90EA05}" id="{1F0BC560-1B35-4D59-B3D9-65A1E5C98578}">
    <text>continuously connected line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A80"/>
  <sheetViews>
    <sheetView showGridLines="0" tabSelected="1" view="pageBreakPreview" zoomScale="55" zoomScaleNormal="70" zoomScaleSheetLayoutView="55" workbookViewId="0">
      <pane xSplit="2" ySplit="2" topLeftCell="C39" activePane="bottomRight" state="frozen"/>
      <selection pane="topRight" activeCell="D1" sqref="D1"/>
      <selection pane="bottomLeft" activeCell="A3" sqref="A3"/>
      <selection pane="bottomRight" activeCell="E23" sqref="E23"/>
    </sheetView>
  </sheetViews>
  <sheetFormatPr defaultColWidth="9.140625" defaultRowHeight="15.75"/>
  <cols>
    <col min="1" max="1" width="17.5703125" style="8" hidden="1" customWidth="1"/>
    <col min="2" max="3" width="21.28515625" style="8" customWidth="1"/>
    <col min="4" max="4" width="17.85546875" style="39" customWidth="1"/>
    <col min="5" max="5" width="8.28515625" style="8" customWidth="1"/>
    <col min="6" max="6" width="9.42578125" style="8" customWidth="1"/>
    <col min="7" max="7" width="22.5703125" style="39" customWidth="1"/>
    <col min="8" max="8" width="19.7109375" style="57" customWidth="1"/>
    <col min="9" max="9" width="10.140625" style="57" customWidth="1"/>
    <col min="10" max="12" width="6.7109375" style="57" customWidth="1"/>
    <col min="13" max="13" width="10" style="57" hidden="1" customWidth="1"/>
    <col min="14" max="14" width="9.28515625" style="8" customWidth="1"/>
    <col min="15" max="15" width="12.85546875" style="8" customWidth="1"/>
    <col min="16" max="17" width="11.140625" style="8" customWidth="1"/>
    <col min="18" max="18" width="29.85546875" style="39" customWidth="1"/>
    <col min="19" max="19" width="21" style="39" customWidth="1"/>
    <col min="20" max="20" width="11.7109375" style="9" customWidth="1"/>
    <col min="21" max="21" width="15.28515625" style="8" hidden="1" customWidth="1"/>
    <col min="22" max="22" width="24.28515625" style="8" customWidth="1"/>
    <col min="23" max="23" width="17.28515625" style="8" customWidth="1"/>
    <col min="24" max="26" width="9.7109375" style="8" hidden="1" customWidth="1"/>
    <col min="27" max="27" width="65.28515625" style="39" hidden="1" customWidth="1"/>
    <col min="28" max="29" width="10" style="8" customWidth="1"/>
    <col min="30" max="30" width="14" style="8" hidden="1" customWidth="1"/>
    <col min="31" max="31" width="10.28515625" style="8" customWidth="1"/>
    <col min="32" max="32" width="8.5703125" style="8" customWidth="1"/>
    <col min="33" max="33" width="9.85546875" style="8" customWidth="1"/>
    <col min="34" max="34" width="9.85546875" style="8" hidden="1" customWidth="1"/>
    <col min="35" max="35" width="9.140625" style="13" customWidth="1"/>
    <col min="36" max="36" width="13.42578125" style="8" customWidth="1"/>
    <col min="37" max="37" width="11" style="9" customWidth="1"/>
    <col min="38" max="38" width="8.7109375" style="109" customWidth="1"/>
    <col min="39" max="39" width="9.140625" style="8" customWidth="1"/>
    <col min="40" max="40" width="9.42578125" style="8" customWidth="1"/>
    <col min="41" max="41" width="11.5703125" style="8" customWidth="1"/>
    <col min="42" max="42" width="22.7109375" style="8" hidden="1" customWidth="1"/>
    <col min="43" max="43" width="16" style="8" customWidth="1"/>
    <col min="44" max="44" width="16" style="8" hidden="1" customWidth="1"/>
    <col min="45" max="45" width="11.7109375" style="10" customWidth="1"/>
    <col min="46" max="46" width="16.42578125" style="8" hidden="1" customWidth="1"/>
    <col min="47" max="47" width="79.140625" style="8" hidden="1" customWidth="1"/>
    <col min="48" max="48" width="10.28515625" style="8" customWidth="1"/>
    <col min="49" max="49" width="14.85546875" style="8" customWidth="1"/>
    <col min="50" max="50" width="14.85546875" style="8" bestFit="1" customWidth="1"/>
    <col min="51" max="16384" width="9.140625" style="8"/>
  </cols>
  <sheetData>
    <row r="1" spans="1:52">
      <c r="B1" s="8">
        <f>2.796*3454/1.97</f>
        <v>4902.2253807106599</v>
      </c>
      <c r="M1" s="57">
        <v>35</v>
      </c>
      <c r="N1" s="8">
        <v>29</v>
      </c>
      <c r="Y1" s="8">
        <v>25.4</v>
      </c>
      <c r="AZ1" s="8">
        <v>1.05</v>
      </c>
    </row>
    <row r="2" spans="1:52" s="7" customFormat="1" ht="66">
      <c r="A2" s="7" t="s">
        <v>588</v>
      </c>
      <c r="B2" s="41" t="s">
        <v>619</v>
      </c>
      <c r="C2" s="41" t="s">
        <v>574</v>
      </c>
      <c r="D2" s="41" t="s">
        <v>279</v>
      </c>
      <c r="E2" s="2" t="s">
        <v>0</v>
      </c>
      <c r="F2" s="2" t="s">
        <v>239</v>
      </c>
      <c r="G2" s="51" t="s">
        <v>345</v>
      </c>
      <c r="H2" s="51" t="s">
        <v>524</v>
      </c>
      <c r="I2" s="51" t="s">
        <v>592</v>
      </c>
      <c r="J2" s="51" t="s">
        <v>556</v>
      </c>
      <c r="K2" s="51" t="s">
        <v>557</v>
      </c>
      <c r="L2" s="51" t="s">
        <v>558</v>
      </c>
      <c r="M2" s="82" t="s">
        <v>601</v>
      </c>
      <c r="N2" s="2" t="s">
        <v>1</v>
      </c>
      <c r="O2" s="2" t="s">
        <v>425</v>
      </c>
      <c r="P2" s="2" t="s">
        <v>450</v>
      </c>
      <c r="Q2" s="138" t="s">
        <v>658</v>
      </c>
      <c r="R2" s="51" t="s">
        <v>2</v>
      </c>
      <c r="S2" s="69" t="s">
        <v>3</v>
      </c>
      <c r="T2" s="5" t="s">
        <v>409</v>
      </c>
      <c r="U2" s="42" t="s">
        <v>410</v>
      </c>
      <c r="V2" s="138" t="s">
        <v>4</v>
      </c>
      <c r="W2" s="138" t="s">
        <v>219</v>
      </c>
      <c r="X2" s="50" t="s">
        <v>449</v>
      </c>
      <c r="Y2" s="50" t="s">
        <v>602</v>
      </c>
      <c r="Z2" s="50" t="s">
        <v>603</v>
      </c>
      <c r="AA2" s="50" t="s">
        <v>228</v>
      </c>
      <c r="AB2" s="2" t="s">
        <v>443</v>
      </c>
      <c r="AC2" s="2" t="s">
        <v>442</v>
      </c>
      <c r="AD2" s="3" t="s">
        <v>5</v>
      </c>
      <c r="AE2" s="4" t="s">
        <v>444</v>
      </c>
      <c r="AF2" s="2" t="s">
        <v>445</v>
      </c>
      <c r="AG2" s="2" t="s">
        <v>577</v>
      </c>
      <c r="AH2" s="89" t="s">
        <v>599</v>
      </c>
      <c r="AI2" s="2" t="s">
        <v>600</v>
      </c>
      <c r="AJ2" s="2" t="s">
        <v>243</v>
      </c>
      <c r="AK2" s="5" t="s">
        <v>244</v>
      </c>
      <c r="AL2" s="5" t="s">
        <v>245</v>
      </c>
      <c r="AM2" s="2" t="s">
        <v>576</v>
      </c>
      <c r="AN2" s="2" t="s">
        <v>575</v>
      </c>
      <c r="AO2" s="2" t="s">
        <v>446</v>
      </c>
      <c r="AP2" s="1" t="s">
        <v>6</v>
      </c>
      <c r="AQ2" s="2" t="s">
        <v>310</v>
      </c>
      <c r="AR2" s="42" t="s">
        <v>420</v>
      </c>
      <c r="AS2" s="6" t="s">
        <v>447</v>
      </c>
      <c r="AT2" s="1" t="s">
        <v>247</v>
      </c>
      <c r="AU2" s="3" t="s">
        <v>229</v>
      </c>
      <c r="AV2" s="2" t="s">
        <v>448</v>
      </c>
      <c r="AW2" s="2"/>
    </row>
    <row r="3" spans="1:52" ht="181.5">
      <c r="A3" s="8">
        <v>39</v>
      </c>
      <c r="B3" s="113" t="s">
        <v>358</v>
      </c>
      <c r="C3" s="102" t="s">
        <v>358</v>
      </c>
      <c r="D3" s="171" t="s">
        <v>7</v>
      </c>
      <c r="E3" s="103" t="s">
        <v>8</v>
      </c>
      <c r="F3" s="103" t="s">
        <v>240</v>
      </c>
      <c r="G3" s="102" t="s">
        <v>346</v>
      </c>
      <c r="H3" s="102" t="s">
        <v>555</v>
      </c>
      <c r="I3" s="102" t="s">
        <v>422</v>
      </c>
      <c r="J3" s="102">
        <v>176.1</v>
      </c>
      <c r="K3" s="102">
        <v>-10.4</v>
      </c>
      <c r="L3" s="102">
        <v>44.8</v>
      </c>
      <c r="M3" s="81">
        <f>L3-$M$1</f>
        <v>9.7999999999999972</v>
      </c>
      <c r="N3" s="15"/>
      <c r="O3" s="17" t="s">
        <v>9</v>
      </c>
      <c r="P3" s="17" t="s">
        <v>10</v>
      </c>
      <c r="Q3" s="130">
        <v>0.93600000000000005</v>
      </c>
      <c r="R3" s="48" t="s">
        <v>176</v>
      </c>
      <c r="S3" s="67" t="s">
        <v>555</v>
      </c>
      <c r="T3" s="43">
        <v>100</v>
      </c>
      <c r="U3" s="34" t="s">
        <v>411</v>
      </c>
      <c r="V3" s="17" t="s">
        <v>351</v>
      </c>
      <c r="W3" s="17" t="s">
        <v>285</v>
      </c>
      <c r="X3" s="34">
        <v>12</v>
      </c>
      <c r="Y3" s="99">
        <f>X3*$Y$1</f>
        <v>304.79999999999995</v>
      </c>
      <c r="Z3" s="99"/>
      <c r="AA3" s="66" t="s">
        <v>661</v>
      </c>
      <c r="AB3" s="17">
        <v>120</v>
      </c>
      <c r="AC3" s="17">
        <f t="shared" ref="AC3:AC21" si="0">AB3+X3</f>
        <v>132</v>
      </c>
      <c r="AD3" s="17">
        <f>14.25</f>
        <v>14.25</v>
      </c>
      <c r="AE3" s="63">
        <f t="shared" ref="AE3:AE73" si="1">AD3*$AZ$1</f>
        <v>14.9625</v>
      </c>
      <c r="AF3" s="19">
        <v>0.35</v>
      </c>
      <c r="AG3" s="19">
        <f>AE3+AF3</f>
        <v>15.3125</v>
      </c>
      <c r="AH3" s="86">
        <f>AI3*AO9</f>
        <v>14386.1</v>
      </c>
      <c r="AI3" s="37">
        <v>131.5</v>
      </c>
      <c r="AJ3" s="17"/>
      <c r="AK3" s="18">
        <v>148373</v>
      </c>
      <c r="AL3" s="37">
        <f>AK3/3600</f>
        <v>41.214722222222221</v>
      </c>
      <c r="AM3" s="17">
        <v>120</v>
      </c>
      <c r="AN3" s="17">
        <v>88.9</v>
      </c>
      <c r="AO3" s="17">
        <v>118.5</v>
      </c>
      <c r="AP3" s="17" t="s">
        <v>11</v>
      </c>
      <c r="AQ3" s="17" t="s">
        <v>172</v>
      </c>
      <c r="AR3" s="34">
        <v>3</v>
      </c>
      <c r="AS3" s="20">
        <f>SQRT(AT3/3.14)*2</f>
        <v>13.162386092320499</v>
      </c>
      <c r="AT3" s="17">
        <v>136</v>
      </c>
      <c r="AU3" s="17" t="s">
        <v>230</v>
      </c>
      <c r="AV3" s="17">
        <f>AB3+30+AR3</f>
        <v>153</v>
      </c>
      <c r="AW3" s="17"/>
    </row>
    <row r="4" spans="1:52" ht="198">
      <c r="A4" s="8">
        <v>40</v>
      </c>
      <c r="B4" s="113" t="s">
        <v>614</v>
      </c>
      <c r="C4" s="102" t="s">
        <v>614</v>
      </c>
      <c r="D4" s="171"/>
      <c r="E4" s="103" t="s">
        <v>8</v>
      </c>
      <c r="F4" s="103" t="s">
        <v>240</v>
      </c>
      <c r="G4" s="102" t="s">
        <v>346</v>
      </c>
      <c r="H4" s="102" t="s">
        <v>555</v>
      </c>
      <c r="I4" s="102" t="s">
        <v>422</v>
      </c>
      <c r="J4" s="102">
        <v>189.9</v>
      </c>
      <c r="K4" s="102">
        <v>-7</v>
      </c>
      <c r="L4" s="102">
        <v>44.9</v>
      </c>
      <c r="M4" s="88">
        <f t="shared" ref="M4:M67" si="2">L4-$M$1</f>
        <v>9.8999999999999986</v>
      </c>
      <c r="N4" s="15"/>
      <c r="O4" s="17" t="s">
        <v>13</v>
      </c>
      <c r="P4" s="17" t="s">
        <v>10</v>
      </c>
      <c r="Q4" s="130">
        <v>0.93359999999999999</v>
      </c>
      <c r="R4" s="48" t="s">
        <v>175</v>
      </c>
      <c r="S4" s="67" t="s">
        <v>555</v>
      </c>
      <c r="T4" s="43">
        <v>100</v>
      </c>
      <c r="U4" s="34" t="s">
        <v>411</v>
      </c>
      <c r="V4" s="17" t="s">
        <v>659</v>
      </c>
      <c r="W4" s="17" t="s">
        <v>286</v>
      </c>
      <c r="X4" s="34">
        <v>12</v>
      </c>
      <c r="Y4" s="99">
        <f t="shared" ref="Y4:Y67" si="3">X4*$Y$1</f>
        <v>304.79999999999995</v>
      </c>
      <c r="Z4" s="99"/>
      <c r="AA4" s="48" t="s">
        <v>663</v>
      </c>
      <c r="AB4" s="49">
        <v>120</v>
      </c>
      <c r="AC4" s="34">
        <f t="shared" si="0"/>
        <v>132</v>
      </c>
      <c r="AD4" s="17">
        <v>14.07</v>
      </c>
      <c r="AE4" s="19">
        <f t="shared" si="1"/>
        <v>14.7735</v>
      </c>
      <c r="AF4" s="19">
        <v>0.35</v>
      </c>
      <c r="AG4" s="19">
        <f t="shared" ref="AG4:AG76" si="4">AE4+AF4</f>
        <v>15.1235</v>
      </c>
      <c r="AH4" s="86">
        <f>AI4*AO9</f>
        <v>14386.1</v>
      </c>
      <c r="AI4" s="37">
        <v>131.5</v>
      </c>
      <c r="AJ4" s="17"/>
      <c r="AK4" s="18">
        <v>134947</v>
      </c>
      <c r="AL4" s="37">
        <f t="shared" ref="AL4:AL76" si="5">AK4/3600</f>
        <v>37.485277777777775</v>
      </c>
      <c r="AM4" s="17">
        <v>120</v>
      </c>
      <c r="AN4" s="17">
        <v>85.8</v>
      </c>
      <c r="AO4" s="17">
        <v>120.5</v>
      </c>
      <c r="AP4" s="17" t="s">
        <v>11</v>
      </c>
      <c r="AQ4" s="17" t="s">
        <v>173</v>
      </c>
      <c r="AR4" s="34">
        <v>3</v>
      </c>
      <c r="AS4" s="20">
        <f t="shared" ref="AS4:AS73" si="6">SQRT(AT4/3.14)*2</f>
        <v>13.162386092320499</v>
      </c>
      <c r="AT4" s="17">
        <v>136</v>
      </c>
      <c r="AU4" s="17" t="s">
        <v>230</v>
      </c>
      <c r="AV4" s="34">
        <f>AB4+30+AR4</f>
        <v>153</v>
      </c>
      <c r="AW4" s="17"/>
    </row>
    <row r="5" spans="1:52" ht="181.5">
      <c r="A5" s="8">
        <v>41</v>
      </c>
      <c r="B5" s="113" t="s">
        <v>615</v>
      </c>
      <c r="C5" s="102" t="s">
        <v>615</v>
      </c>
      <c r="D5" s="171"/>
      <c r="E5" s="103" t="s">
        <v>8</v>
      </c>
      <c r="F5" s="103" t="s">
        <v>240</v>
      </c>
      <c r="G5" s="136" t="s">
        <v>346</v>
      </c>
      <c r="H5" s="102" t="s">
        <v>555</v>
      </c>
      <c r="I5" s="102" t="s">
        <v>422</v>
      </c>
      <c r="J5" s="102">
        <v>186.6</v>
      </c>
      <c r="K5" s="102">
        <v>-10.8</v>
      </c>
      <c r="L5" s="102">
        <v>45</v>
      </c>
      <c r="M5" s="88">
        <f t="shared" si="2"/>
        <v>10</v>
      </c>
      <c r="N5" s="15"/>
      <c r="O5" s="17" t="s">
        <v>14</v>
      </c>
      <c r="P5" s="17" t="s">
        <v>10</v>
      </c>
      <c r="Q5" s="130">
        <v>0.94179999999999997</v>
      </c>
      <c r="R5" s="48" t="s">
        <v>617</v>
      </c>
      <c r="S5" s="67" t="s">
        <v>555</v>
      </c>
      <c r="T5" s="43">
        <v>100</v>
      </c>
      <c r="U5" s="34" t="s">
        <v>411</v>
      </c>
      <c r="V5" s="17" t="s">
        <v>660</v>
      </c>
      <c r="W5" s="17" t="s">
        <v>287</v>
      </c>
      <c r="X5" s="34">
        <v>12</v>
      </c>
      <c r="Y5" s="99">
        <f t="shared" si="3"/>
        <v>304.79999999999995</v>
      </c>
      <c r="Z5" s="99"/>
      <c r="AA5" s="48" t="s">
        <v>664</v>
      </c>
      <c r="AB5" s="49">
        <v>120</v>
      </c>
      <c r="AC5" s="34">
        <f t="shared" si="0"/>
        <v>132</v>
      </c>
      <c r="AD5" s="17">
        <v>14</v>
      </c>
      <c r="AE5" s="19">
        <f t="shared" si="1"/>
        <v>14.700000000000001</v>
      </c>
      <c r="AF5" s="19">
        <v>0.35</v>
      </c>
      <c r="AG5" s="19">
        <f t="shared" si="4"/>
        <v>15.05</v>
      </c>
      <c r="AH5" s="86">
        <f>AI5*AO9</f>
        <v>14386.1</v>
      </c>
      <c r="AI5" s="37">
        <v>131.5</v>
      </c>
      <c r="AJ5" s="17"/>
      <c r="AK5" s="18">
        <v>202282</v>
      </c>
      <c r="AL5" s="37">
        <f t="shared" si="5"/>
        <v>56.189444444444447</v>
      </c>
      <c r="AM5" s="17">
        <v>120</v>
      </c>
      <c r="AN5" s="17">
        <v>92.3</v>
      </c>
      <c r="AO5" s="17">
        <v>116.6</v>
      </c>
      <c r="AP5" s="17" t="s">
        <v>11</v>
      </c>
      <c r="AQ5" s="17" t="s">
        <v>99</v>
      </c>
      <c r="AR5" s="34">
        <v>3</v>
      </c>
      <c r="AS5" s="20">
        <f t="shared" si="6"/>
        <v>13.162386092320499</v>
      </c>
      <c r="AT5" s="17">
        <v>136</v>
      </c>
      <c r="AU5" s="17" t="s">
        <v>230</v>
      </c>
      <c r="AV5" s="34">
        <f>AB5+30+AR5</f>
        <v>153</v>
      </c>
      <c r="AW5" s="17"/>
    </row>
    <row r="6" spans="1:52" ht="198">
      <c r="A6" s="8">
        <v>42</v>
      </c>
      <c r="B6" s="113" t="s">
        <v>616</v>
      </c>
      <c r="C6" s="102" t="s">
        <v>616</v>
      </c>
      <c r="D6" s="171"/>
      <c r="E6" s="103" t="s">
        <v>8</v>
      </c>
      <c r="F6" s="103" t="s">
        <v>240</v>
      </c>
      <c r="G6" s="102" t="s">
        <v>346</v>
      </c>
      <c r="H6" s="102" t="s">
        <v>555</v>
      </c>
      <c r="I6" s="102" t="s">
        <v>422</v>
      </c>
      <c r="J6" s="102">
        <v>176.1</v>
      </c>
      <c r="K6" s="102">
        <v>-10.3</v>
      </c>
      <c r="L6" s="102">
        <v>44.8</v>
      </c>
      <c r="M6" s="88">
        <f t="shared" si="2"/>
        <v>9.7999999999999972</v>
      </c>
      <c r="N6" s="15"/>
      <c r="O6" s="17" t="s">
        <v>15</v>
      </c>
      <c r="P6" s="17" t="s">
        <v>10</v>
      </c>
      <c r="Q6" s="130">
        <v>0.93730000000000002</v>
      </c>
      <c r="R6" s="48" t="s">
        <v>618</v>
      </c>
      <c r="S6" s="67" t="s">
        <v>555</v>
      </c>
      <c r="T6" s="43">
        <v>100</v>
      </c>
      <c r="U6" s="34" t="s">
        <v>411</v>
      </c>
      <c r="V6" s="17" t="s">
        <v>662</v>
      </c>
      <c r="W6" s="17" t="s">
        <v>288</v>
      </c>
      <c r="X6" s="34">
        <v>12</v>
      </c>
      <c r="Y6" s="99">
        <f t="shared" si="3"/>
        <v>304.79999999999995</v>
      </c>
      <c r="Z6" s="99"/>
      <c r="AA6" s="48" t="s">
        <v>665</v>
      </c>
      <c r="AB6" s="49">
        <v>120</v>
      </c>
      <c r="AC6" s="34">
        <f t="shared" si="0"/>
        <v>132</v>
      </c>
      <c r="AD6" s="17">
        <v>14.15</v>
      </c>
      <c r="AE6" s="19">
        <f t="shared" si="1"/>
        <v>14.857500000000002</v>
      </c>
      <c r="AF6" s="19">
        <v>0.35</v>
      </c>
      <c r="AG6" s="19">
        <f t="shared" si="4"/>
        <v>15.207500000000001</v>
      </c>
      <c r="AH6" s="86">
        <f>AI6*AO9</f>
        <v>14386.1</v>
      </c>
      <c r="AI6" s="37">
        <v>131.5</v>
      </c>
      <c r="AJ6" s="17"/>
      <c r="AK6" s="18">
        <v>119115</v>
      </c>
      <c r="AL6" s="37">
        <f t="shared" si="5"/>
        <v>33.087499999999999</v>
      </c>
      <c r="AM6" s="17">
        <v>120</v>
      </c>
      <c r="AN6" s="17">
        <v>87.2</v>
      </c>
      <c r="AO6" s="17">
        <v>119.3</v>
      </c>
      <c r="AP6" s="17" t="s">
        <v>11</v>
      </c>
      <c r="AQ6" s="17" t="s">
        <v>174</v>
      </c>
      <c r="AR6" s="34">
        <v>3</v>
      </c>
      <c r="AS6" s="20">
        <f t="shared" si="6"/>
        <v>13.162386092320499</v>
      </c>
      <c r="AT6" s="17">
        <v>136</v>
      </c>
      <c r="AU6" s="17" t="s">
        <v>230</v>
      </c>
      <c r="AV6" s="34">
        <f>AB6+30+AR6</f>
        <v>153</v>
      </c>
      <c r="AW6" s="17"/>
    </row>
    <row r="7" spans="1:52" s="13" customFormat="1" ht="99">
      <c r="A7" s="13">
        <v>57</v>
      </c>
      <c r="B7" s="113" t="s">
        <v>359</v>
      </c>
      <c r="C7" s="102" t="s">
        <v>359</v>
      </c>
      <c r="D7" s="102" t="s">
        <v>17</v>
      </c>
      <c r="E7" s="103" t="s">
        <v>746</v>
      </c>
      <c r="F7" s="154" t="s">
        <v>161</v>
      </c>
      <c r="G7" s="102" t="s">
        <v>331</v>
      </c>
      <c r="H7" s="102" t="s">
        <v>468</v>
      </c>
      <c r="I7" s="102" t="s">
        <v>422</v>
      </c>
      <c r="J7" s="102">
        <v>176.9</v>
      </c>
      <c r="K7" s="102">
        <v>20.6</v>
      </c>
      <c r="L7" s="102">
        <v>31.5</v>
      </c>
      <c r="M7" s="88">
        <f>L7-N1</f>
        <v>2.5</v>
      </c>
      <c r="N7" s="16"/>
      <c r="O7" s="21" t="s">
        <v>426</v>
      </c>
      <c r="P7" s="21" t="s">
        <v>22</v>
      </c>
      <c r="Q7" s="23" t="s">
        <v>60</v>
      </c>
      <c r="R7" s="40" t="s">
        <v>210</v>
      </c>
      <c r="S7" s="40" t="s">
        <v>212</v>
      </c>
      <c r="T7" s="44">
        <f>6/365*100</f>
        <v>1.6438356164383561</v>
      </c>
      <c r="U7" s="21" t="s">
        <v>413</v>
      </c>
      <c r="V7" s="21" t="s">
        <v>352</v>
      </c>
      <c r="W7" s="21" t="s">
        <v>289</v>
      </c>
      <c r="X7" s="21">
        <v>12</v>
      </c>
      <c r="Y7" s="99">
        <f t="shared" si="3"/>
        <v>304.79999999999995</v>
      </c>
      <c r="Z7" s="99"/>
      <c r="AA7" s="40" t="s">
        <v>533</v>
      </c>
      <c r="AB7" s="49">
        <v>120</v>
      </c>
      <c r="AC7" s="34">
        <f t="shared" si="0"/>
        <v>132</v>
      </c>
      <c r="AD7" s="21">
        <v>19.79</v>
      </c>
      <c r="AE7" s="19">
        <f t="shared" si="1"/>
        <v>20.779499999999999</v>
      </c>
      <c r="AF7" s="37">
        <v>3.36</v>
      </c>
      <c r="AG7" s="19">
        <f t="shared" si="4"/>
        <v>24.139499999999998</v>
      </c>
      <c r="AH7" s="86">
        <f>AI7*AO77</f>
        <v>94234.799999999988</v>
      </c>
      <c r="AI7" s="37">
        <v>121</v>
      </c>
      <c r="AJ7" s="21"/>
      <c r="AK7" s="22">
        <v>164605.35999999999</v>
      </c>
      <c r="AL7" s="37">
        <f t="shared" si="5"/>
        <v>45.723711111111108</v>
      </c>
      <c r="AM7" s="21">
        <v>141.81</v>
      </c>
      <c r="AN7" s="21">
        <v>80</v>
      </c>
      <c r="AO7" s="21">
        <v>748.4</v>
      </c>
      <c r="AP7" s="21" t="s">
        <v>261</v>
      </c>
      <c r="AQ7" s="23" t="s">
        <v>25</v>
      </c>
      <c r="AR7" s="23" t="s">
        <v>25</v>
      </c>
      <c r="AS7" s="20">
        <f t="shared" si="6"/>
        <v>0</v>
      </c>
      <c r="AT7" s="23">
        <v>0</v>
      </c>
      <c r="AU7" s="21" t="s">
        <v>231</v>
      </c>
      <c r="AV7" s="23" t="s">
        <v>422</v>
      </c>
      <c r="AW7" s="21"/>
    </row>
    <row r="8" spans="1:52" s="13" customFormat="1" ht="82.5">
      <c r="A8" s="13">
        <v>58</v>
      </c>
      <c r="B8" s="113" t="s">
        <v>360</v>
      </c>
      <c r="C8" s="102" t="s">
        <v>360</v>
      </c>
      <c r="D8" s="102" t="s">
        <v>311</v>
      </c>
      <c r="E8" s="160" t="s">
        <v>746</v>
      </c>
      <c r="F8" s="154" t="s">
        <v>161</v>
      </c>
      <c r="G8" s="102" t="s">
        <v>332</v>
      </c>
      <c r="H8" s="102" t="s">
        <v>469</v>
      </c>
      <c r="I8" s="102" t="s">
        <v>422</v>
      </c>
      <c r="J8" s="102">
        <v>165.5</v>
      </c>
      <c r="K8" s="102">
        <v>9.5</v>
      </c>
      <c r="L8" s="102">
        <v>30.5</v>
      </c>
      <c r="M8" s="88">
        <f>L8-N1</f>
        <v>1.5</v>
      </c>
      <c r="N8" s="16"/>
      <c r="O8" s="21" t="s">
        <v>426</v>
      </c>
      <c r="P8" s="21" t="s">
        <v>22</v>
      </c>
      <c r="Q8" s="23" t="s">
        <v>60</v>
      </c>
      <c r="R8" s="40" t="s">
        <v>211</v>
      </c>
      <c r="S8" s="40" t="s">
        <v>213</v>
      </c>
      <c r="T8" s="44">
        <f>6/365*100</f>
        <v>1.6438356164383561</v>
      </c>
      <c r="U8" s="21" t="s">
        <v>413</v>
      </c>
      <c r="V8" s="21" t="s">
        <v>284</v>
      </c>
      <c r="W8" s="21" t="s">
        <v>290</v>
      </c>
      <c r="X8" s="21">
        <v>8</v>
      </c>
      <c r="Y8" s="99">
        <f t="shared" si="3"/>
        <v>203.2</v>
      </c>
      <c r="Z8" s="99"/>
      <c r="AA8" s="40" t="s">
        <v>534</v>
      </c>
      <c r="AB8" s="49">
        <v>120</v>
      </c>
      <c r="AC8" s="34">
        <f t="shared" si="0"/>
        <v>128</v>
      </c>
      <c r="AD8" s="21">
        <v>1.36</v>
      </c>
      <c r="AE8" s="19">
        <f t="shared" si="1"/>
        <v>1.4280000000000002</v>
      </c>
      <c r="AF8" s="37">
        <v>0.22</v>
      </c>
      <c r="AG8" s="19">
        <f t="shared" si="4"/>
        <v>1.6480000000000001</v>
      </c>
      <c r="AH8" s="86">
        <f>AI8*AO77</f>
        <v>94234.799999999988</v>
      </c>
      <c r="AI8" s="37">
        <v>121</v>
      </c>
      <c r="AJ8" s="21"/>
      <c r="AK8" s="22">
        <v>43839.37</v>
      </c>
      <c r="AL8" s="37">
        <f t="shared" si="5"/>
        <v>12.177602777777778</v>
      </c>
      <c r="AM8" s="21">
        <v>14.67</v>
      </c>
      <c r="AN8" s="21">
        <v>16.73</v>
      </c>
      <c r="AO8" s="21">
        <v>797.3</v>
      </c>
      <c r="AP8" s="21" t="s">
        <v>262</v>
      </c>
      <c r="AQ8" s="23" t="s">
        <v>25</v>
      </c>
      <c r="AR8" s="23" t="s">
        <v>25</v>
      </c>
      <c r="AS8" s="20">
        <f t="shared" si="6"/>
        <v>0</v>
      </c>
      <c r="AT8" s="23">
        <v>0</v>
      </c>
      <c r="AU8" s="21" t="s">
        <v>231</v>
      </c>
      <c r="AV8" s="23" t="s">
        <v>422</v>
      </c>
      <c r="AW8" s="21"/>
    </row>
    <row r="9" spans="1:52" ht="115.5">
      <c r="A9" s="13">
        <v>43</v>
      </c>
      <c r="B9" s="161" t="s">
        <v>18</v>
      </c>
      <c r="C9" s="102" t="s">
        <v>361</v>
      </c>
      <c r="D9" s="171" t="s">
        <v>19</v>
      </c>
      <c r="E9" s="103" t="s">
        <v>8</v>
      </c>
      <c r="F9" s="103" t="s">
        <v>241</v>
      </c>
      <c r="G9" s="102" t="s">
        <v>333</v>
      </c>
      <c r="H9" s="68" t="s">
        <v>20</v>
      </c>
      <c r="I9" s="102" t="s">
        <v>422</v>
      </c>
      <c r="J9" s="102">
        <v>185</v>
      </c>
      <c r="K9" s="102">
        <v>-9</v>
      </c>
      <c r="L9" s="102">
        <v>40.5</v>
      </c>
      <c r="M9" s="88">
        <f t="shared" si="2"/>
        <v>5.5</v>
      </c>
      <c r="N9" s="15"/>
      <c r="O9" s="17">
        <v>1</v>
      </c>
      <c r="P9" s="17" t="s">
        <v>10</v>
      </c>
      <c r="Q9" s="130">
        <v>0.93789999999999996</v>
      </c>
      <c r="R9" s="48" t="s">
        <v>593</v>
      </c>
      <c r="S9" s="48" t="s">
        <v>20</v>
      </c>
      <c r="T9" s="43">
        <v>100</v>
      </c>
      <c r="U9" s="34" t="s">
        <v>411</v>
      </c>
      <c r="V9" s="17" t="s">
        <v>666</v>
      </c>
      <c r="W9" s="17" t="s">
        <v>291</v>
      </c>
      <c r="X9" s="34">
        <v>20</v>
      </c>
      <c r="Y9" s="99">
        <f t="shared" si="3"/>
        <v>508</v>
      </c>
      <c r="Z9" s="99"/>
      <c r="AA9" s="48" t="s">
        <v>667</v>
      </c>
      <c r="AB9" s="49">
        <v>120</v>
      </c>
      <c r="AC9" s="34">
        <f t="shared" si="0"/>
        <v>140</v>
      </c>
      <c r="AD9" s="17">
        <v>16.91</v>
      </c>
      <c r="AE9" s="19">
        <f t="shared" si="1"/>
        <v>17.755500000000001</v>
      </c>
      <c r="AF9" s="19">
        <v>113.7</v>
      </c>
      <c r="AG9" s="19">
        <f t="shared" si="4"/>
        <v>131.4555</v>
      </c>
      <c r="AH9" s="86">
        <f>AI9*AO36</f>
        <v>7613.4500000000007</v>
      </c>
      <c r="AI9" s="37">
        <v>68.900000000000006</v>
      </c>
      <c r="AJ9" s="17"/>
      <c r="AK9" s="18">
        <v>604716</v>
      </c>
      <c r="AL9" s="37">
        <f t="shared" si="5"/>
        <v>167.97666666666666</v>
      </c>
      <c r="AM9" s="17">
        <v>110.5</v>
      </c>
      <c r="AN9" s="17">
        <v>87.3</v>
      </c>
      <c r="AO9" s="17">
        <v>109.4</v>
      </c>
      <c r="AP9" s="17" t="s">
        <v>21</v>
      </c>
      <c r="AQ9" s="21" t="s">
        <v>348</v>
      </c>
      <c r="AR9" s="21">
        <v>8</v>
      </c>
      <c r="AS9" s="20" t="s">
        <v>260</v>
      </c>
      <c r="AT9" s="21" t="s">
        <v>248</v>
      </c>
      <c r="AU9" s="21" t="s">
        <v>242</v>
      </c>
      <c r="AV9" s="34">
        <f>AB9+30+AR9</f>
        <v>158</v>
      </c>
      <c r="AW9" s="17">
        <f>SQRT(1224/3.14)*2</f>
        <v>39.487158276961495</v>
      </c>
      <c r="AX9" s="17">
        <f>SQRT(1714/3.14)*2</f>
        <v>46.727288498754774</v>
      </c>
    </row>
    <row r="10" spans="1:52" ht="66">
      <c r="A10" s="13">
        <v>44</v>
      </c>
      <c r="B10" s="162"/>
      <c r="C10" s="102" t="s">
        <v>362</v>
      </c>
      <c r="D10" s="171"/>
      <c r="E10" s="103" t="s">
        <v>8</v>
      </c>
      <c r="F10" s="103" t="s">
        <v>241</v>
      </c>
      <c r="G10" s="102" t="s">
        <v>333</v>
      </c>
      <c r="H10" s="68" t="s">
        <v>23</v>
      </c>
      <c r="I10" s="102" t="s">
        <v>422</v>
      </c>
      <c r="J10" s="102">
        <v>172.8</v>
      </c>
      <c r="K10" s="102">
        <v>-8.9</v>
      </c>
      <c r="L10" s="102">
        <v>36.1</v>
      </c>
      <c r="M10" s="88">
        <f t="shared" si="2"/>
        <v>1.1000000000000014</v>
      </c>
      <c r="N10" s="15"/>
      <c r="O10" s="24" t="s">
        <v>177</v>
      </c>
      <c r="P10" s="17" t="s">
        <v>22</v>
      </c>
      <c r="Q10" s="130">
        <v>0</v>
      </c>
      <c r="R10" s="48" t="s">
        <v>594</v>
      </c>
      <c r="S10" s="48" t="s">
        <v>23</v>
      </c>
      <c r="T10" s="43" t="s">
        <v>620</v>
      </c>
      <c r="U10" s="34" t="s">
        <v>411</v>
      </c>
      <c r="V10" s="17" t="s">
        <v>623</v>
      </c>
      <c r="W10" s="17" t="s">
        <v>292</v>
      </c>
      <c r="X10" s="34">
        <v>10</v>
      </c>
      <c r="Y10" s="99">
        <f t="shared" si="3"/>
        <v>254</v>
      </c>
      <c r="Z10" s="99"/>
      <c r="AA10" s="48" t="s">
        <v>535</v>
      </c>
      <c r="AB10" s="49">
        <v>120</v>
      </c>
      <c r="AC10" s="34">
        <f t="shared" si="0"/>
        <v>130</v>
      </c>
      <c r="AD10" s="17">
        <v>0.68</v>
      </c>
      <c r="AE10" s="19">
        <f t="shared" si="1"/>
        <v>0.71400000000000008</v>
      </c>
      <c r="AF10" s="37">
        <v>32.9</v>
      </c>
      <c r="AG10" s="19">
        <f t="shared" si="4"/>
        <v>33.613999999999997</v>
      </c>
      <c r="AH10" s="86">
        <f>AI10*AO11</f>
        <v>5790.7699999999995</v>
      </c>
      <c r="AI10" s="37">
        <v>22.7</v>
      </c>
      <c r="AJ10" s="17"/>
      <c r="AK10" s="18">
        <v>148653</v>
      </c>
      <c r="AL10" s="37">
        <f t="shared" si="5"/>
        <v>41.292499999999997</v>
      </c>
      <c r="AM10" s="17">
        <v>110.5</v>
      </c>
      <c r="AN10" s="17">
        <v>87.3</v>
      </c>
      <c r="AO10" s="17">
        <v>721.5</v>
      </c>
      <c r="AP10" s="17" t="s">
        <v>24</v>
      </c>
      <c r="AQ10" s="17" t="s">
        <v>25</v>
      </c>
      <c r="AR10" s="23" t="s">
        <v>25</v>
      </c>
      <c r="AS10" s="20">
        <f t="shared" si="6"/>
        <v>0</v>
      </c>
      <c r="AT10" s="17">
        <v>0</v>
      </c>
      <c r="AU10" s="17"/>
      <c r="AV10" s="23" t="s">
        <v>422</v>
      </c>
      <c r="AW10" s="17"/>
    </row>
    <row r="11" spans="1:52" ht="280.5">
      <c r="A11" s="13">
        <v>45</v>
      </c>
      <c r="B11" s="161" t="s">
        <v>26</v>
      </c>
      <c r="C11" s="102" t="s">
        <v>363</v>
      </c>
      <c r="D11" s="171" t="s">
        <v>27</v>
      </c>
      <c r="E11" s="103" t="s">
        <v>8</v>
      </c>
      <c r="F11" s="103" t="s">
        <v>241</v>
      </c>
      <c r="G11" s="102" t="s">
        <v>333</v>
      </c>
      <c r="H11" s="102" t="s">
        <v>470</v>
      </c>
      <c r="I11" s="102" t="s">
        <v>422</v>
      </c>
      <c r="J11" s="102">
        <v>181</v>
      </c>
      <c r="K11" s="102">
        <v>-18</v>
      </c>
      <c r="L11" s="102">
        <v>41</v>
      </c>
      <c r="M11" s="88">
        <f t="shared" si="2"/>
        <v>6</v>
      </c>
      <c r="N11" s="15"/>
      <c r="O11" s="17">
        <v>3</v>
      </c>
      <c r="P11" s="17" t="s">
        <v>22</v>
      </c>
      <c r="Q11" s="130">
        <v>0.23130000000000001</v>
      </c>
      <c r="R11" s="76" t="s">
        <v>595</v>
      </c>
      <c r="S11" s="48" t="s">
        <v>28</v>
      </c>
      <c r="T11" s="43">
        <v>100</v>
      </c>
      <c r="U11" s="34" t="s">
        <v>411</v>
      </c>
      <c r="V11" s="17" t="s">
        <v>668</v>
      </c>
      <c r="W11" s="17" t="s">
        <v>293</v>
      </c>
      <c r="X11" s="34">
        <v>20</v>
      </c>
      <c r="Y11" s="99">
        <f t="shared" si="3"/>
        <v>508</v>
      </c>
      <c r="Z11" s="99"/>
      <c r="AA11" s="48" t="s">
        <v>669</v>
      </c>
      <c r="AB11" s="49">
        <v>120</v>
      </c>
      <c r="AC11" s="34">
        <f t="shared" si="0"/>
        <v>140</v>
      </c>
      <c r="AD11" s="21">
        <v>21.65</v>
      </c>
      <c r="AE11" s="19">
        <f t="shared" si="1"/>
        <v>22.732499999999998</v>
      </c>
      <c r="AF11" s="37"/>
      <c r="AG11" s="19">
        <f t="shared" si="4"/>
        <v>22.732499999999998</v>
      </c>
      <c r="AH11" s="86">
        <f>AI11*AO10</f>
        <v>24242.400000000001</v>
      </c>
      <c r="AI11" s="37">
        <v>33.6</v>
      </c>
      <c r="AJ11" s="17"/>
      <c r="AK11" s="18">
        <v>163575</v>
      </c>
      <c r="AL11" s="37">
        <f t="shared" si="5"/>
        <v>45.4375</v>
      </c>
      <c r="AM11" s="17">
        <v>27</v>
      </c>
      <c r="AN11" s="17">
        <v>78.900000000000006</v>
      </c>
      <c r="AO11" s="17">
        <v>255.1</v>
      </c>
      <c r="AP11" s="17" t="s">
        <v>29</v>
      </c>
      <c r="AQ11" s="17" t="s">
        <v>25</v>
      </c>
      <c r="AR11" s="23" t="s">
        <v>25</v>
      </c>
      <c r="AS11" s="20">
        <f t="shared" si="6"/>
        <v>0</v>
      </c>
      <c r="AT11" s="17">
        <v>0</v>
      </c>
      <c r="AU11" s="17"/>
      <c r="AV11" s="23" t="s">
        <v>422</v>
      </c>
      <c r="AW11" s="17"/>
    </row>
    <row r="12" spans="1:52" ht="66">
      <c r="A12" s="13">
        <v>46</v>
      </c>
      <c r="B12" s="177"/>
      <c r="C12" s="102" t="s">
        <v>364</v>
      </c>
      <c r="D12" s="171"/>
      <c r="E12" s="103" t="s">
        <v>8</v>
      </c>
      <c r="F12" s="103" t="s">
        <v>241</v>
      </c>
      <c r="G12" s="102" t="s">
        <v>333</v>
      </c>
      <c r="H12" s="102" t="s">
        <v>471</v>
      </c>
      <c r="I12" s="102" t="s">
        <v>422</v>
      </c>
      <c r="J12" s="102">
        <v>173</v>
      </c>
      <c r="K12" s="102">
        <v>-18</v>
      </c>
      <c r="L12" s="102">
        <v>41</v>
      </c>
      <c r="M12" s="88">
        <f t="shared" si="2"/>
        <v>6</v>
      </c>
      <c r="N12" s="15"/>
      <c r="O12" s="17">
        <v>4</v>
      </c>
      <c r="P12" s="17" t="s">
        <v>10</v>
      </c>
      <c r="Q12" s="130">
        <v>1</v>
      </c>
      <c r="R12" s="48" t="s">
        <v>30</v>
      </c>
      <c r="S12" s="48" t="s">
        <v>31</v>
      </c>
      <c r="T12" s="43">
        <v>100</v>
      </c>
      <c r="U12" s="34" t="s">
        <v>411</v>
      </c>
      <c r="V12" s="17" t="s">
        <v>624</v>
      </c>
      <c r="W12" s="17" t="s">
        <v>186</v>
      </c>
      <c r="X12" s="34">
        <v>16</v>
      </c>
      <c r="Y12" s="99">
        <f t="shared" si="3"/>
        <v>406.4</v>
      </c>
      <c r="Z12" s="99"/>
      <c r="AA12" s="48" t="s">
        <v>670</v>
      </c>
      <c r="AB12" s="49">
        <v>120</v>
      </c>
      <c r="AC12" s="34">
        <f t="shared" si="0"/>
        <v>136</v>
      </c>
      <c r="AD12" s="21">
        <v>8.3699999999999992</v>
      </c>
      <c r="AE12" s="19">
        <f t="shared" si="1"/>
        <v>8.7884999999999991</v>
      </c>
      <c r="AF12" s="37">
        <v>76.900000000000006</v>
      </c>
      <c r="AG12" s="19">
        <f t="shared" si="4"/>
        <v>85.688500000000005</v>
      </c>
      <c r="AH12" s="86">
        <f>AI12*AO35</f>
        <v>348.46000000000004</v>
      </c>
      <c r="AI12" s="37">
        <v>13.3</v>
      </c>
      <c r="AJ12" s="17"/>
      <c r="AK12" s="18">
        <v>9523</v>
      </c>
      <c r="AL12" s="37">
        <f t="shared" si="5"/>
        <v>2.6452777777777778</v>
      </c>
      <c r="AM12" s="17">
        <v>26.9</v>
      </c>
      <c r="AN12" s="17">
        <v>78.900000000000006</v>
      </c>
      <c r="AO12" s="17">
        <v>21.7</v>
      </c>
      <c r="AP12" s="17" t="s">
        <v>29</v>
      </c>
      <c r="AQ12" s="17" t="s">
        <v>32</v>
      </c>
      <c r="AR12" s="34">
        <v>4</v>
      </c>
      <c r="AS12" s="20">
        <f t="shared" si="6"/>
        <v>41.17695230676847</v>
      </c>
      <c r="AT12" s="17">
        <v>1331</v>
      </c>
      <c r="AU12" s="17"/>
      <c r="AV12" s="34">
        <f>AB12+30+AR12</f>
        <v>154</v>
      </c>
      <c r="AW12" s="17"/>
    </row>
    <row r="13" spans="1:52" ht="99">
      <c r="A13" s="13">
        <v>47</v>
      </c>
      <c r="B13" s="162"/>
      <c r="C13" s="102" t="s">
        <v>365</v>
      </c>
      <c r="D13" s="171"/>
      <c r="E13" s="103" t="s">
        <v>8</v>
      </c>
      <c r="F13" s="103" t="s">
        <v>241</v>
      </c>
      <c r="G13" s="102" t="s">
        <v>333</v>
      </c>
      <c r="H13" s="102" t="s">
        <v>471</v>
      </c>
      <c r="I13" s="102" t="s">
        <v>422</v>
      </c>
      <c r="J13" s="102">
        <v>174</v>
      </c>
      <c r="K13" s="102">
        <v>-19</v>
      </c>
      <c r="L13" s="102">
        <v>36</v>
      </c>
      <c r="M13" s="88">
        <f t="shared" si="2"/>
        <v>1</v>
      </c>
      <c r="N13" s="15"/>
      <c r="O13" s="17">
        <v>151</v>
      </c>
      <c r="P13" s="17" t="s">
        <v>22</v>
      </c>
      <c r="Q13" s="130">
        <v>0</v>
      </c>
      <c r="R13" s="48" t="s">
        <v>30</v>
      </c>
      <c r="S13" s="48" t="s">
        <v>31</v>
      </c>
      <c r="T13" s="43">
        <v>100</v>
      </c>
      <c r="U13" s="34" t="s">
        <v>411</v>
      </c>
      <c r="V13" s="17" t="s">
        <v>625</v>
      </c>
      <c r="W13" s="17" t="s">
        <v>271</v>
      </c>
      <c r="X13" s="34">
        <v>12</v>
      </c>
      <c r="Y13" s="99">
        <f t="shared" si="3"/>
        <v>304.79999999999995</v>
      </c>
      <c r="Z13" s="99"/>
      <c r="AA13" s="48" t="s">
        <v>671</v>
      </c>
      <c r="AB13" s="49">
        <v>120</v>
      </c>
      <c r="AC13" s="34">
        <f t="shared" si="0"/>
        <v>132</v>
      </c>
      <c r="AD13" s="21">
        <v>1</v>
      </c>
      <c r="AE13" s="19">
        <f t="shared" si="1"/>
        <v>1.05</v>
      </c>
      <c r="AF13" s="37">
        <v>50.8</v>
      </c>
      <c r="AG13" s="19">
        <f t="shared" si="4"/>
        <v>51.849999999999994</v>
      </c>
      <c r="AH13" s="86">
        <f>AI13*AO11</f>
        <v>5790.7699999999995</v>
      </c>
      <c r="AI13" s="37">
        <v>22.7</v>
      </c>
      <c r="AJ13" s="17"/>
      <c r="AK13" s="18">
        <v>154052</v>
      </c>
      <c r="AL13" s="37">
        <f t="shared" si="5"/>
        <v>42.792222222222222</v>
      </c>
      <c r="AM13" s="17">
        <v>27</v>
      </c>
      <c r="AN13" s="17">
        <v>78.900000000000006</v>
      </c>
      <c r="AO13" s="17">
        <v>757.6</v>
      </c>
      <c r="AP13" s="17" t="s">
        <v>29</v>
      </c>
      <c r="AQ13" s="17" t="s">
        <v>25</v>
      </c>
      <c r="AR13" s="23" t="s">
        <v>25</v>
      </c>
      <c r="AS13" s="20">
        <f t="shared" si="6"/>
        <v>0</v>
      </c>
      <c r="AT13" s="17">
        <v>0</v>
      </c>
      <c r="AU13" s="17"/>
      <c r="AV13" s="23" t="s">
        <v>422</v>
      </c>
      <c r="AW13" s="17"/>
    </row>
    <row r="14" spans="1:52" ht="330">
      <c r="A14" s="13">
        <v>34</v>
      </c>
      <c r="B14" s="161" t="s">
        <v>37</v>
      </c>
      <c r="C14" s="102" t="s">
        <v>366</v>
      </c>
      <c r="D14" s="171" t="s">
        <v>38</v>
      </c>
      <c r="E14" s="103" t="s">
        <v>39</v>
      </c>
      <c r="F14" s="103" t="s">
        <v>240</v>
      </c>
      <c r="G14" s="102" t="s">
        <v>467</v>
      </c>
      <c r="H14" s="102" t="s">
        <v>472</v>
      </c>
      <c r="I14" s="102" t="s">
        <v>422</v>
      </c>
      <c r="J14" s="102">
        <v>157.9</v>
      </c>
      <c r="K14" s="102">
        <v>-9.3000000000000007</v>
      </c>
      <c r="L14" s="102">
        <v>44.8</v>
      </c>
      <c r="M14" s="88">
        <f t="shared" si="2"/>
        <v>9.7999999999999972</v>
      </c>
      <c r="N14" s="15"/>
      <c r="O14" s="17">
        <v>6</v>
      </c>
      <c r="P14" s="17" t="s">
        <v>22</v>
      </c>
      <c r="Q14" s="130">
        <v>0.27700000000000002</v>
      </c>
      <c r="R14" s="48" t="s">
        <v>179</v>
      </c>
      <c r="S14" s="48" t="s">
        <v>40</v>
      </c>
      <c r="T14" s="43">
        <v>100</v>
      </c>
      <c r="U14" s="34" t="s">
        <v>411</v>
      </c>
      <c r="V14" s="17" t="s">
        <v>626</v>
      </c>
      <c r="W14" s="17" t="s">
        <v>220</v>
      </c>
      <c r="X14" s="34">
        <v>12</v>
      </c>
      <c r="Y14" s="99">
        <f t="shared" si="3"/>
        <v>304.79999999999995</v>
      </c>
      <c r="Z14" s="99"/>
      <c r="AA14" s="48" t="s">
        <v>672</v>
      </c>
      <c r="AB14" s="49">
        <v>120</v>
      </c>
      <c r="AC14" s="34">
        <f t="shared" si="0"/>
        <v>132</v>
      </c>
      <c r="AD14" s="17">
        <v>18.11</v>
      </c>
      <c r="AE14" s="19">
        <f t="shared" si="1"/>
        <v>19.015499999999999</v>
      </c>
      <c r="AF14" s="37">
        <v>1.62</v>
      </c>
      <c r="AG14" s="19">
        <f t="shared" si="4"/>
        <v>20.6355</v>
      </c>
      <c r="AH14" s="86">
        <f>AI14*AO13</f>
        <v>39319.440000000002</v>
      </c>
      <c r="AI14" s="37">
        <v>51.9</v>
      </c>
      <c r="AJ14" s="17"/>
      <c r="AK14" s="18">
        <v>205157</v>
      </c>
      <c r="AL14" s="37">
        <f t="shared" si="5"/>
        <v>56.988055555555555</v>
      </c>
      <c r="AM14" s="17">
        <v>10</v>
      </c>
      <c r="AN14" s="17">
        <v>62.6</v>
      </c>
      <c r="AO14" s="17">
        <v>95.7</v>
      </c>
      <c r="AP14" s="17" t="s">
        <v>42</v>
      </c>
      <c r="AQ14" s="21" t="s">
        <v>178</v>
      </c>
      <c r="AR14" s="21">
        <v>4</v>
      </c>
      <c r="AS14" s="20">
        <f t="shared" si="6"/>
        <v>16.967559906243871</v>
      </c>
      <c r="AT14" s="26">
        <v>226</v>
      </c>
      <c r="AU14" s="26" t="s">
        <v>238</v>
      </c>
      <c r="AV14" s="34">
        <f>AB14+30+AR14</f>
        <v>154</v>
      </c>
      <c r="AW14" s="17"/>
    </row>
    <row r="15" spans="1:52" ht="49.5">
      <c r="A15" s="13">
        <v>35</v>
      </c>
      <c r="B15" s="177"/>
      <c r="C15" s="102" t="s">
        <v>367</v>
      </c>
      <c r="D15" s="171"/>
      <c r="E15" s="103" t="s">
        <v>39</v>
      </c>
      <c r="F15" s="103" t="s">
        <v>240</v>
      </c>
      <c r="G15" s="102" t="s">
        <v>473</v>
      </c>
      <c r="H15" s="102" t="s">
        <v>473</v>
      </c>
      <c r="I15" s="102" t="s">
        <v>422</v>
      </c>
      <c r="J15" s="102">
        <v>151.9</v>
      </c>
      <c r="K15" s="102">
        <v>-14.4</v>
      </c>
      <c r="L15" s="102">
        <v>49.3</v>
      </c>
      <c r="M15" s="88">
        <f t="shared" si="2"/>
        <v>14.299999999999997</v>
      </c>
      <c r="N15" s="15"/>
      <c r="O15" s="17">
        <v>7</v>
      </c>
      <c r="P15" s="17" t="s">
        <v>10</v>
      </c>
      <c r="Q15" s="130">
        <v>1</v>
      </c>
      <c r="R15" s="48" t="s">
        <v>43</v>
      </c>
      <c r="S15" s="48" t="s">
        <v>44</v>
      </c>
      <c r="T15" s="43">
        <v>100</v>
      </c>
      <c r="U15" s="34" t="s">
        <v>411</v>
      </c>
      <c r="V15" s="17" t="s">
        <v>627</v>
      </c>
      <c r="W15" s="17" t="s">
        <v>187</v>
      </c>
      <c r="X15" s="34">
        <v>10</v>
      </c>
      <c r="Y15" s="99">
        <f t="shared" si="3"/>
        <v>254</v>
      </c>
      <c r="Z15" s="99"/>
      <c r="AA15" s="48" t="s">
        <v>536</v>
      </c>
      <c r="AB15" s="49">
        <v>120</v>
      </c>
      <c r="AC15" s="34">
        <f t="shared" si="0"/>
        <v>130</v>
      </c>
      <c r="AD15" s="17">
        <v>1.41</v>
      </c>
      <c r="AE15" s="19">
        <f t="shared" si="1"/>
        <v>1.4804999999999999</v>
      </c>
      <c r="AF15" s="19">
        <v>27.8</v>
      </c>
      <c r="AG15" s="19">
        <f t="shared" si="4"/>
        <v>29.2805</v>
      </c>
      <c r="AH15" s="86">
        <f>AI15*AO27</f>
        <v>771.63</v>
      </c>
      <c r="AI15" s="37">
        <v>26.7</v>
      </c>
      <c r="AJ15" s="17"/>
      <c r="AK15" s="18">
        <v>21192</v>
      </c>
      <c r="AL15" s="37">
        <f t="shared" si="5"/>
        <v>5.8866666666666667</v>
      </c>
      <c r="AM15" s="17">
        <v>9.9</v>
      </c>
      <c r="AN15" s="17">
        <v>62.5</v>
      </c>
      <c r="AO15" s="17">
        <v>11</v>
      </c>
      <c r="AP15" s="17" t="s">
        <v>45</v>
      </c>
      <c r="AQ15" s="17" t="s">
        <v>180</v>
      </c>
      <c r="AR15" s="34">
        <v>3</v>
      </c>
      <c r="AS15" s="20">
        <f t="shared" si="6"/>
        <v>34.047550114359311</v>
      </c>
      <c r="AT15" s="17">
        <v>910</v>
      </c>
      <c r="AU15" s="17"/>
      <c r="AV15" s="34">
        <f>AB15+30+AR15</f>
        <v>153</v>
      </c>
      <c r="AW15" s="17"/>
      <c r="AY15" s="8" t="s">
        <v>41</v>
      </c>
    </row>
    <row r="16" spans="1:52" ht="82.5">
      <c r="A16" s="13">
        <v>36</v>
      </c>
      <c r="B16" s="162"/>
      <c r="C16" s="102" t="s">
        <v>368</v>
      </c>
      <c r="D16" s="171"/>
      <c r="E16" s="103" t="s">
        <v>39</v>
      </c>
      <c r="F16" s="103" t="s">
        <v>241</v>
      </c>
      <c r="G16" s="102" t="s">
        <v>474</v>
      </c>
      <c r="H16" s="102" t="s">
        <v>474</v>
      </c>
      <c r="I16" s="102" t="s">
        <v>422</v>
      </c>
      <c r="J16" s="102">
        <v>161</v>
      </c>
      <c r="K16" s="102">
        <v>-18.600000000000001</v>
      </c>
      <c r="L16" s="102">
        <v>39.799999999999997</v>
      </c>
      <c r="M16" s="88">
        <f t="shared" si="2"/>
        <v>4.7999999999999972</v>
      </c>
      <c r="N16" s="15"/>
      <c r="O16" s="24" t="s">
        <v>46</v>
      </c>
      <c r="P16" s="17" t="s">
        <v>22</v>
      </c>
      <c r="Q16" s="130">
        <v>0</v>
      </c>
      <c r="R16" s="48" t="s">
        <v>47</v>
      </c>
      <c r="S16" s="48" t="s">
        <v>48</v>
      </c>
      <c r="T16" s="43">
        <v>100</v>
      </c>
      <c r="U16" s="34" t="s">
        <v>411</v>
      </c>
      <c r="V16" s="17" t="s">
        <v>628</v>
      </c>
      <c r="W16" s="17" t="s">
        <v>272</v>
      </c>
      <c r="X16" s="34">
        <v>10</v>
      </c>
      <c r="Y16" s="99">
        <f t="shared" si="3"/>
        <v>254</v>
      </c>
      <c r="Z16" s="99"/>
      <c r="AA16" s="48" t="s">
        <v>673</v>
      </c>
      <c r="AB16" s="49">
        <v>120</v>
      </c>
      <c r="AC16" s="34">
        <f t="shared" si="0"/>
        <v>130</v>
      </c>
      <c r="AD16" s="17">
        <v>1.4</v>
      </c>
      <c r="AE16" s="19">
        <f t="shared" si="1"/>
        <v>1.47</v>
      </c>
      <c r="AF16" s="19">
        <f>32.9+42.4</f>
        <v>75.3</v>
      </c>
      <c r="AG16" s="19">
        <f t="shared" si="4"/>
        <v>76.77</v>
      </c>
      <c r="AH16" s="86">
        <f>AI16*AO17</f>
        <v>85292.239999999991</v>
      </c>
      <c r="AI16" s="37">
        <v>113.3</v>
      </c>
      <c r="AJ16" s="17"/>
      <c r="AK16" s="18">
        <v>183965</v>
      </c>
      <c r="AL16" s="37">
        <f t="shared" si="5"/>
        <v>51.101388888888891</v>
      </c>
      <c r="AM16" s="17">
        <v>10</v>
      </c>
      <c r="AN16" s="17">
        <v>62.6</v>
      </c>
      <c r="AO16" s="17">
        <v>748.4</v>
      </c>
      <c r="AP16" s="17" t="s">
        <v>49</v>
      </c>
      <c r="AQ16" s="17" t="s">
        <v>25</v>
      </c>
      <c r="AR16" s="23" t="s">
        <v>25</v>
      </c>
      <c r="AS16" s="20">
        <f t="shared" si="6"/>
        <v>0</v>
      </c>
      <c r="AT16" s="17">
        <v>0</v>
      </c>
      <c r="AU16" s="17"/>
      <c r="AV16" s="23" t="s">
        <v>422</v>
      </c>
      <c r="AW16" s="17"/>
    </row>
    <row r="17" spans="1:49" ht="99">
      <c r="A17" s="13">
        <v>37</v>
      </c>
      <c r="B17" s="161" t="s">
        <v>50</v>
      </c>
      <c r="C17" s="102" t="s">
        <v>369</v>
      </c>
      <c r="D17" s="171" t="s">
        <v>283</v>
      </c>
      <c r="E17" s="103" t="s">
        <v>39</v>
      </c>
      <c r="F17" s="103" t="s">
        <v>241</v>
      </c>
      <c r="G17" s="102" t="s">
        <v>475</v>
      </c>
      <c r="H17" s="68" t="s">
        <v>182</v>
      </c>
      <c r="I17" s="102" t="s">
        <v>422</v>
      </c>
      <c r="J17" s="102">
        <v>159.5</v>
      </c>
      <c r="K17" s="102">
        <v>-7.5</v>
      </c>
      <c r="L17" s="102">
        <v>36.5</v>
      </c>
      <c r="M17" s="88">
        <f t="shared" si="2"/>
        <v>1.5</v>
      </c>
      <c r="N17" s="15"/>
      <c r="O17" s="25" t="s">
        <v>181</v>
      </c>
      <c r="P17" s="17" t="s">
        <v>22</v>
      </c>
      <c r="Q17" s="130">
        <v>0</v>
      </c>
      <c r="R17" s="48" t="s">
        <v>183</v>
      </c>
      <c r="S17" s="48" t="s">
        <v>182</v>
      </c>
      <c r="T17" s="43">
        <v>100</v>
      </c>
      <c r="U17" s="34" t="s">
        <v>411</v>
      </c>
      <c r="V17" s="17" t="s">
        <v>294</v>
      </c>
      <c r="W17" s="17" t="s">
        <v>273</v>
      </c>
      <c r="X17" s="34">
        <v>10</v>
      </c>
      <c r="Y17" s="99">
        <f t="shared" si="3"/>
        <v>254</v>
      </c>
      <c r="Z17" s="99"/>
      <c r="AA17" s="48" t="s">
        <v>674</v>
      </c>
      <c r="AB17" s="49">
        <v>120</v>
      </c>
      <c r="AC17" s="34">
        <f t="shared" si="0"/>
        <v>130</v>
      </c>
      <c r="AD17" s="17">
        <v>20.89</v>
      </c>
      <c r="AE17" s="19">
        <f t="shared" si="1"/>
        <v>21.9345</v>
      </c>
      <c r="AF17" s="19">
        <v>91.37</v>
      </c>
      <c r="AG17" s="19">
        <f t="shared" si="4"/>
        <v>113.3045</v>
      </c>
      <c r="AH17" s="86">
        <f>AI17*AO16</f>
        <v>57477.119999999995</v>
      </c>
      <c r="AI17" s="37">
        <v>76.8</v>
      </c>
      <c r="AJ17" s="17"/>
      <c r="AK17" s="18">
        <v>159092</v>
      </c>
      <c r="AL17" s="37">
        <f t="shared" si="5"/>
        <v>44.19222222222222</v>
      </c>
      <c r="AM17" s="17">
        <v>8.5</v>
      </c>
      <c r="AN17" s="17">
        <v>74.3</v>
      </c>
      <c r="AO17" s="17">
        <v>752.8</v>
      </c>
      <c r="AP17" s="17" t="s">
        <v>263</v>
      </c>
      <c r="AQ17" s="17" t="s">
        <v>25</v>
      </c>
      <c r="AR17" s="23" t="s">
        <v>25</v>
      </c>
      <c r="AS17" s="20">
        <f t="shared" si="6"/>
        <v>0</v>
      </c>
      <c r="AT17" s="17">
        <v>0</v>
      </c>
      <c r="AU17" s="17"/>
      <c r="AV17" s="23" t="s">
        <v>422</v>
      </c>
      <c r="AW17" s="17"/>
    </row>
    <row r="18" spans="1:49" ht="49.5">
      <c r="A18" s="13">
        <v>38</v>
      </c>
      <c r="B18" s="162"/>
      <c r="C18" s="102" t="s">
        <v>370</v>
      </c>
      <c r="D18" s="171"/>
      <c r="E18" s="103" t="s">
        <v>39</v>
      </c>
      <c r="F18" s="103" t="s">
        <v>240</v>
      </c>
      <c r="G18" s="102" t="s">
        <v>476</v>
      </c>
      <c r="H18" s="102" t="s">
        <v>476</v>
      </c>
      <c r="I18" s="102" t="s">
        <v>422</v>
      </c>
      <c r="J18" s="102">
        <v>157.69999999999999</v>
      </c>
      <c r="K18" s="102">
        <v>-8.4</v>
      </c>
      <c r="L18" s="102">
        <v>48.9</v>
      </c>
      <c r="M18" s="88">
        <f t="shared" si="2"/>
        <v>13.899999999999999</v>
      </c>
      <c r="N18" s="15"/>
      <c r="O18" s="17">
        <v>10</v>
      </c>
      <c r="P18" s="17" t="s">
        <v>10</v>
      </c>
      <c r="Q18" s="130">
        <v>1</v>
      </c>
      <c r="R18" s="48" t="s">
        <v>52</v>
      </c>
      <c r="S18" s="48" t="s">
        <v>53</v>
      </c>
      <c r="T18" s="43">
        <v>100</v>
      </c>
      <c r="U18" s="34" t="s">
        <v>411</v>
      </c>
      <c r="V18" s="17" t="s">
        <v>629</v>
      </c>
      <c r="W18" s="17" t="s">
        <v>54</v>
      </c>
      <c r="X18" s="34">
        <v>14</v>
      </c>
      <c r="Y18" s="99">
        <f t="shared" si="3"/>
        <v>355.59999999999997</v>
      </c>
      <c r="Z18" s="99"/>
      <c r="AA18" s="48" t="s">
        <v>537</v>
      </c>
      <c r="AB18" s="49">
        <v>120</v>
      </c>
      <c r="AC18" s="34">
        <f t="shared" si="0"/>
        <v>134</v>
      </c>
      <c r="AD18" s="17">
        <v>0.9</v>
      </c>
      <c r="AE18" s="19">
        <f t="shared" si="1"/>
        <v>0.94500000000000006</v>
      </c>
      <c r="AF18" s="19">
        <v>31.3</v>
      </c>
      <c r="AG18" s="19">
        <f t="shared" si="4"/>
        <v>32.244999999999997</v>
      </c>
      <c r="AH18" s="86">
        <f>AI18*AO24</f>
        <v>418.45999999999992</v>
      </c>
      <c r="AI18" s="37">
        <v>34.299999999999997</v>
      </c>
      <c r="AJ18" s="17"/>
      <c r="AK18" s="18">
        <v>16877</v>
      </c>
      <c r="AL18" s="37">
        <f t="shared" si="5"/>
        <v>4.6880555555555556</v>
      </c>
      <c r="AM18" s="17">
        <v>2</v>
      </c>
      <c r="AN18" s="17">
        <v>73.900000000000006</v>
      </c>
      <c r="AO18" s="17">
        <v>3.4</v>
      </c>
      <c r="AP18" s="17" t="s">
        <v>51</v>
      </c>
      <c r="AQ18" s="17" t="s">
        <v>25</v>
      </c>
      <c r="AR18" s="23" t="s">
        <v>25</v>
      </c>
      <c r="AS18" s="20">
        <f t="shared" si="6"/>
        <v>0</v>
      </c>
      <c r="AT18" s="17">
        <v>0</v>
      </c>
      <c r="AU18" s="17"/>
      <c r="AV18" s="23" t="s">
        <v>422</v>
      </c>
      <c r="AW18" s="17"/>
    </row>
    <row r="19" spans="1:49" s="13" customFormat="1" ht="99">
      <c r="A19" s="13">
        <v>48</v>
      </c>
      <c r="B19" s="163" t="s">
        <v>214</v>
      </c>
      <c r="C19" s="102" t="s">
        <v>371</v>
      </c>
      <c r="D19" s="171" t="s">
        <v>33</v>
      </c>
      <c r="E19" s="103" t="s">
        <v>8</v>
      </c>
      <c r="F19" s="103" t="s">
        <v>241</v>
      </c>
      <c r="G19" s="102" t="s">
        <v>477</v>
      </c>
      <c r="H19" s="102" t="s">
        <v>477</v>
      </c>
      <c r="I19" s="102" t="s">
        <v>422</v>
      </c>
      <c r="J19" s="102">
        <v>188.2</v>
      </c>
      <c r="K19" s="102">
        <v>-19.600000000000001</v>
      </c>
      <c r="L19" s="102">
        <v>40.9</v>
      </c>
      <c r="M19" s="88">
        <f t="shared" si="2"/>
        <v>5.8999999999999986</v>
      </c>
      <c r="N19" s="16"/>
      <c r="O19" s="21" t="s">
        <v>427</v>
      </c>
      <c r="P19" s="21" t="s">
        <v>10</v>
      </c>
      <c r="Q19" s="23">
        <v>0.93789999999999996</v>
      </c>
      <c r="R19" s="40" t="s">
        <v>215</v>
      </c>
      <c r="S19" s="40" t="s">
        <v>34</v>
      </c>
      <c r="T19" s="44">
        <f>2*12*7/365*100</f>
        <v>46.027397260273972</v>
      </c>
      <c r="U19" s="21" t="s">
        <v>412</v>
      </c>
      <c r="V19" s="21" t="s">
        <v>295</v>
      </c>
      <c r="W19" s="21" t="s">
        <v>296</v>
      </c>
      <c r="X19" s="21">
        <v>16</v>
      </c>
      <c r="Y19" s="99">
        <f t="shared" si="3"/>
        <v>406.4</v>
      </c>
      <c r="Z19" s="99"/>
      <c r="AA19" s="40" t="s">
        <v>676</v>
      </c>
      <c r="AB19" s="49">
        <v>120</v>
      </c>
      <c r="AC19" s="34">
        <f t="shared" si="0"/>
        <v>136</v>
      </c>
      <c r="AD19" s="21">
        <v>19.420000000000002</v>
      </c>
      <c r="AE19" s="19">
        <f t="shared" si="1"/>
        <v>20.391000000000002</v>
      </c>
      <c r="AF19" s="37">
        <v>53.73</v>
      </c>
      <c r="AG19" s="19">
        <f t="shared" si="4"/>
        <v>74.120999999999995</v>
      </c>
      <c r="AH19" s="86">
        <f>AI19*AO3</f>
        <v>1813.0500000000002</v>
      </c>
      <c r="AI19" s="37">
        <v>15.3</v>
      </c>
      <c r="AJ19" s="21"/>
      <c r="AK19" s="22">
        <v>604716</v>
      </c>
      <c r="AL19" s="37">
        <f t="shared" si="5"/>
        <v>167.97666666666666</v>
      </c>
      <c r="AM19" s="21">
        <v>27</v>
      </c>
      <c r="AN19" s="21">
        <v>78.12</v>
      </c>
      <c r="AO19" s="21">
        <v>109.4</v>
      </c>
      <c r="AP19" s="21" t="s">
        <v>264</v>
      </c>
      <c r="AQ19" s="21" t="s">
        <v>36</v>
      </c>
      <c r="AR19" s="21">
        <v>4</v>
      </c>
      <c r="AS19" s="20">
        <f t="shared" si="6"/>
        <v>30.599113263035523</v>
      </c>
      <c r="AT19" s="21">
        <v>735</v>
      </c>
      <c r="AU19" s="21"/>
      <c r="AV19" s="34">
        <f>AB19+30+AR19</f>
        <v>154</v>
      </c>
      <c r="AW19" s="21"/>
    </row>
    <row r="20" spans="1:49" s="13" customFormat="1" ht="66">
      <c r="A20" s="13">
        <v>49</v>
      </c>
      <c r="B20" s="164"/>
      <c r="C20" s="102" t="s">
        <v>372</v>
      </c>
      <c r="D20" s="171"/>
      <c r="E20" s="103" t="s">
        <v>8</v>
      </c>
      <c r="F20" s="103" t="s">
        <v>241</v>
      </c>
      <c r="G20" s="102" t="s">
        <v>478</v>
      </c>
      <c r="H20" s="102" t="s">
        <v>478</v>
      </c>
      <c r="I20" s="102" t="s">
        <v>422</v>
      </c>
      <c r="J20" s="102">
        <v>187.2</v>
      </c>
      <c r="K20" s="102">
        <v>-12.6</v>
      </c>
      <c r="L20" s="102">
        <v>36.299999999999997</v>
      </c>
      <c r="M20" s="88">
        <f t="shared" si="2"/>
        <v>1.2999999999999972</v>
      </c>
      <c r="N20" s="16"/>
      <c r="O20" s="21" t="s">
        <v>428</v>
      </c>
      <c r="P20" s="21" t="s">
        <v>22</v>
      </c>
      <c r="Q20" s="132">
        <v>0</v>
      </c>
      <c r="R20" s="40" t="s">
        <v>215</v>
      </c>
      <c r="S20" s="40" t="s">
        <v>35</v>
      </c>
      <c r="T20" s="44">
        <f>2*12*7/365*100</f>
        <v>46.027397260273972</v>
      </c>
      <c r="U20" s="21" t="s">
        <v>412</v>
      </c>
      <c r="V20" s="21" t="s">
        <v>630</v>
      </c>
      <c r="W20" s="21" t="s">
        <v>274</v>
      </c>
      <c r="X20" s="21">
        <v>8</v>
      </c>
      <c r="Y20" s="99">
        <f t="shared" si="3"/>
        <v>203.2</v>
      </c>
      <c r="Z20" s="99"/>
      <c r="AA20" s="40" t="s">
        <v>675</v>
      </c>
      <c r="AB20" s="49">
        <v>120</v>
      </c>
      <c r="AC20" s="34">
        <f t="shared" si="0"/>
        <v>128</v>
      </c>
      <c r="AD20" s="21">
        <v>1.01</v>
      </c>
      <c r="AE20" s="19">
        <f t="shared" si="1"/>
        <v>1.0605</v>
      </c>
      <c r="AF20" s="37">
        <v>35.5</v>
      </c>
      <c r="AG20" s="19">
        <f t="shared" si="4"/>
        <v>36.560499999999998</v>
      </c>
      <c r="AH20" s="86">
        <f>AI20*AO14</f>
        <v>1971.4200000000003</v>
      </c>
      <c r="AI20" s="37">
        <v>20.6</v>
      </c>
      <c r="AJ20" s="21"/>
      <c r="AK20" s="22">
        <v>148653</v>
      </c>
      <c r="AL20" s="37">
        <f t="shared" si="5"/>
        <v>41.292499999999997</v>
      </c>
      <c r="AM20" s="156">
        <v>27</v>
      </c>
      <c r="AN20" s="156">
        <v>78.12</v>
      </c>
      <c r="AO20" s="21">
        <v>721.5</v>
      </c>
      <c r="AP20" s="21" t="s">
        <v>265</v>
      </c>
      <c r="AQ20" s="21" t="s">
        <v>25</v>
      </c>
      <c r="AR20" s="23" t="s">
        <v>25</v>
      </c>
      <c r="AS20" s="20">
        <f t="shared" si="6"/>
        <v>0</v>
      </c>
      <c r="AT20" s="21">
        <v>0</v>
      </c>
      <c r="AU20" s="21"/>
      <c r="AV20" s="23" t="s">
        <v>422</v>
      </c>
      <c r="AW20" s="21"/>
    </row>
    <row r="21" spans="1:49" ht="115.5">
      <c r="A21" s="13">
        <v>27</v>
      </c>
      <c r="B21" s="163" t="s">
        <v>55</v>
      </c>
      <c r="C21" s="102" t="s">
        <v>527</v>
      </c>
      <c r="D21" s="171" t="s">
        <v>56</v>
      </c>
      <c r="E21" s="103" t="s">
        <v>57</v>
      </c>
      <c r="F21" s="103" t="s">
        <v>241</v>
      </c>
      <c r="G21" s="102" t="s">
        <v>479</v>
      </c>
      <c r="H21" s="102" t="s">
        <v>479</v>
      </c>
      <c r="I21" s="102" t="s">
        <v>422</v>
      </c>
      <c r="J21" s="102">
        <v>111.5</v>
      </c>
      <c r="K21" s="102">
        <v>-19.600000000000001</v>
      </c>
      <c r="L21" s="102">
        <v>36.6</v>
      </c>
      <c r="M21" s="88">
        <f t="shared" si="2"/>
        <v>1.6000000000000014</v>
      </c>
      <c r="N21" s="15"/>
      <c r="O21" s="17" t="s">
        <v>429</v>
      </c>
      <c r="P21" s="17" t="s">
        <v>22</v>
      </c>
      <c r="Q21" s="130">
        <v>0</v>
      </c>
      <c r="R21" s="48" t="s">
        <v>58</v>
      </c>
      <c r="S21" s="48" t="s">
        <v>59</v>
      </c>
      <c r="T21" s="43">
        <f>365/20/365*100</f>
        <v>5</v>
      </c>
      <c r="U21" s="34" t="s">
        <v>414</v>
      </c>
      <c r="V21" s="17" t="s">
        <v>631</v>
      </c>
      <c r="W21" s="17" t="s">
        <v>275</v>
      </c>
      <c r="X21" s="34">
        <v>32</v>
      </c>
      <c r="Y21" s="99">
        <f t="shared" si="3"/>
        <v>812.8</v>
      </c>
      <c r="Z21" s="99"/>
      <c r="AA21" s="48" t="s">
        <v>677</v>
      </c>
      <c r="AB21" s="49">
        <v>120</v>
      </c>
      <c r="AC21" s="34">
        <f t="shared" si="0"/>
        <v>152</v>
      </c>
      <c r="AD21" s="17">
        <f>9.64+55</f>
        <v>64.64</v>
      </c>
      <c r="AE21" s="19">
        <f t="shared" si="1"/>
        <v>67.872</v>
      </c>
      <c r="AF21" s="19">
        <v>10.18</v>
      </c>
      <c r="AG21" s="19">
        <f t="shared" si="4"/>
        <v>78.051999999999992</v>
      </c>
      <c r="AH21" s="86">
        <f>AI21*AO77</f>
        <v>94234.799999999988</v>
      </c>
      <c r="AI21" s="37">
        <v>121</v>
      </c>
      <c r="AJ21" s="17"/>
      <c r="AK21" s="112">
        <f>6000*AO21</f>
        <v>4672200</v>
      </c>
      <c r="AL21" s="111">
        <f t="shared" si="5"/>
        <v>1297.8333333333333</v>
      </c>
      <c r="AM21" s="17">
        <v>11.6</v>
      </c>
      <c r="AN21" s="17">
        <v>40</v>
      </c>
      <c r="AO21" s="21">
        <v>778.7</v>
      </c>
      <c r="AP21" s="17" t="s">
        <v>61</v>
      </c>
      <c r="AQ21" s="17" t="s">
        <v>25</v>
      </c>
      <c r="AR21" s="23" t="s">
        <v>25</v>
      </c>
      <c r="AS21" s="20">
        <f t="shared" si="6"/>
        <v>0</v>
      </c>
      <c r="AT21" s="17">
        <v>0</v>
      </c>
      <c r="AU21" s="17"/>
      <c r="AV21" s="23" t="s">
        <v>422</v>
      </c>
      <c r="AW21" s="17"/>
    </row>
    <row r="22" spans="1:49" ht="115.5">
      <c r="A22" s="13">
        <v>50</v>
      </c>
      <c r="B22" s="164"/>
      <c r="C22" s="102" t="s">
        <v>526</v>
      </c>
      <c r="D22" s="171"/>
      <c r="E22" s="103" t="s">
        <v>747</v>
      </c>
      <c r="F22" s="154" t="s">
        <v>161</v>
      </c>
      <c r="G22" s="102" t="s">
        <v>559</v>
      </c>
      <c r="H22" s="102" t="s">
        <v>559</v>
      </c>
      <c r="I22" s="102" t="s">
        <v>422</v>
      </c>
      <c r="J22" s="102">
        <v>46.8</v>
      </c>
      <c r="K22" s="102">
        <v>-20</v>
      </c>
      <c r="L22" s="102">
        <v>32.799999999999997</v>
      </c>
      <c r="M22" s="88">
        <f>L22-N1</f>
        <v>3.7999999999999972</v>
      </c>
      <c r="N22" s="59"/>
      <c r="O22" s="61" t="s">
        <v>429</v>
      </c>
      <c r="P22" s="61" t="s">
        <v>22</v>
      </c>
      <c r="Q22" s="130">
        <v>0</v>
      </c>
      <c r="R22" s="60" t="s">
        <v>596</v>
      </c>
      <c r="S22" s="67" t="s">
        <v>559</v>
      </c>
      <c r="T22" s="43">
        <f>365/20/365*100</f>
        <v>5</v>
      </c>
      <c r="U22" s="61" t="s">
        <v>414</v>
      </c>
      <c r="V22" s="61" t="s">
        <v>631</v>
      </c>
      <c r="W22" s="61" t="s">
        <v>275</v>
      </c>
      <c r="X22" s="61">
        <v>32</v>
      </c>
      <c r="Y22" s="99">
        <f t="shared" si="3"/>
        <v>812.8</v>
      </c>
      <c r="Z22" s="99"/>
      <c r="AA22" s="60" t="s">
        <v>677</v>
      </c>
      <c r="AB22" s="49">
        <v>120</v>
      </c>
      <c r="AC22" s="61">
        <f t="shared" ref="AC22:AC23" si="7">AB22+X22</f>
        <v>152</v>
      </c>
      <c r="AD22" s="61">
        <f>9.64+55</f>
        <v>64.64</v>
      </c>
      <c r="AE22" s="63">
        <f t="shared" ref="AE22:AE23" si="8">AD22*$AZ$1</f>
        <v>67.872</v>
      </c>
      <c r="AF22" s="63">
        <v>10.18</v>
      </c>
      <c r="AG22" s="37">
        <f t="shared" ref="AG22:AG23" si="9">AE22+AF22</f>
        <v>78.051999999999992</v>
      </c>
      <c r="AH22" s="101">
        <f>AI22*AO77</f>
        <v>94234.799999999988</v>
      </c>
      <c r="AI22" s="37">
        <v>121</v>
      </c>
      <c r="AJ22" s="61"/>
      <c r="AK22" s="112">
        <f t="shared" ref="AK22:AK23" si="10">6000*AO22</f>
        <v>4672200</v>
      </c>
      <c r="AL22" s="111">
        <f t="shared" ref="AL22:AL23" si="11">AK22/3600</f>
        <v>1297.8333333333333</v>
      </c>
      <c r="AM22" s="61">
        <v>11.6</v>
      </c>
      <c r="AN22" s="61">
        <v>40</v>
      </c>
      <c r="AO22" s="62">
        <v>778.7</v>
      </c>
      <c r="AP22" s="61" t="s">
        <v>61</v>
      </c>
      <c r="AQ22" s="61" t="s">
        <v>25</v>
      </c>
      <c r="AR22" s="23" t="s">
        <v>25</v>
      </c>
      <c r="AS22" s="20">
        <f t="shared" ref="AS22:AS23" si="12">SQRT(AT22/3.14)*2</f>
        <v>0</v>
      </c>
      <c r="AT22" s="61">
        <v>0</v>
      </c>
      <c r="AU22" s="61"/>
      <c r="AV22" s="23" t="s">
        <v>422</v>
      </c>
      <c r="AW22" s="58"/>
    </row>
    <row r="23" spans="1:49" ht="115.5">
      <c r="A23" s="13">
        <v>64</v>
      </c>
      <c r="B23" s="113" t="s">
        <v>530</v>
      </c>
      <c r="C23" s="102" t="s">
        <v>530</v>
      </c>
      <c r="D23" s="102" t="s">
        <v>528</v>
      </c>
      <c r="E23" s="103" t="s">
        <v>750</v>
      </c>
      <c r="F23" s="103" t="s">
        <v>161</v>
      </c>
      <c r="G23" s="102" t="s">
        <v>529</v>
      </c>
      <c r="H23" s="102" t="s">
        <v>529</v>
      </c>
      <c r="I23" s="102" t="s">
        <v>422</v>
      </c>
      <c r="J23" s="102">
        <v>-5.6</v>
      </c>
      <c r="K23" s="102">
        <v>-5.8</v>
      </c>
      <c r="L23" s="102">
        <v>38</v>
      </c>
      <c r="M23" s="88">
        <f>L23-N1</f>
        <v>9</v>
      </c>
      <c r="N23" s="59"/>
      <c r="O23" s="61" t="s">
        <v>429</v>
      </c>
      <c r="P23" s="61" t="s">
        <v>22</v>
      </c>
      <c r="Q23" s="130">
        <v>0</v>
      </c>
      <c r="R23" s="60" t="s">
        <v>560</v>
      </c>
      <c r="S23" s="67" t="s">
        <v>529</v>
      </c>
      <c r="T23" s="43">
        <f>365/20/365*100</f>
        <v>5</v>
      </c>
      <c r="U23" s="61" t="s">
        <v>414</v>
      </c>
      <c r="V23" s="61" t="s">
        <v>632</v>
      </c>
      <c r="W23" s="61" t="s">
        <v>531</v>
      </c>
      <c r="X23" s="61">
        <v>32</v>
      </c>
      <c r="Y23" s="99">
        <f t="shared" si="3"/>
        <v>812.8</v>
      </c>
      <c r="Z23" s="99"/>
      <c r="AA23" s="60" t="s">
        <v>532</v>
      </c>
      <c r="AB23" s="49">
        <v>120</v>
      </c>
      <c r="AC23" s="61">
        <f t="shared" si="7"/>
        <v>152</v>
      </c>
      <c r="AD23" s="61">
        <v>6</v>
      </c>
      <c r="AE23" s="63">
        <f t="shared" si="8"/>
        <v>6.3000000000000007</v>
      </c>
      <c r="AF23" s="63">
        <v>10</v>
      </c>
      <c r="AG23" s="63">
        <f t="shared" si="9"/>
        <v>16.3</v>
      </c>
      <c r="AH23" s="86">
        <f>AI23*AO21</f>
        <v>60816.47</v>
      </c>
      <c r="AI23" s="37">
        <v>78.099999999999994</v>
      </c>
      <c r="AJ23" s="61"/>
      <c r="AK23" s="112">
        <f t="shared" si="10"/>
        <v>4672200</v>
      </c>
      <c r="AL23" s="111">
        <f t="shared" si="11"/>
        <v>1297.8333333333333</v>
      </c>
      <c r="AM23" s="61">
        <v>11.6</v>
      </c>
      <c r="AN23" s="61">
        <v>40</v>
      </c>
      <c r="AO23" s="62">
        <v>778.7</v>
      </c>
      <c r="AP23" s="61" t="s">
        <v>61</v>
      </c>
      <c r="AQ23" s="61" t="s">
        <v>25</v>
      </c>
      <c r="AR23" s="23" t="s">
        <v>25</v>
      </c>
      <c r="AS23" s="20">
        <f t="shared" si="12"/>
        <v>0</v>
      </c>
      <c r="AT23" s="61">
        <v>0</v>
      </c>
      <c r="AU23" s="61"/>
      <c r="AV23" s="23" t="s">
        <v>422</v>
      </c>
      <c r="AW23" s="58"/>
    </row>
    <row r="24" spans="1:49" s="13" customFormat="1" ht="148.5">
      <c r="A24" s="216">
        <v>5</v>
      </c>
      <c r="B24" s="161" t="s">
        <v>62</v>
      </c>
      <c r="C24" s="102" t="s">
        <v>736</v>
      </c>
      <c r="D24" s="171" t="s">
        <v>63</v>
      </c>
      <c r="E24" s="155" t="s">
        <v>64</v>
      </c>
      <c r="F24" s="103" t="s">
        <v>240</v>
      </c>
      <c r="G24" s="102" t="s">
        <v>481</v>
      </c>
      <c r="H24" s="102" t="s">
        <v>483</v>
      </c>
      <c r="I24" s="153">
        <v>0.78</v>
      </c>
      <c r="J24" s="102">
        <v>131.5</v>
      </c>
      <c r="K24" s="102">
        <v>18.8</v>
      </c>
      <c r="L24" s="102">
        <v>47.2</v>
      </c>
      <c r="M24" s="88">
        <f t="shared" si="2"/>
        <v>12.200000000000003</v>
      </c>
      <c r="N24" s="16"/>
      <c r="O24" s="197">
        <v>104</v>
      </c>
      <c r="P24" s="197" t="s">
        <v>10</v>
      </c>
      <c r="Q24" s="133">
        <v>1</v>
      </c>
      <c r="R24" s="165" t="s">
        <v>423</v>
      </c>
      <c r="S24" s="104" t="s">
        <v>483</v>
      </c>
      <c r="T24" s="167">
        <v>100</v>
      </c>
      <c r="U24" s="71" t="s">
        <v>411</v>
      </c>
      <c r="V24" s="197" t="s">
        <v>297</v>
      </c>
      <c r="W24" s="197" t="s">
        <v>298</v>
      </c>
      <c r="X24" s="70">
        <v>14</v>
      </c>
      <c r="Y24" s="99">
        <f t="shared" si="3"/>
        <v>355.59999999999997</v>
      </c>
      <c r="Z24" s="94"/>
      <c r="AA24" s="65" t="s">
        <v>678</v>
      </c>
      <c r="AB24" s="72">
        <v>120</v>
      </c>
      <c r="AC24" s="71">
        <f>AB24+X24</f>
        <v>134</v>
      </c>
      <c r="AD24" s="70">
        <v>12.35</v>
      </c>
      <c r="AE24" s="187">
        <f t="shared" si="1"/>
        <v>12.967499999999999</v>
      </c>
      <c r="AF24" s="187">
        <v>21.35</v>
      </c>
      <c r="AG24" s="187">
        <f t="shared" si="4"/>
        <v>34.317500000000003</v>
      </c>
      <c r="AH24" s="83">
        <f>AI24*AO52</f>
        <v>7821.9500000000007</v>
      </c>
      <c r="AI24" s="187">
        <v>214.3</v>
      </c>
      <c r="AJ24" s="70"/>
      <c r="AK24" s="181">
        <v>20277</v>
      </c>
      <c r="AL24" s="190">
        <f t="shared" si="5"/>
        <v>5.6325000000000003</v>
      </c>
      <c r="AM24" s="197">
        <v>8</v>
      </c>
      <c r="AN24" s="197">
        <v>117.5</v>
      </c>
      <c r="AO24" s="197">
        <v>12.2</v>
      </c>
      <c r="AP24" s="197" t="s">
        <v>65</v>
      </c>
      <c r="AQ24" s="197" t="s">
        <v>16</v>
      </c>
      <c r="AR24" s="70">
        <v>2</v>
      </c>
      <c r="AS24" s="203">
        <f t="shared" si="6"/>
        <v>17.917006119334079</v>
      </c>
      <c r="AT24" s="70">
        <v>252</v>
      </c>
      <c r="AU24" s="70"/>
      <c r="AV24" s="197">
        <f>AB24+30+AR24</f>
        <v>152</v>
      </c>
      <c r="AW24" s="21"/>
    </row>
    <row r="25" spans="1:49" s="13" customFormat="1" ht="49.5">
      <c r="A25" s="216"/>
      <c r="B25" s="177"/>
      <c r="C25" s="102" t="s">
        <v>578</v>
      </c>
      <c r="D25" s="171"/>
      <c r="E25" s="155" t="s">
        <v>64</v>
      </c>
      <c r="F25" s="103" t="s">
        <v>241</v>
      </c>
      <c r="G25" s="102" t="s">
        <v>482</v>
      </c>
      <c r="H25" s="102" t="s">
        <v>484</v>
      </c>
      <c r="I25" s="153">
        <v>0.22</v>
      </c>
      <c r="J25" s="102">
        <v>130.9</v>
      </c>
      <c r="K25" s="102">
        <v>16.899999999999999</v>
      </c>
      <c r="L25" s="102">
        <v>38.5</v>
      </c>
      <c r="M25" s="88">
        <f t="shared" si="2"/>
        <v>3.5</v>
      </c>
      <c r="N25" s="16"/>
      <c r="O25" s="199"/>
      <c r="P25" s="199"/>
      <c r="Q25" s="135"/>
      <c r="R25" s="166"/>
      <c r="S25" s="104" t="s">
        <v>484</v>
      </c>
      <c r="T25" s="168"/>
      <c r="U25" s="75"/>
      <c r="V25" s="199"/>
      <c r="W25" s="199"/>
      <c r="X25" s="73"/>
      <c r="Y25" s="99">
        <f t="shared" si="3"/>
        <v>0</v>
      </c>
      <c r="Z25" s="95"/>
      <c r="AA25" s="74"/>
      <c r="AB25" s="75"/>
      <c r="AC25" s="75"/>
      <c r="AD25" s="73"/>
      <c r="AE25" s="189"/>
      <c r="AF25" s="189"/>
      <c r="AG25" s="189"/>
      <c r="AH25" s="85"/>
      <c r="AI25" s="189"/>
      <c r="AJ25" s="73"/>
      <c r="AK25" s="183"/>
      <c r="AL25" s="192"/>
      <c r="AM25" s="199"/>
      <c r="AN25" s="199"/>
      <c r="AO25" s="199"/>
      <c r="AP25" s="199"/>
      <c r="AQ25" s="199"/>
      <c r="AR25" s="73"/>
      <c r="AS25" s="205"/>
      <c r="AT25" s="73"/>
      <c r="AU25" s="73"/>
      <c r="AV25" s="199"/>
      <c r="AW25" s="54"/>
    </row>
    <row r="26" spans="1:49" s="13" customFormat="1" ht="49.5">
      <c r="A26" s="13">
        <v>6</v>
      </c>
      <c r="B26" s="162"/>
      <c r="C26" s="102" t="s">
        <v>373</v>
      </c>
      <c r="D26" s="171"/>
      <c r="E26" s="103" t="s">
        <v>64</v>
      </c>
      <c r="F26" s="103" t="s">
        <v>241</v>
      </c>
      <c r="G26" s="102" t="s">
        <v>278</v>
      </c>
      <c r="H26" s="102" t="s">
        <v>480</v>
      </c>
      <c r="I26" s="102" t="s">
        <v>422</v>
      </c>
      <c r="J26" s="102">
        <v>126.1</v>
      </c>
      <c r="K26" s="102">
        <v>12.4</v>
      </c>
      <c r="L26" s="102">
        <v>35.799999999999997</v>
      </c>
      <c r="M26" s="88">
        <f t="shared" si="2"/>
        <v>0.79999999999999716</v>
      </c>
      <c r="N26" s="16"/>
      <c r="O26" s="21">
        <v>102</v>
      </c>
      <c r="P26" s="21" t="s">
        <v>22</v>
      </c>
      <c r="Q26" s="132">
        <v>0</v>
      </c>
      <c r="R26" s="40" t="s">
        <v>184</v>
      </c>
      <c r="S26" s="40" t="s">
        <v>188</v>
      </c>
      <c r="T26" s="43">
        <v>100</v>
      </c>
      <c r="U26" s="34" t="s">
        <v>411</v>
      </c>
      <c r="V26" s="21" t="s">
        <v>633</v>
      </c>
      <c r="W26" s="21" t="s">
        <v>185</v>
      </c>
      <c r="X26" s="21">
        <v>2</v>
      </c>
      <c r="Y26" s="26">
        <f t="shared" si="3"/>
        <v>50.8</v>
      </c>
      <c r="Z26" s="26" t="s">
        <v>604</v>
      </c>
      <c r="AA26" s="40" t="s">
        <v>538</v>
      </c>
      <c r="AB26" s="49">
        <v>120</v>
      </c>
      <c r="AC26" s="34">
        <f>AB26+X26</f>
        <v>122</v>
      </c>
      <c r="AD26" s="21">
        <v>0.52</v>
      </c>
      <c r="AE26" s="19">
        <f t="shared" si="1"/>
        <v>0.54600000000000004</v>
      </c>
      <c r="AF26" s="37">
        <v>1.59</v>
      </c>
      <c r="AG26" s="19">
        <f t="shared" si="4"/>
        <v>2.1360000000000001</v>
      </c>
      <c r="AH26" s="86">
        <f>AI26*AO14</f>
        <v>1971.4200000000003</v>
      </c>
      <c r="AI26" s="37">
        <v>20.6</v>
      </c>
      <c r="AJ26" s="21"/>
      <c r="AK26" s="22">
        <v>2973</v>
      </c>
      <c r="AL26" s="37">
        <f t="shared" si="5"/>
        <v>0.82583333333333331</v>
      </c>
      <c r="AM26" s="21">
        <v>13</v>
      </c>
      <c r="AN26" s="21">
        <v>45.3</v>
      </c>
      <c r="AO26" s="21">
        <v>783.9</v>
      </c>
      <c r="AP26" s="21" t="s">
        <v>66</v>
      </c>
      <c r="AQ26" s="21" t="s">
        <v>25</v>
      </c>
      <c r="AR26" s="23" t="s">
        <v>25</v>
      </c>
      <c r="AS26" s="20">
        <f t="shared" si="6"/>
        <v>0</v>
      </c>
      <c r="AT26" s="21">
        <v>0</v>
      </c>
      <c r="AU26" s="21"/>
      <c r="AV26" s="23" t="s">
        <v>422</v>
      </c>
      <c r="AW26" s="21"/>
    </row>
    <row r="27" spans="1:49" ht="115.5">
      <c r="A27" s="13">
        <v>7</v>
      </c>
      <c r="B27" s="163" t="s">
        <v>67</v>
      </c>
      <c r="C27" s="102" t="s">
        <v>579</v>
      </c>
      <c r="D27" s="171" t="s">
        <v>171</v>
      </c>
      <c r="E27" s="103" t="s">
        <v>64</v>
      </c>
      <c r="F27" s="103" t="s">
        <v>240</v>
      </c>
      <c r="G27" s="102" t="s">
        <v>485</v>
      </c>
      <c r="H27" s="102" t="s">
        <v>488</v>
      </c>
      <c r="I27" s="153">
        <v>0.76</v>
      </c>
      <c r="J27" s="102">
        <v>133.30000000000001</v>
      </c>
      <c r="K27" s="102">
        <v>15.3</v>
      </c>
      <c r="L27" s="102">
        <v>47.3</v>
      </c>
      <c r="M27" s="88">
        <f t="shared" si="2"/>
        <v>12.299999999999997</v>
      </c>
      <c r="N27" s="15"/>
      <c r="O27" s="17">
        <v>109</v>
      </c>
      <c r="P27" s="17" t="s">
        <v>10</v>
      </c>
      <c r="Q27" s="133">
        <v>1</v>
      </c>
      <c r="R27" s="165" t="s">
        <v>68</v>
      </c>
      <c r="S27" s="110" t="s">
        <v>488</v>
      </c>
      <c r="T27" s="167">
        <v>100</v>
      </c>
      <c r="U27" s="34" t="s">
        <v>411</v>
      </c>
      <c r="V27" s="197" t="s">
        <v>299</v>
      </c>
      <c r="W27" s="197" t="s">
        <v>680</v>
      </c>
      <c r="X27" s="34">
        <v>10</v>
      </c>
      <c r="Y27" s="99">
        <f t="shared" si="3"/>
        <v>254</v>
      </c>
      <c r="Z27" s="99"/>
      <c r="AA27" s="48" t="s">
        <v>679</v>
      </c>
      <c r="AB27" s="197">
        <v>120</v>
      </c>
      <c r="AC27" s="197">
        <f>AB27+X27</f>
        <v>130</v>
      </c>
      <c r="AD27" s="17">
        <v>18.23</v>
      </c>
      <c r="AE27" s="187">
        <f t="shared" si="1"/>
        <v>19.141500000000001</v>
      </c>
      <c r="AF27" s="187">
        <f>6.1+1.5</f>
        <v>7.6</v>
      </c>
      <c r="AG27" s="187">
        <f t="shared" si="4"/>
        <v>26.741500000000002</v>
      </c>
      <c r="AH27" s="83">
        <f>AI27*AO24</f>
        <v>418.45999999999992</v>
      </c>
      <c r="AI27" s="190">
        <v>34.299999999999997</v>
      </c>
      <c r="AJ27" s="197"/>
      <c r="AK27" s="181">
        <v>36563</v>
      </c>
      <c r="AL27" s="190">
        <f t="shared" si="5"/>
        <v>10.156388888888889</v>
      </c>
      <c r="AM27" s="197">
        <v>25.2</v>
      </c>
      <c r="AN27" s="197">
        <v>126</v>
      </c>
      <c r="AO27" s="197">
        <v>28.9</v>
      </c>
      <c r="AP27" s="21" t="s">
        <v>69</v>
      </c>
      <c r="AQ27" s="197" t="s">
        <v>70</v>
      </c>
      <c r="AR27" s="34">
        <v>2</v>
      </c>
      <c r="AS27" s="203">
        <f t="shared" si="6"/>
        <v>14.006367978496231</v>
      </c>
      <c r="AT27" s="17">
        <v>154</v>
      </c>
      <c r="AU27" s="17" t="s">
        <v>233</v>
      </c>
      <c r="AV27" s="197">
        <f>AB27+30+AR27</f>
        <v>152</v>
      </c>
      <c r="AW27" s="17"/>
    </row>
    <row r="28" spans="1:49" ht="49.5">
      <c r="A28" s="13"/>
      <c r="B28" s="180"/>
      <c r="C28" s="102" t="s">
        <v>580</v>
      </c>
      <c r="D28" s="171"/>
      <c r="E28" s="103" t="s">
        <v>64</v>
      </c>
      <c r="F28" s="103" t="s">
        <v>241</v>
      </c>
      <c r="G28" s="102" t="s">
        <v>486</v>
      </c>
      <c r="H28" s="102" t="s">
        <v>490</v>
      </c>
      <c r="I28" s="153">
        <v>0.24</v>
      </c>
      <c r="J28" s="102">
        <v>131.4</v>
      </c>
      <c r="K28" s="102">
        <v>12.2</v>
      </c>
      <c r="L28" s="102">
        <v>38.6</v>
      </c>
      <c r="M28" s="88">
        <f t="shared" si="2"/>
        <v>3.6000000000000014</v>
      </c>
      <c r="N28" s="56"/>
      <c r="O28" s="61">
        <v>109</v>
      </c>
      <c r="P28" s="61" t="s">
        <v>10</v>
      </c>
      <c r="Q28" s="135">
        <v>1</v>
      </c>
      <c r="R28" s="166"/>
      <c r="S28" s="102" t="s">
        <v>490</v>
      </c>
      <c r="T28" s="168"/>
      <c r="U28" s="61"/>
      <c r="V28" s="199"/>
      <c r="W28" s="199"/>
      <c r="X28" s="61"/>
      <c r="Y28" s="99">
        <f t="shared" si="3"/>
        <v>0</v>
      </c>
      <c r="Z28" s="99"/>
      <c r="AA28" s="60"/>
      <c r="AB28" s="199"/>
      <c r="AC28" s="199"/>
      <c r="AD28" s="61"/>
      <c r="AE28" s="189"/>
      <c r="AF28" s="189"/>
      <c r="AG28" s="189"/>
      <c r="AH28" s="85"/>
      <c r="AI28" s="192"/>
      <c r="AJ28" s="199"/>
      <c r="AK28" s="183"/>
      <c r="AL28" s="192"/>
      <c r="AM28" s="199"/>
      <c r="AN28" s="199"/>
      <c r="AO28" s="199"/>
      <c r="AP28" s="62"/>
      <c r="AQ28" s="199"/>
      <c r="AR28" s="61"/>
      <c r="AS28" s="205"/>
      <c r="AT28" s="61"/>
      <c r="AU28" s="61"/>
      <c r="AV28" s="199"/>
      <c r="AW28" s="53"/>
    </row>
    <row r="29" spans="1:49" ht="49.5">
      <c r="A29" s="13">
        <v>8</v>
      </c>
      <c r="B29" s="164"/>
      <c r="C29" s="102" t="s">
        <v>374</v>
      </c>
      <c r="D29" s="171"/>
      <c r="E29" s="103" t="s">
        <v>64</v>
      </c>
      <c r="F29" s="103" t="s">
        <v>241</v>
      </c>
      <c r="G29" s="102" t="s">
        <v>487</v>
      </c>
      <c r="H29" s="102" t="s">
        <v>489</v>
      </c>
      <c r="I29" s="102" t="s">
        <v>422</v>
      </c>
      <c r="J29" s="102">
        <v>128</v>
      </c>
      <c r="K29" s="102">
        <v>6.2</v>
      </c>
      <c r="L29" s="102">
        <v>41</v>
      </c>
      <c r="M29" s="88">
        <f t="shared" si="2"/>
        <v>6</v>
      </c>
      <c r="N29" s="15"/>
      <c r="O29" s="17">
        <v>107</v>
      </c>
      <c r="P29" s="17" t="s">
        <v>22</v>
      </c>
      <c r="Q29" s="130">
        <v>0</v>
      </c>
      <c r="R29" s="48" t="s">
        <v>71</v>
      </c>
      <c r="S29" s="48" t="s">
        <v>72</v>
      </c>
      <c r="T29" s="43">
        <v>100</v>
      </c>
      <c r="U29" s="34" t="s">
        <v>411</v>
      </c>
      <c r="V29" s="17" t="s">
        <v>634</v>
      </c>
      <c r="W29" s="17" t="s">
        <v>73</v>
      </c>
      <c r="X29" s="34">
        <v>3</v>
      </c>
      <c r="Y29" s="26">
        <f t="shared" si="3"/>
        <v>76.199999999999989</v>
      </c>
      <c r="Z29" s="26" t="s">
        <v>604</v>
      </c>
      <c r="AA29" s="48" t="s">
        <v>539</v>
      </c>
      <c r="AB29" s="49">
        <v>120</v>
      </c>
      <c r="AC29" s="34">
        <f>AB29+X29</f>
        <v>123</v>
      </c>
      <c r="AD29" s="17">
        <v>7.0000000000000007E-2</v>
      </c>
      <c r="AE29" s="19">
        <f t="shared" si="1"/>
        <v>7.350000000000001E-2</v>
      </c>
      <c r="AF29" s="19">
        <v>1.5</v>
      </c>
      <c r="AG29" s="19">
        <f t="shared" si="4"/>
        <v>1.5735000000000001</v>
      </c>
      <c r="AH29" s="86">
        <f>AI29*AO14</f>
        <v>1971.4200000000003</v>
      </c>
      <c r="AI29" s="37">
        <v>20.6</v>
      </c>
      <c r="AJ29" s="17"/>
      <c r="AK29" s="18">
        <v>4906</v>
      </c>
      <c r="AL29" s="37">
        <f t="shared" si="5"/>
        <v>1.3627777777777779</v>
      </c>
      <c r="AM29" s="17">
        <v>6.7</v>
      </c>
      <c r="AN29" s="17">
        <v>44.2</v>
      </c>
      <c r="AO29" s="17">
        <v>663.6</v>
      </c>
      <c r="AP29" s="21" t="s">
        <v>74</v>
      </c>
      <c r="AQ29" s="17" t="s">
        <v>25</v>
      </c>
      <c r="AR29" s="23" t="s">
        <v>25</v>
      </c>
      <c r="AS29" s="20">
        <f t="shared" si="6"/>
        <v>0</v>
      </c>
      <c r="AT29" s="17">
        <v>0</v>
      </c>
      <c r="AU29" s="17"/>
      <c r="AV29" s="23" t="s">
        <v>422</v>
      </c>
      <c r="AW29" s="17"/>
    </row>
    <row r="30" spans="1:49" ht="66">
      <c r="A30" s="216">
        <v>29</v>
      </c>
      <c r="B30" s="163" t="s">
        <v>75</v>
      </c>
      <c r="C30" s="102" t="s">
        <v>590</v>
      </c>
      <c r="D30" s="171" t="s">
        <v>76</v>
      </c>
      <c r="E30" s="103" t="s">
        <v>77</v>
      </c>
      <c r="F30" s="103" t="s">
        <v>457</v>
      </c>
      <c r="G30" s="217" t="s">
        <v>495</v>
      </c>
      <c r="H30" s="102" t="s">
        <v>571</v>
      </c>
      <c r="I30" s="79">
        <v>0.2</v>
      </c>
      <c r="J30" s="102">
        <v>123.2</v>
      </c>
      <c r="K30" s="102">
        <v>-12</v>
      </c>
      <c r="L30" s="102">
        <v>55.6</v>
      </c>
      <c r="M30" s="88">
        <f t="shared" si="2"/>
        <v>20.6</v>
      </c>
      <c r="N30" s="15"/>
      <c r="O30" s="197" t="s">
        <v>78</v>
      </c>
      <c r="P30" s="197" t="s">
        <v>10</v>
      </c>
      <c r="Q30" s="133">
        <v>1</v>
      </c>
      <c r="R30" s="165" t="s">
        <v>189</v>
      </c>
      <c r="S30" s="102" t="s">
        <v>571</v>
      </c>
      <c r="T30" s="167">
        <v>200</v>
      </c>
      <c r="U30" s="34" t="s">
        <v>415</v>
      </c>
      <c r="V30" s="197" t="s">
        <v>300</v>
      </c>
      <c r="W30" s="197" t="s">
        <v>221</v>
      </c>
      <c r="X30" s="34">
        <v>14</v>
      </c>
      <c r="Y30" s="99">
        <f t="shared" si="3"/>
        <v>355.59999999999997</v>
      </c>
      <c r="Z30" s="99"/>
      <c r="AA30" s="48" t="s">
        <v>681</v>
      </c>
      <c r="AB30" s="209">
        <v>120</v>
      </c>
      <c r="AC30" s="209">
        <f>AB30+X30</f>
        <v>134</v>
      </c>
      <c r="AD30" s="17">
        <v>23.2</v>
      </c>
      <c r="AE30" s="187">
        <f t="shared" si="1"/>
        <v>24.36</v>
      </c>
      <c r="AF30" s="187">
        <v>23.21</v>
      </c>
      <c r="AG30" s="187">
        <f t="shared" si="4"/>
        <v>47.57</v>
      </c>
      <c r="AH30" s="83">
        <f>AI30*AO36</f>
        <v>7613.4500000000007</v>
      </c>
      <c r="AI30" s="190">
        <v>68.900000000000006</v>
      </c>
      <c r="AJ30" s="206"/>
      <c r="AK30" s="181">
        <v>31020</v>
      </c>
      <c r="AL30" s="190">
        <f t="shared" si="5"/>
        <v>8.6166666666666671</v>
      </c>
      <c r="AM30" s="197">
        <v>109.2</v>
      </c>
      <c r="AN30" s="197">
        <v>101.3</v>
      </c>
      <c r="AO30" s="197">
        <v>116.7</v>
      </c>
      <c r="AP30" s="17" t="s">
        <v>79</v>
      </c>
      <c r="AQ30" s="197" t="s">
        <v>80</v>
      </c>
      <c r="AR30" s="34">
        <v>4</v>
      </c>
      <c r="AS30" s="203">
        <f t="shared" si="6"/>
        <v>27.461611886204622</v>
      </c>
      <c r="AT30" s="17">
        <v>592</v>
      </c>
      <c r="AU30" s="17"/>
      <c r="AV30" s="197">
        <f>AB30+30+AR30</f>
        <v>154</v>
      </c>
      <c r="AW30" s="17"/>
    </row>
    <row r="31" spans="1:49" ht="49.5">
      <c r="A31" s="216"/>
      <c r="B31" s="180"/>
      <c r="C31" s="102" t="s">
        <v>581</v>
      </c>
      <c r="D31" s="171"/>
      <c r="E31" s="103" t="s">
        <v>77</v>
      </c>
      <c r="F31" s="103" t="s">
        <v>240</v>
      </c>
      <c r="G31" s="219"/>
      <c r="H31" s="102" t="s">
        <v>494</v>
      </c>
      <c r="I31" s="153">
        <v>0.6</v>
      </c>
      <c r="J31" s="102">
        <v>124.5</v>
      </c>
      <c r="K31" s="102">
        <v>-9</v>
      </c>
      <c r="L31" s="102">
        <v>47.6</v>
      </c>
      <c r="M31" s="88">
        <f>L31-$M$1</f>
        <v>12.600000000000001</v>
      </c>
      <c r="N31" s="77"/>
      <c r="O31" s="198"/>
      <c r="P31" s="198"/>
      <c r="Q31" s="134"/>
      <c r="R31" s="215"/>
      <c r="S31" s="102" t="s">
        <v>494</v>
      </c>
      <c r="T31" s="212"/>
      <c r="U31" s="78"/>
      <c r="V31" s="198"/>
      <c r="W31" s="198"/>
      <c r="X31" s="78"/>
      <c r="Y31" s="99">
        <f t="shared" si="3"/>
        <v>0</v>
      </c>
      <c r="Z31" s="99"/>
      <c r="AA31" s="76"/>
      <c r="AB31" s="210"/>
      <c r="AC31" s="210"/>
      <c r="AD31" s="78"/>
      <c r="AE31" s="188"/>
      <c r="AF31" s="188"/>
      <c r="AG31" s="188"/>
      <c r="AH31" s="84"/>
      <c r="AI31" s="191"/>
      <c r="AJ31" s="207"/>
      <c r="AK31" s="182"/>
      <c r="AL31" s="191"/>
      <c r="AM31" s="198"/>
      <c r="AN31" s="198"/>
      <c r="AO31" s="198"/>
      <c r="AP31" s="78"/>
      <c r="AQ31" s="198"/>
      <c r="AR31" s="78"/>
      <c r="AS31" s="204"/>
      <c r="AT31" s="78"/>
      <c r="AU31" s="78"/>
      <c r="AV31" s="198"/>
      <c r="AW31" s="78"/>
    </row>
    <row r="32" spans="1:49" ht="99">
      <c r="A32" s="216"/>
      <c r="B32" s="180"/>
      <c r="C32" s="102" t="s">
        <v>582</v>
      </c>
      <c r="D32" s="171"/>
      <c r="E32" s="103" t="s">
        <v>77</v>
      </c>
      <c r="F32" s="103" t="s">
        <v>241</v>
      </c>
      <c r="G32" s="102" t="s">
        <v>496</v>
      </c>
      <c r="H32" s="102" t="s">
        <v>493</v>
      </c>
      <c r="I32" s="153">
        <v>0.4</v>
      </c>
      <c r="J32" s="102">
        <v>125.9</v>
      </c>
      <c r="K32" s="102">
        <v>-15.1</v>
      </c>
      <c r="L32" s="102">
        <v>38.700000000000003</v>
      </c>
      <c r="M32" s="88">
        <f t="shared" si="2"/>
        <v>3.7000000000000028</v>
      </c>
      <c r="N32" s="56"/>
      <c r="O32" s="199"/>
      <c r="P32" s="199"/>
      <c r="Q32" s="135"/>
      <c r="R32" s="166"/>
      <c r="S32" s="102" t="s">
        <v>493</v>
      </c>
      <c r="T32" s="168"/>
      <c r="U32" s="61"/>
      <c r="V32" s="199"/>
      <c r="W32" s="199"/>
      <c r="X32" s="61"/>
      <c r="Y32" s="99">
        <f t="shared" si="3"/>
        <v>0</v>
      </c>
      <c r="Z32" s="99"/>
      <c r="AA32" s="60"/>
      <c r="AB32" s="211"/>
      <c r="AC32" s="211"/>
      <c r="AD32" s="61"/>
      <c r="AE32" s="189"/>
      <c r="AF32" s="189"/>
      <c r="AG32" s="189"/>
      <c r="AH32" s="85"/>
      <c r="AI32" s="192"/>
      <c r="AJ32" s="208"/>
      <c r="AK32" s="183"/>
      <c r="AL32" s="192"/>
      <c r="AM32" s="199"/>
      <c r="AN32" s="199"/>
      <c r="AO32" s="199"/>
      <c r="AP32" s="61"/>
      <c r="AQ32" s="199"/>
      <c r="AR32" s="61"/>
      <c r="AS32" s="205"/>
      <c r="AT32" s="61"/>
      <c r="AU32" s="61"/>
      <c r="AV32" s="199"/>
      <c r="AW32" s="53"/>
    </row>
    <row r="33" spans="1:53" ht="66">
      <c r="A33" s="13">
        <v>30</v>
      </c>
      <c r="B33" s="180"/>
      <c r="C33" s="102" t="s">
        <v>375</v>
      </c>
      <c r="D33" s="171"/>
      <c r="E33" s="103" t="s">
        <v>77</v>
      </c>
      <c r="F33" s="103" t="s">
        <v>241</v>
      </c>
      <c r="G33" s="102" t="s">
        <v>497</v>
      </c>
      <c r="H33" s="102" t="s">
        <v>491</v>
      </c>
      <c r="I33" s="102" t="s">
        <v>422</v>
      </c>
      <c r="J33" s="102">
        <v>124.1</v>
      </c>
      <c r="K33" s="102">
        <v>-21.6</v>
      </c>
      <c r="L33" s="102">
        <v>41.4</v>
      </c>
      <c r="M33" s="88">
        <f t="shared" si="2"/>
        <v>6.3999999999999986</v>
      </c>
      <c r="N33" s="15"/>
      <c r="O33" s="17" t="s">
        <v>81</v>
      </c>
      <c r="P33" s="17" t="s">
        <v>22</v>
      </c>
      <c r="Q33" s="130">
        <v>0</v>
      </c>
      <c r="R33" s="48" t="s">
        <v>82</v>
      </c>
      <c r="S33" s="48" t="s">
        <v>83</v>
      </c>
      <c r="T33" s="43">
        <v>200</v>
      </c>
      <c r="U33" s="34" t="s">
        <v>415</v>
      </c>
      <c r="V33" s="17" t="s">
        <v>635</v>
      </c>
      <c r="W33" s="17" t="s">
        <v>84</v>
      </c>
      <c r="X33" s="34">
        <v>4</v>
      </c>
      <c r="Y33" s="26">
        <f t="shared" si="3"/>
        <v>101.6</v>
      </c>
      <c r="Z33" s="26" t="s">
        <v>604</v>
      </c>
      <c r="AA33" s="48" t="s">
        <v>222</v>
      </c>
      <c r="AB33" s="49">
        <v>120</v>
      </c>
      <c r="AC33" s="34">
        <f t="shared" ref="AC33:AC38" si="13">AB33+X33</f>
        <v>124</v>
      </c>
      <c r="AD33" s="17">
        <v>0.1</v>
      </c>
      <c r="AE33" s="19">
        <f t="shared" si="1"/>
        <v>0.10500000000000001</v>
      </c>
      <c r="AF33" s="19">
        <v>2</v>
      </c>
      <c r="AG33" s="19">
        <f t="shared" si="4"/>
        <v>2.105</v>
      </c>
      <c r="AH33" s="86">
        <f>AI33*AO14</f>
        <v>1971.4200000000003</v>
      </c>
      <c r="AI33" s="37">
        <v>20.6</v>
      </c>
      <c r="AJ33" s="17"/>
      <c r="AK33" s="18">
        <v>8881</v>
      </c>
      <c r="AL33" s="37">
        <f t="shared" si="5"/>
        <v>2.4669444444444446</v>
      </c>
      <c r="AM33" s="17">
        <v>23.9</v>
      </c>
      <c r="AN33" s="17">
        <v>45</v>
      </c>
      <c r="AO33" s="17">
        <v>562.29999999999995</v>
      </c>
      <c r="AP33" s="17" t="s">
        <v>85</v>
      </c>
      <c r="AQ33" s="17" t="s">
        <v>25</v>
      </c>
      <c r="AR33" s="23" t="s">
        <v>25</v>
      </c>
      <c r="AS33" s="20">
        <f t="shared" si="6"/>
        <v>0</v>
      </c>
      <c r="AT33" s="17">
        <v>0</v>
      </c>
      <c r="AU33" s="17"/>
      <c r="AV33" s="23" t="s">
        <v>422</v>
      </c>
      <c r="AW33" s="17"/>
    </row>
    <row r="34" spans="1:53" ht="66">
      <c r="A34" s="13">
        <v>31</v>
      </c>
      <c r="B34" s="164"/>
      <c r="C34" s="102" t="s">
        <v>376</v>
      </c>
      <c r="D34" s="171"/>
      <c r="E34" s="103" t="s">
        <v>77</v>
      </c>
      <c r="F34" s="103" t="s">
        <v>241</v>
      </c>
      <c r="G34" s="102" t="s">
        <v>498</v>
      </c>
      <c r="H34" s="102" t="s">
        <v>492</v>
      </c>
      <c r="I34" s="102" t="s">
        <v>422</v>
      </c>
      <c r="J34" s="102">
        <v>128.30000000000001</v>
      </c>
      <c r="K34" s="102">
        <v>-21.5</v>
      </c>
      <c r="L34" s="102">
        <v>41.1</v>
      </c>
      <c r="M34" s="88">
        <f t="shared" si="2"/>
        <v>6.1000000000000014</v>
      </c>
      <c r="N34" s="15"/>
      <c r="O34" s="17" t="s">
        <v>86</v>
      </c>
      <c r="P34" s="17" t="s">
        <v>22</v>
      </c>
      <c r="Q34" s="130">
        <v>0</v>
      </c>
      <c r="R34" s="48" t="s">
        <v>87</v>
      </c>
      <c r="S34" s="48" t="s">
        <v>88</v>
      </c>
      <c r="T34" s="43">
        <v>200</v>
      </c>
      <c r="U34" s="34" t="s">
        <v>415</v>
      </c>
      <c r="V34" s="17" t="s">
        <v>636</v>
      </c>
      <c r="W34" s="17" t="s">
        <v>89</v>
      </c>
      <c r="X34" s="34">
        <v>4</v>
      </c>
      <c r="Y34" s="26">
        <f t="shared" si="3"/>
        <v>101.6</v>
      </c>
      <c r="Z34" s="26" t="s">
        <v>604</v>
      </c>
      <c r="AA34" s="48" t="s">
        <v>223</v>
      </c>
      <c r="AB34" s="49">
        <v>120</v>
      </c>
      <c r="AC34" s="34">
        <f t="shared" si="13"/>
        <v>124</v>
      </c>
      <c r="AD34" s="17">
        <v>0.1</v>
      </c>
      <c r="AE34" s="19">
        <f t="shared" si="1"/>
        <v>0.10500000000000001</v>
      </c>
      <c r="AF34" s="19">
        <v>1.5</v>
      </c>
      <c r="AG34" s="19">
        <f t="shared" si="4"/>
        <v>1.605</v>
      </c>
      <c r="AH34" s="86">
        <f>AI34*AO14</f>
        <v>1971.4200000000003</v>
      </c>
      <c r="AI34" s="37">
        <v>20.6</v>
      </c>
      <c r="AJ34" s="17"/>
      <c r="AK34" s="18">
        <v>6186</v>
      </c>
      <c r="AL34" s="37">
        <f t="shared" si="5"/>
        <v>1.7183333333333333</v>
      </c>
      <c r="AM34" s="17">
        <v>53.4</v>
      </c>
      <c r="AN34" s="17">
        <v>45</v>
      </c>
      <c r="AO34" s="17">
        <v>462.1</v>
      </c>
      <c r="AP34" s="17" t="s">
        <v>90</v>
      </c>
      <c r="AQ34" s="17" t="s">
        <v>25</v>
      </c>
      <c r="AR34" s="23" t="s">
        <v>25</v>
      </c>
      <c r="AS34" s="20">
        <f t="shared" si="6"/>
        <v>0</v>
      </c>
      <c r="AT34" s="17">
        <v>0</v>
      </c>
      <c r="AU34" s="17"/>
      <c r="AV34" s="23" t="s">
        <v>422</v>
      </c>
      <c r="AW34" s="17"/>
    </row>
    <row r="35" spans="1:53" ht="165">
      <c r="A35" s="13">
        <v>32</v>
      </c>
      <c r="B35" s="113" t="s">
        <v>377</v>
      </c>
      <c r="C35" s="102" t="s">
        <v>377</v>
      </c>
      <c r="D35" s="102" t="s">
        <v>91</v>
      </c>
      <c r="E35" s="103" t="s">
        <v>77</v>
      </c>
      <c r="F35" s="103" t="s">
        <v>240</v>
      </c>
      <c r="G35" s="102" t="s">
        <v>499</v>
      </c>
      <c r="H35" s="102" t="s">
        <v>561</v>
      </c>
      <c r="I35" s="102" t="s">
        <v>422</v>
      </c>
      <c r="J35" s="102">
        <v>128.80000000000001</v>
      </c>
      <c r="K35" s="102">
        <v>-6.4</v>
      </c>
      <c r="L35" s="102">
        <v>48</v>
      </c>
      <c r="M35" s="88">
        <f t="shared" si="2"/>
        <v>13</v>
      </c>
      <c r="N35" s="15"/>
      <c r="O35" s="17">
        <v>110</v>
      </c>
      <c r="P35" s="17" t="s">
        <v>10</v>
      </c>
      <c r="Q35" s="130">
        <v>1</v>
      </c>
      <c r="R35" s="48" t="s">
        <v>92</v>
      </c>
      <c r="S35" s="67" t="s">
        <v>561</v>
      </c>
      <c r="T35" s="43">
        <v>100</v>
      </c>
      <c r="U35" s="34" t="s">
        <v>411</v>
      </c>
      <c r="V35" s="17" t="s">
        <v>354</v>
      </c>
      <c r="W35" s="17" t="s">
        <v>276</v>
      </c>
      <c r="X35" s="34">
        <v>16</v>
      </c>
      <c r="Y35" s="99">
        <f t="shared" si="3"/>
        <v>406.4</v>
      </c>
      <c r="Z35" s="99"/>
      <c r="AA35" s="48" t="s">
        <v>682</v>
      </c>
      <c r="AB35" s="49">
        <v>120</v>
      </c>
      <c r="AC35" s="34">
        <f t="shared" si="13"/>
        <v>136</v>
      </c>
      <c r="AD35" s="17">
        <v>12.71</v>
      </c>
      <c r="AE35" s="19">
        <f t="shared" si="1"/>
        <v>13.345500000000001</v>
      </c>
      <c r="AF35" s="19">
        <v>0</v>
      </c>
      <c r="AG35" s="19">
        <f t="shared" si="4"/>
        <v>13.345500000000001</v>
      </c>
      <c r="AH35" s="86">
        <f>AI35*AO12</f>
        <v>1859.69</v>
      </c>
      <c r="AI35" s="37">
        <v>85.7</v>
      </c>
      <c r="AJ35" s="17"/>
      <c r="AK35" s="18">
        <v>46086</v>
      </c>
      <c r="AL35" s="37">
        <f t="shared" si="5"/>
        <v>12.801666666666666</v>
      </c>
      <c r="AM35" s="17">
        <v>25.2</v>
      </c>
      <c r="AN35" s="17">
        <v>115.6</v>
      </c>
      <c r="AO35" s="17">
        <v>26.2</v>
      </c>
      <c r="AP35" s="17" t="s">
        <v>93</v>
      </c>
      <c r="AQ35" s="17" t="s">
        <v>12</v>
      </c>
      <c r="AR35" s="34">
        <v>2</v>
      </c>
      <c r="AS35" s="20">
        <f t="shared" si="6"/>
        <v>14.759213898594281</v>
      </c>
      <c r="AT35" s="17">
        <v>171</v>
      </c>
      <c r="AU35" s="17"/>
      <c r="AV35" s="34">
        <f>AB35+30+AR35</f>
        <v>152</v>
      </c>
      <c r="AW35" s="17"/>
    </row>
    <row r="36" spans="1:53" ht="132">
      <c r="A36" s="13">
        <v>33</v>
      </c>
      <c r="B36" s="163" t="s">
        <v>94</v>
      </c>
      <c r="C36" s="102" t="s">
        <v>378</v>
      </c>
      <c r="D36" s="171" t="s">
        <v>95</v>
      </c>
      <c r="E36" s="103" t="s">
        <v>77</v>
      </c>
      <c r="F36" s="103" t="s">
        <v>240</v>
      </c>
      <c r="G36" s="102" t="s">
        <v>610</v>
      </c>
      <c r="H36" s="102" t="s">
        <v>464</v>
      </c>
      <c r="I36" s="102" t="s">
        <v>422</v>
      </c>
      <c r="J36" s="102">
        <v>136.6</v>
      </c>
      <c r="K36" s="102">
        <v>-16</v>
      </c>
      <c r="L36" s="102">
        <v>51.2</v>
      </c>
      <c r="M36" s="88">
        <f t="shared" si="2"/>
        <v>16.200000000000003</v>
      </c>
      <c r="N36" s="15"/>
      <c r="O36" s="17">
        <v>116</v>
      </c>
      <c r="P36" s="17" t="s">
        <v>10</v>
      </c>
      <c r="Q36" s="130">
        <v>0.98580000000000001</v>
      </c>
      <c r="R36" s="48" t="s">
        <v>424</v>
      </c>
      <c r="S36" s="40" t="s">
        <v>334</v>
      </c>
      <c r="T36" s="43">
        <v>100</v>
      </c>
      <c r="U36" s="34" t="s">
        <v>411</v>
      </c>
      <c r="V36" s="17" t="s">
        <v>301</v>
      </c>
      <c r="W36" s="17" t="s">
        <v>190</v>
      </c>
      <c r="X36" s="34">
        <v>20</v>
      </c>
      <c r="Y36" s="99">
        <f t="shared" si="3"/>
        <v>508</v>
      </c>
      <c r="Z36" s="99"/>
      <c r="AA36" s="48" t="s">
        <v>683</v>
      </c>
      <c r="AB36" s="49">
        <v>120</v>
      </c>
      <c r="AC36" s="34">
        <f t="shared" si="13"/>
        <v>140</v>
      </c>
      <c r="AD36" s="17">
        <v>42.97</v>
      </c>
      <c r="AE36" s="19">
        <f t="shared" si="1"/>
        <v>45.118499999999997</v>
      </c>
      <c r="AF36" s="19">
        <v>23.8</v>
      </c>
      <c r="AG36" s="19">
        <f t="shared" si="4"/>
        <v>68.918499999999995</v>
      </c>
      <c r="AH36" s="86">
        <f>AI36*AO9</f>
        <v>14386.1</v>
      </c>
      <c r="AI36" s="37">
        <v>131.5</v>
      </c>
      <c r="AJ36" s="17"/>
      <c r="AK36" s="18">
        <v>487083</v>
      </c>
      <c r="AL36" s="37">
        <f t="shared" si="5"/>
        <v>135.30083333333334</v>
      </c>
      <c r="AM36" s="17">
        <v>107.4</v>
      </c>
      <c r="AN36" s="17">
        <v>40</v>
      </c>
      <c r="AO36" s="17">
        <v>110.5</v>
      </c>
      <c r="AP36" s="21" t="s">
        <v>335</v>
      </c>
      <c r="AQ36" s="17" t="s">
        <v>191</v>
      </c>
      <c r="AR36" s="34">
        <v>4</v>
      </c>
      <c r="AS36" s="20" t="s">
        <v>255</v>
      </c>
      <c r="AT36" s="17" t="s">
        <v>249</v>
      </c>
      <c r="AU36" s="21" t="s">
        <v>232</v>
      </c>
      <c r="AV36" s="34">
        <f>AB36+30+AR36</f>
        <v>154</v>
      </c>
      <c r="AW36" s="17">
        <f>SQRT(393/3.14)*2</f>
        <v>22.374917713260068</v>
      </c>
      <c r="AX36" s="17">
        <f>SQRT(587/3.14)*2</f>
        <v>27.345396333513666</v>
      </c>
    </row>
    <row r="37" spans="1:53" ht="49.5">
      <c r="A37" s="13">
        <v>34</v>
      </c>
      <c r="B37" s="164"/>
      <c r="C37" s="102" t="s">
        <v>379</v>
      </c>
      <c r="D37" s="171"/>
      <c r="E37" s="103" t="s">
        <v>96</v>
      </c>
      <c r="F37" s="107" t="s">
        <v>241</v>
      </c>
      <c r="G37" s="106" t="s">
        <v>611</v>
      </c>
      <c r="H37" s="106" t="s">
        <v>611</v>
      </c>
      <c r="I37" s="106" t="s">
        <v>422</v>
      </c>
      <c r="J37" s="106">
        <v>144.6</v>
      </c>
      <c r="K37" s="106">
        <v>7.5</v>
      </c>
      <c r="L37" s="106">
        <v>38.4</v>
      </c>
      <c r="M37" s="96">
        <f t="shared" si="2"/>
        <v>3.3999999999999986</v>
      </c>
      <c r="N37" s="98"/>
      <c r="O37" s="100" t="s">
        <v>100</v>
      </c>
      <c r="P37" s="17" t="s">
        <v>22</v>
      </c>
      <c r="Q37" s="130">
        <v>0</v>
      </c>
      <c r="R37" s="48" t="s">
        <v>101</v>
      </c>
      <c r="S37" s="40" t="s">
        <v>97</v>
      </c>
      <c r="T37" s="43">
        <v>100</v>
      </c>
      <c r="U37" s="34" t="s">
        <v>411</v>
      </c>
      <c r="V37" s="17" t="s">
        <v>637</v>
      </c>
      <c r="W37" s="17" t="s">
        <v>102</v>
      </c>
      <c r="X37" s="34">
        <v>3</v>
      </c>
      <c r="Y37" s="26">
        <f t="shared" si="3"/>
        <v>76.199999999999989</v>
      </c>
      <c r="Z37" s="26" t="s">
        <v>604</v>
      </c>
      <c r="AA37" s="48" t="s">
        <v>540</v>
      </c>
      <c r="AB37" s="49">
        <v>120</v>
      </c>
      <c r="AC37" s="34">
        <f t="shared" si="13"/>
        <v>123</v>
      </c>
      <c r="AD37" s="17">
        <v>0.08</v>
      </c>
      <c r="AE37" s="19">
        <f t="shared" si="1"/>
        <v>8.4000000000000005E-2</v>
      </c>
      <c r="AF37" s="19">
        <v>2.9</v>
      </c>
      <c r="AG37" s="19">
        <f t="shared" si="4"/>
        <v>2.984</v>
      </c>
      <c r="AH37" s="86">
        <f>AI37*AO11</f>
        <v>5790.7699999999995</v>
      </c>
      <c r="AI37" s="37">
        <v>22.7</v>
      </c>
      <c r="AJ37" s="17"/>
      <c r="AK37" s="18">
        <v>14256</v>
      </c>
      <c r="AL37" s="37">
        <f t="shared" si="5"/>
        <v>3.96</v>
      </c>
      <c r="AM37" s="17">
        <v>106.2</v>
      </c>
      <c r="AN37" s="17">
        <v>39.6</v>
      </c>
      <c r="AO37" s="17">
        <v>648.79999999999995</v>
      </c>
      <c r="AP37" s="21" t="s">
        <v>98</v>
      </c>
      <c r="AQ37" s="17" t="s">
        <v>25</v>
      </c>
      <c r="AR37" s="23" t="s">
        <v>25</v>
      </c>
      <c r="AS37" s="20">
        <f t="shared" si="6"/>
        <v>0</v>
      </c>
      <c r="AT37" s="17">
        <v>0</v>
      </c>
      <c r="AU37" s="17"/>
      <c r="AV37" s="23" t="s">
        <v>422</v>
      </c>
      <c r="AW37" s="17"/>
    </row>
    <row r="38" spans="1:53" ht="66">
      <c r="A38" s="216">
        <v>15</v>
      </c>
      <c r="B38" s="170" t="s">
        <v>380</v>
      </c>
      <c r="C38" s="102" t="s">
        <v>583</v>
      </c>
      <c r="D38" s="171" t="s">
        <v>103</v>
      </c>
      <c r="E38" s="103" t="s">
        <v>96</v>
      </c>
      <c r="F38" s="103" t="s">
        <v>241</v>
      </c>
      <c r="G38" s="171" t="s">
        <v>461</v>
      </c>
      <c r="H38" s="102" t="s">
        <v>463</v>
      </c>
      <c r="I38" s="153">
        <v>0.25</v>
      </c>
      <c r="J38" s="102">
        <v>156.30000000000001</v>
      </c>
      <c r="K38" s="102">
        <v>11.5</v>
      </c>
      <c r="L38" s="102">
        <v>38.5</v>
      </c>
      <c r="M38" s="93">
        <f t="shared" si="2"/>
        <v>3.5</v>
      </c>
      <c r="N38" s="15"/>
      <c r="O38" s="17">
        <v>318</v>
      </c>
      <c r="P38" s="17" t="s">
        <v>10</v>
      </c>
      <c r="Q38" s="133">
        <v>1</v>
      </c>
      <c r="R38" s="165" t="s">
        <v>104</v>
      </c>
      <c r="S38" s="48" t="s">
        <v>105</v>
      </c>
      <c r="T38" s="43">
        <v>100</v>
      </c>
      <c r="U38" s="34" t="s">
        <v>411</v>
      </c>
      <c r="V38" s="197" t="s">
        <v>302</v>
      </c>
      <c r="W38" s="197" t="s">
        <v>193</v>
      </c>
      <c r="X38" s="34">
        <v>20</v>
      </c>
      <c r="Y38" s="99">
        <f t="shared" si="3"/>
        <v>508</v>
      </c>
      <c r="Z38" s="99"/>
      <c r="AA38" s="48" t="s">
        <v>684</v>
      </c>
      <c r="AB38" s="209">
        <v>120</v>
      </c>
      <c r="AC38" s="197">
        <f t="shared" si="13"/>
        <v>140</v>
      </c>
      <c r="AD38" s="17">
        <v>33</v>
      </c>
      <c r="AE38" s="187">
        <f t="shared" si="1"/>
        <v>34.65</v>
      </c>
      <c r="AF38" s="187">
        <v>32.4</v>
      </c>
      <c r="AG38" s="187">
        <f t="shared" si="4"/>
        <v>67.05</v>
      </c>
      <c r="AH38" s="83">
        <f>AI38*AO36</f>
        <v>7613.4500000000007</v>
      </c>
      <c r="AI38" s="190">
        <v>68.900000000000006</v>
      </c>
      <c r="AJ38" s="197"/>
      <c r="AK38" s="181">
        <v>472827</v>
      </c>
      <c r="AL38" s="190">
        <f t="shared" si="5"/>
        <v>131.34083333333334</v>
      </c>
      <c r="AM38" s="197">
        <v>105.4</v>
      </c>
      <c r="AN38" s="197">
        <v>40.6</v>
      </c>
      <c r="AO38" s="197">
        <v>105.1</v>
      </c>
      <c r="AP38" s="17" t="s">
        <v>106</v>
      </c>
      <c r="AQ38" s="197" t="s">
        <v>192</v>
      </c>
      <c r="AR38" s="34">
        <v>4</v>
      </c>
      <c r="AS38" s="203" t="s">
        <v>256</v>
      </c>
      <c r="AT38" s="17" t="s">
        <v>250</v>
      </c>
      <c r="AU38" s="21" t="s">
        <v>232</v>
      </c>
      <c r="AV38" s="197">
        <f>AB38+30+AR38</f>
        <v>154</v>
      </c>
      <c r="AW38" s="17">
        <f>SQRT(540/3.14)*2</f>
        <v>26.227811368316161</v>
      </c>
      <c r="AX38" s="17">
        <f>SQRT(752/3.14)*2</f>
        <v>30.950957714414759</v>
      </c>
    </row>
    <row r="39" spans="1:53" ht="66">
      <c r="A39" s="216"/>
      <c r="B39" s="170"/>
      <c r="C39" s="102" t="s">
        <v>584</v>
      </c>
      <c r="D39" s="171"/>
      <c r="E39" s="103" t="s">
        <v>96</v>
      </c>
      <c r="F39" s="103" t="s">
        <v>240</v>
      </c>
      <c r="G39" s="171"/>
      <c r="H39" s="102" t="s">
        <v>562</v>
      </c>
      <c r="I39" s="153">
        <v>0.23</v>
      </c>
      <c r="J39" s="102">
        <v>147.30000000000001</v>
      </c>
      <c r="K39" s="102">
        <v>10.3</v>
      </c>
      <c r="L39" s="102">
        <v>49</v>
      </c>
      <c r="M39" s="92">
        <f t="shared" si="2"/>
        <v>14</v>
      </c>
      <c r="N39" s="56"/>
      <c r="O39" s="61">
        <v>318</v>
      </c>
      <c r="P39" s="61" t="s">
        <v>10</v>
      </c>
      <c r="Q39" s="134"/>
      <c r="R39" s="215"/>
      <c r="S39" s="67" t="s">
        <v>562</v>
      </c>
      <c r="T39" s="43">
        <v>100</v>
      </c>
      <c r="U39" s="61" t="s">
        <v>411</v>
      </c>
      <c r="V39" s="198"/>
      <c r="W39" s="198"/>
      <c r="X39" s="61"/>
      <c r="Y39" s="99">
        <f t="shared" si="3"/>
        <v>0</v>
      </c>
      <c r="Z39" s="99"/>
      <c r="AA39" s="60"/>
      <c r="AB39" s="210"/>
      <c r="AC39" s="198"/>
      <c r="AD39" s="61"/>
      <c r="AE39" s="188"/>
      <c r="AF39" s="188"/>
      <c r="AG39" s="188"/>
      <c r="AH39" s="84"/>
      <c r="AI39" s="191"/>
      <c r="AJ39" s="198"/>
      <c r="AK39" s="182"/>
      <c r="AL39" s="191"/>
      <c r="AM39" s="198"/>
      <c r="AN39" s="198"/>
      <c r="AO39" s="198"/>
      <c r="AP39" s="61"/>
      <c r="AQ39" s="198"/>
      <c r="AR39" s="61"/>
      <c r="AS39" s="204"/>
      <c r="AT39" s="61"/>
      <c r="AU39" s="62"/>
      <c r="AV39" s="198"/>
      <c r="AW39" s="53"/>
      <c r="AX39" s="53"/>
    </row>
    <row r="40" spans="1:53" ht="66">
      <c r="A40" s="216"/>
      <c r="B40" s="170"/>
      <c r="C40" s="102" t="s">
        <v>585</v>
      </c>
      <c r="D40" s="171"/>
      <c r="E40" s="103" t="s">
        <v>96</v>
      </c>
      <c r="F40" s="103" t="s">
        <v>457</v>
      </c>
      <c r="G40" s="171"/>
      <c r="H40" s="102" t="s">
        <v>462</v>
      </c>
      <c r="I40" s="153">
        <v>0.52</v>
      </c>
      <c r="J40" s="102">
        <v>145</v>
      </c>
      <c r="K40" s="102">
        <v>16.2</v>
      </c>
      <c r="L40" s="102">
        <v>55.4</v>
      </c>
      <c r="M40" s="88">
        <f t="shared" si="2"/>
        <v>20.399999999999999</v>
      </c>
      <c r="N40" s="56"/>
      <c r="O40" s="61">
        <v>318</v>
      </c>
      <c r="P40" s="61" t="s">
        <v>10</v>
      </c>
      <c r="Q40" s="135"/>
      <c r="R40" s="166"/>
      <c r="S40" s="60" t="s">
        <v>563</v>
      </c>
      <c r="T40" s="43">
        <v>100</v>
      </c>
      <c r="U40" s="61" t="s">
        <v>411</v>
      </c>
      <c r="V40" s="199"/>
      <c r="W40" s="199"/>
      <c r="X40" s="61"/>
      <c r="Y40" s="99">
        <f t="shared" si="3"/>
        <v>0</v>
      </c>
      <c r="Z40" s="99"/>
      <c r="AA40" s="60"/>
      <c r="AB40" s="211"/>
      <c r="AC40" s="199"/>
      <c r="AD40" s="61"/>
      <c r="AE40" s="189"/>
      <c r="AF40" s="189"/>
      <c r="AG40" s="189"/>
      <c r="AH40" s="85"/>
      <c r="AI40" s="192"/>
      <c r="AJ40" s="199"/>
      <c r="AK40" s="183"/>
      <c r="AL40" s="192"/>
      <c r="AM40" s="199"/>
      <c r="AN40" s="199"/>
      <c r="AO40" s="199"/>
      <c r="AP40" s="61"/>
      <c r="AQ40" s="199"/>
      <c r="AR40" s="61"/>
      <c r="AS40" s="205"/>
      <c r="AT40" s="61"/>
      <c r="AU40" s="62"/>
      <c r="AV40" s="199"/>
      <c r="AW40" s="53"/>
      <c r="AX40" s="53"/>
    </row>
    <row r="41" spans="1:53" ht="99">
      <c r="A41" s="13">
        <v>16</v>
      </c>
      <c r="B41" s="163" t="s">
        <v>107</v>
      </c>
      <c r="C41" s="102" t="s">
        <v>381</v>
      </c>
      <c r="D41" s="171" t="s">
        <v>108</v>
      </c>
      <c r="E41" s="103" t="s">
        <v>96</v>
      </c>
      <c r="F41" s="103" t="s">
        <v>240</v>
      </c>
      <c r="G41" s="102" t="s">
        <v>465</v>
      </c>
      <c r="H41" s="102" t="s">
        <v>465</v>
      </c>
      <c r="I41" s="102" t="s">
        <v>422</v>
      </c>
      <c r="J41" s="102">
        <v>145.19999999999999</v>
      </c>
      <c r="K41" s="102">
        <v>20.6</v>
      </c>
      <c r="L41" s="102">
        <v>50.8</v>
      </c>
      <c r="M41" s="88">
        <f t="shared" si="2"/>
        <v>15.799999999999997</v>
      </c>
      <c r="N41" s="15"/>
      <c r="O41" s="17">
        <v>119</v>
      </c>
      <c r="P41" s="17" t="s">
        <v>10</v>
      </c>
      <c r="Q41" s="130">
        <v>1</v>
      </c>
      <c r="R41" s="48" t="s">
        <v>109</v>
      </c>
      <c r="S41" s="48" t="s">
        <v>110</v>
      </c>
      <c r="T41" s="43">
        <v>100</v>
      </c>
      <c r="U41" s="34" t="s">
        <v>411</v>
      </c>
      <c r="V41" s="17" t="s">
        <v>303</v>
      </c>
      <c r="W41" s="17" t="s">
        <v>194</v>
      </c>
      <c r="X41" s="34">
        <v>20</v>
      </c>
      <c r="Y41" s="99">
        <f t="shared" si="3"/>
        <v>508</v>
      </c>
      <c r="Z41" s="99"/>
      <c r="AA41" s="48" t="s">
        <v>685</v>
      </c>
      <c r="AB41" s="49">
        <v>120</v>
      </c>
      <c r="AC41" s="34">
        <f t="shared" ref="AC41:AC47" si="14">AB41+X41</f>
        <v>140</v>
      </c>
      <c r="AD41" s="17">
        <v>10.199999999999999</v>
      </c>
      <c r="AE41" s="19">
        <f t="shared" si="1"/>
        <v>10.709999999999999</v>
      </c>
      <c r="AF41" s="19">
        <v>59.2</v>
      </c>
      <c r="AG41" s="19">
        <f t="shared" si="4"/>
        <v>69.91</v>
      </c>
      <c r="AH41" s="86">
        <f>AI42*AO58</f>
        <v>998.8</v>
      </c>
      <c r="AI41" s="37">
        <v>69.3</v>
      </c>
      <c r="AJ41" s="17"/>
      <c r="AK41" s="18">
        <v>472213</v>
      </c>
      <c r="AL41" s="37">
        <f t="shared" si="5"/>
        <v>131.17027777777778</v>
      </c>
      <c r="AM41" s="17">
        <v>103.6</v>
      </c>
      <c r="AN41" s="17">
        <v>41.1</v>
      </c>
      <c r="AO41" s="17">
        <v>102.6</v>
      </c>
      <c r="AP41" s="17" t="s">
        <v>111</v>
      </c>
      <c r="AQ41" s="17" t="s">
        <v>234</v>
      </c>
      <c r="AR41" s="34">
        <v>6</v>
      </c>
      <c r="AS41" s="20" t="s">
        <v>257</v>
      </c>
      <c r="AT41" s="17" t="s">
        <v>251</v>
      </c>
      <c r="AU41" s="17" t="s">
        <v>237</v>
      </c>
      <c r="AV41" s="34">
        <f>AB41+30+AR41</f>
        <v>156</v>
      </c>
      <c r="AW41" s="17">
        <f>SQRT(567/3.14)*2</f>
        <v>26.875509179001114</v>
      </c>
      <c r="AX41" s="17">
        <f>SQRT(772/3.14)*2</f>
        <v>31.359838814092459</v>
      </c>
    </row>
    <row r="42" spans="1:53" ht="66">
      <c r="A42" s="13">
        <v>17</v>
      </c>
      <c r="B42" s="164"/>
      <c r="C42" s="102" t="s">
        <v>382</v>
      </c>
      <c r="D42" s="171"/>
      <c r="E42" s="103" t="s">
        <v>96</v>
      </c>
      <c r="F42" s="103" t="s">
        <v>241</v>
      </c>
      <c r="G42" s="102" t="s">
        <v>466</v>
      </c>
      <c r="H42" s="102" t="s">
        <v>466</v>
      </c>
      <c r="I42" s="102" t="s">
        <v>422</v>
      </c>
      <c r="J42" s="102">
        <v>146.1</v>
      </c>
      <c r="K42" s="102">
        <v>22.2</v>
      </c>
      <c r="L42" s="102">
        <v>38.4</v>
      </c>
      <c r="M42" s="88">
        <f t="shared" si="2"/>
        <v>3.3999999999999986</v>
      </c>
      <c r="N42" s="15"/>
      <c r="O42" s="17">
        <v>241</v>
      </c>
      <c r="P42" s="17" t="s">
        <v>22</v>
      </c>
      <c r="Q42" s="130">
        <v>0</v>
      </c>
      <c r="R42" s="48" t="s">
        <v>109</v>
      </c>
      <c r="S42" s="48" t="s">
        <v>110</v>
      </c>
      <c r="T42" s="43">
        <v>100</v>
      </c>
      <c r="U42" s="34" t="s">
        <v>411</v>
      </c>
      <c r="V42" s="17" t="s">
        <v>638</v>
      </c>
      <c r="W42" s="17" t="s">
        <v>277</v>
      </c>
      <c r="X42" s="34">
        <v>2</v>
      </c>
      <c r="Y42" s="26">
        <f t="shared" si="3"/>
        <v>50.8</v>
      </c>
      <c r="Z42" s="26" t="s">
        <v>604</v>
      </c>
      <c r="AA42" s="48" t="s">
        <v>686</v>
      </c>
      <c r="AB42" s="49">
        <v>120</v>
      </c>
      <c r="AC42" s="34">
        <f t="shared" si="14"/>
        <v>122</v>
      </c>
      <c r="AD42" s="17">
        <v>0.21</v>
      </c>
      <c r="AE42" s="19">
        <f t="shared" si="1"/>
        <v>0.2205</v>
      </c>
      <c r="AF42" s="19">
        <v>5.2</v>
      </c>
      <c r="AG42" s="19">
        <f t="shared" si="4"/>
        <v>5.4205000000000005</v>
      </c>
      <c r="AH42" s="86">
        <f>AI42*AO11</f>
        <v>5790.7699999999995</v>
      </c>
      <c r="AI42" s="37">
        <v>22.7</v>
      </c>
      <c r="AJ42" s="17"/>
      <c r="AK42" s="18">
        <v>187</v>
      </c>
      <c r="AL42" s="37">
        <f t="shared" si="5"/>
        <v>5.1944444444444446E-2</v>
      </c>
      <c r="AM42" s="17">
        <v>104.1</v>
      </c>
      <c r="AN42" s="17">
        <v>40.1</v>
      </c>
      <c r="AO42" s="17">
        <v>597.4</v>
      </c>
      <c r="AP42" s="17" t="s">
        <v>111</v>
      </c>
      <c r="AQ42" s="17" t="s">
        <v>25</v>
      </c>
      <c r="AR42" s="23" t="s">
        <v>25</v>
      </c>
      <c r="AS42" s="20">
        <f t="shared" si="6"/>
        <v>0</v>
      </c>
      <c r="AT42" s="17">
        <v>0</v>
      </c>
      <c r="AU42" s="17"/>
      <c r="AV42" s="23" t="s">
        <v>422</v>
      </c>
      <c r="AW42" s="17"/>
    </row>
    <row r="43" spans="1:53" ht="66">
      <c r="A43" s="13">
        <v>18</v>
      </c>
      <c r="B43" s="163" t="s">
        <v>112</v>
      </c>
      <c r="C43" s="102" t="s">
        <v>383</v>
      </c>
      <c r="D43" s="171" t="s">
        <v>113</v>
      </c>
      <c r="E43" s="103" t="s">
        <v>96</v>
      </c>
      <c r="F43" s="103" t="s">
        <v>457</v>
      </c>
      <c r="G43" s="102" t="s">
        <v>459</v>
      </c>
      <c r="H43" s="102" t="s">
        <v>564</v>
      </c>
      <c r="I43" s="102" t="s">
        <v>422</v>
      </c>
      <c r="J43" s="102">
        <v>150</v>
      </c>
      <c r="K43" s="102">
        <v>20.8</v>
      </c>
      <c r="L43" s="102">
        <v>53</v>
      </c>
      <c r="M43" s="88">
        <f t="shared" si="2"/>
        <v>18</v>
      </c>
      <c r="N43" s="15"/>
      <c r="O43" s="17">
        <v>122</v>
      </c>
      <c r="P43" s="17" t="s">
        <v>10</v>
      </c>
      <c r="Q43" s="130">
        <v>1</v>
      </c>
      <c r="R43" s="48" t="s">
        <v>114</v>
      </c>
      <c r="S43" s="48" t="s">
        <v>115</v>
      </c>
      <c r="T43" s="43">
        <v>100</v>
      </c>
      <c r="U43" s="34" t="s">
        <v>411</v>
      </c>
      <c r="V43" s="17" t="s">
        <v>304</v>
      </c>
      <c r="W43" s="17" t="s">
        <v>195</v>
      </c>
      <c r="X43" s="34">
        <v>20</v>
      </c>
      <c r="Y43" s="99">
        <f t="shared" si="3"/>
        <v>508</v>
      </c>
      <c r="Z43" s="99"/>
      <c r="AA43" s="48" t="s">
        <v>687</v>
      </c>
      <c r="AB43" s="49">
        <v>120</v>
      </c>
      <c r="AC43" s="34">
        <f t="shared" si="14"/>
        <v>140</v>
      </c>
      <c r="AD43" s="17">
        <v>13.95</v>
      </c>
      <c r="AE43" s="19">
        <f t="shared" si="1"/>
        <v>14.647499999999999</v>
      </c>
      <c r="AF43" s="19">
        <v>23.7</v>
      </c>
      <c r="AG43" s="19">
        <f t="shared" si="4"/>
        <v>38.347499999999997</v>
      </c>
      <c r="AH43" s="86">
        <f>AI43*AO45</f>
        <v>7044.1799999999994</v>
      </c>
      <c r="AI43" s="37">
        <v>85.8</v>
      </c>
      <c r="AJ43" s="17"/>
      <c r="AK43" s="18">
        <v>445055</v>
      </c>
      <c r="AL43" s="37">
        <f t="shared" si="5"/>
        <v>123.62638888888888</v>
      </c>
      <c r="AM43" s="17">
        <v>101.3</v>
      </c>
      <c r="AN43" s="17">
        <v>9.3000000000000007</v>
      </c>
      <c r="AO43" s="17">
        <v>125.5</v>
      </c>
      <c r="AP43" s="17" t="s">
        <v>116</v>
      </c>
      <c r="AQ43" s="17" t="s">
        <v>196</v>
      </c>
      <c r="AR43" s="34">
        <v>6</v>
      </c>
      <c r="AS43" s="20" t="s">
        <v>258</v>
      </c>
      <c r="AT43" s="17" t="s">
        <v>252</v>
      </c>
      <c r="AU43" s="17" t="s">
        <v>237</v>
      </c>
      <c r="AV43" s="34">
        <f>AB43+30+AR43</f>
        <v>156</v>
      </c>
      <c r="AW43" s="17">
        <f>SQRT(574/3.14)*2</f>
        <v>27.040898488822492</v>
      </c>
      <c r="AX43" s="17">
        <f>SQRT(785/3.14)*2</f>
        <v>31.622776601683793</v>
      </c>
    </row>
    <row r="44" spans="1:53" ht="49.5">
      <c r="A44" s="13">
        <v>19</v>
      </c>
      <c r="B44" s="164"/>
      <c r="C44" s="102" t="s">
        <v>384</v>
      </c>
      <c r="D44" s="171"/>
      <c r="E44" s="103" t="s">
        <v>96</v>
      </c>
      <c r="F44" s="103" t="s">
        <v>240</v>
      </c>
      <c r="G44" s="102" t="s">
        <v>565</v>
      </c>
      <c r="H44" s="102" t="s">
        <v>565</v>
      </c>
      <c r="I44" s="102" t="s">
        <v>422</v>
      </c>
      <c r="J44" s="102">
        <v>151.5</v>
      </c>
      <c r="K44" s="102">
        <v>21.9</v>
      </c>
      <c r="L44" s="102">
        <v>45</v>
      </c>
      <c r="M44" s="88">
        <f t="shared" si="2"/>
        <v>10</v>
      </c>
      <c r="N44" s="15"/>
      <c r="O44" s="17" t="s">
        <v>117</v>
      </c>
      <c r="P44" s="17" t="s">
        <v>22</v>
      </c>
      <c r="Q44" s="130">
        <v>0</v>
      </c>
      <c r="R44" s="48" t="s">
        <v>118</v>
      </c>
      <c r="S44" s="48" t="s">
        <v>115</v>
      </c>
      <c r="T44" s="43">
        <v>100</v>
      </c>
      <c r="U44" s="34" t="s">
        <v>411</v>
      </c>
      <c r="V44" s="17" t="s">
        <v>639</v>
      </c>
      <c r="W44" s="17" t="s">
        <v>119</v>
      </c>
      <c r="X44" s="34">
        <v>6</v>
      </c>
      <c r="Y44" s="99">
        <f t="shared" si="3"/>
        <v>152.39999999999998</v>
      </c>
      <c r="Z44" s="99"/>
      <c r="AA44" s="48" t="s">
        <v>541</v>
      </c>
      <c r="AB44" s="49">
        <v>120</v>
      </c>
      <c r="AC44" s="34">
        <f t="shared" si="14"/>
        <v>126</v>
      </c>
      <c r="AD44" s="17">
        <v>0.33</v>
      </c>
      <c r="AE44" s="19">
        <f t="shared" si="1"/>
        <v>0.34650000000000003</v>
      </c>
      <c r="AF44" s="19">
        <v>6.6</v>
      </c>
      <c r="AG44" s="19">
        <f t="shared" si="4"/>
        <v>6.9464999999999995</v>
      </c>
      <c r="AH44" s="86">
        <f>AI44*AO14</f>
        <v>1971.4200000000003</v>
      </c>
      <c r="AI44" s="37">
        <v>20.6</v>
      </c>
      <c r="AJ44" s="17"/>
      <c r="AK44" s="18">
        <v>12609</v>
      </c>
      <c r="AL44" s="37">
        <f t="shared" si="5"/>
        <v>3.5024999999999999</v>
      </c>
      <c r="AM44" s="17">
        <v>101.4</v>
      </c>
      <c r="AN44" s="17">
        <v>9.4</v>
      </c>
      <c r="AO44" s="17">
        <v>531.5</v>
      </c>
      <c r="AP44" s="17" t="s">
        <v>116</v>
      </c>
      <c r="AQ44" s="17" t="s">
        <v>25</v>
      </c>
      <c r="AR44" s="23" t="s">
        <v>25</v>
      </c>
      <c r="AS44" s="20">
        <f t="shared" si="6"/>
        <v>0</v>
      </c>
      <c r="AT44" s="17">
        <v>0</v>
      </c>
      <c r="AU44" s="17"/>
      <c r="AV44" s="23" t="s">
        <v>422</v>
      </c>
      <c r="AW44" s="17"/>
    </row>
    <row r="45" spans="1:53" ht="115.5">
      <c r="A45" s="13">
        <v>20</v>
      </c>
      <c r="B45" s="163" t="s">
        <v>120</v>
      </c>
      <c r="C45" s="102" t="s">
        <v>385</v>
      </c>
      <c r="D45" s="171" t="s">
        <v>121</v>
      </c>
      <c r="E45" s="103" t="s">
        <v>96</v>
      </c>
      <c r="F45" s="103" t="s">
        <v>240</v>
      </c>
      <c r="G45" s="102" t="s">
        <v>458</v>
      </c>
      <c r="H45" s="102" t="s">
        <v>460</v>
      </c>
      <c r="I45" s="102" t="s">
        <v>422</v>
      </c>
      <c r="J45" s="102">
        <v>145</v>
      </c>
      <c r="K45" s="102">
        <v>16</v>
      </c>
      <c r="L45" s="102">
        <v>44.6</v>
      </c>
      <c r="M45" s="88">
        <f t="shared" si="2"/>
        <v>9.6000000000000014</v>
      </c>
      <c r="N45" s="15"/>
      <c r="O45" s="17">
        <v>123</v>
      </c>
      <c r="P45" s="17" t="s">
        <v>10</v>
      </c>
      <c r="Q45" s="130">
        <v>0.97950000000000004</v>
      </c>
      <c r="R45" s="48" t="s">
        <v>122</v>
      </c>
      <c r="S45" s="48" t="s">
        <v>123</v>
      </c>
      <c r="T45" s="43">
        <v>100</v>
      </c>
      <c r="U45" s="34" t="s">
        <v>411</v>
      </c>
      <c r="V45" s="17" t="s">
        <v>305</v>
      </c>
      <c r="W45" s="17" t="s">
        <v>198</v>
      </c>
      <c r="X45" s="34">
        <v>18</v>
      </c>
      <c r="Y45" s="99">
        <f t="shared" si="3"/>
        <v>457.2</v>
      </c>
      <c r="Z45" s="99"/>
      <c r="AA45" s="48" t="s">
        <v>688</v>
      </c>
      <c r="AB45" s="49">
        <v>120</v>
      </c>
      <c r="AC45" s="34">
        <f t="shared" si="14"/>
        <v>138</v>
      </c>
      <c r="AD45" s="17">
        <v>55.9</v>
      </c>
      <c r="AE45" s="19">
        <f t="shared" si="1"/>
        <v>58.695</v>
      </c>
      <c r="AF45" s="19">
        <v>27.1</v>
      </c>
      <c r="AG45" s="19">
        <f t="shared" si="4"/>
        <v>85.795000000000002</v>
      </c>
      <c r="AH45" s="86">
        <f>AI45*AO47</f>
        <v>6443.0700000000006</v>
      </c>
      <c r="AI45" s="37">
        <v>73.3</v>
      </c>
      <c r="AJ45" s="17"/>
      <c r="AK45" s="18">
        <v>445055</v>
      </c>
      <c r="AL45" s="37">
        <f t="shared" si="5"/>
        <v>123.62638888888888</v>
      </c>
      <c r="AM45" s="17">
        <v>65.7</v>
      </c>
      <c r="AN45" s="17">
        <v>-7</v>
      </c>
      <c r="AO45" s="17">
        <v>82.1</v>
      </c>
      <c r="AP45" s="17" t="s">
        <v>124</v>
      </c>
      <c r="AQ45" s="17" t="s">
        <v>197</v>
      </c>
      <c r="AR45" s="34">
        <v>6</v>
      </c>
      <c r="AS45" s="20" t="s">
        <v>259</v>
      </c>
      <c r="AT45" s="17" t="s">
        <v>253</v>
      </c>
      <c r="AU45" s="17" t="s">
        <v>237</v>
      </c>
      <c r="AV45" s="34">
        <f>AB45+30+AR45</f>
        <v>156</v>
      </c>
      <c r="AW45" s="17">
        <f>SQRT(729/3.14)*2</f>
        <v>30.473962991087419</v>
      </c>
      <c r="AX45" s="17">
        <f>SQRT(1003/3.14)*2</f>
        <v>35.745027715326039</v>
      </c>
    </row>
    <row r="46" spans="1:53" ht="49.5">
      <c r="A46" s="13">
        <v>21</v>
      </c>
      <c r="B46" s="164"/>
      <c r="C46" s="102" t="s">
        <v>386</v>
      </c>
      <c r="D46" s="171"/>
      <c r="E46" s="103" t="s">
        <v>96</v>
      </c>
      <c r="F46" s="103" t="s">
        <v>241</v>
      </c>
      <c r="G46" s="102" t="s">
        <v>566</v>
      </c>
      <c r="H46" s="102" t="s">
        <v>566</v>
      </c>
      <c r="I46" s="102" t="s">
        <v>422</v>
      </c>
      <c r="J46" s="102">
        <v>147</v>
      </c>
      <c r="K46" s="102">
        <v>15.5</v>
      </c>
      <c r="L46" s="102">
        <v>35.700000000000003</v>
      </c>
      <c r="M46" s="88">
        <f t="shared" si="2"/>
        <v>0.70000000000000284</v>
      </c>
      <c r="N46" s="15"/>
      <c r="O46" s="17">
        <v>124</v>
      </c>
      <c r="P46" s="17" t="s">
        <v>22</v>
      </c>
      <c r="Q46" s="130">
        <v>0</v>
      </c>
      <c r="R46" s="48" t="s">
        <v>125</v>
      </c>
      <c r="S46" s="48" t="s">
        <v>123</v>
      </c>
      <c r="T46" s="43">
        <v>100</v>
      </c>
      <c r="U46" s="34" t="s">
        <v>411</v>
      </c>
      <c r="V46" s="17" t="s">
        <v>640</v>
      </c>
      <c r="W46" s="17" t="s">
        <v>126</v>
      </c>
      <c r="X46" s="34">
        <v>8</v>
      </c>
      <c r="Y46" s="99">
        <f t="shared" si="3"/>
        <v>203.2</v>
      </c>
      <c r="Z46" s="99"/>
      <c r="AA46" s="48" t="s">
        <v>542</v>
      </c>
      <c r="AB46" s="49">
        <v>120</v>
      </c>
      <c r="AC46" s="34">
        <f t="shared" si="14"/>
        <v>128</v>
      </c>
      <c r="AD46" s="17">
        <v>1.82</v>
      </c>
      <c r="AE46" s="19">
        <f t="shared" si="1"/>
        <v>1.9110000000000003</v>
      </c>
      <c r="AF46" s="19">
        <v>8.1</v>
      </c>
      <c r="AG46" s="19">
        <f t="shared" si="4"/>
        <v>10.010999999999999</v>
      </c>
      <c r="AH46" s="86">
        <f>AI46*AO14</f>
        <v>1971.4200000000003</v>
      </c>
      <c r="AI46" s="37">
        <v>20.6</v>
      </c>
      <c r="AJ46" s="17"/>
      <c r="AK46" s="18">
        <v>19864</v>
      </c>
      <c r="AL46" s="37">
        <f t="shared" si="5"/>
        <v>5.5177777777777779</v>
      </c>
      <c r="AM46" s="17">
        <v>65.7</v>
      </c>
      <c r="AN46" s="17">
        <v>-7</v>
      </c>
      <c r="AO46" s="17">
        <v>537.4</v>
      </c>
      <c r="AP46" s="17" t="s">
        <v>124</v>
      </c>
      <c r="AQ46" s="17" t="s">
        <v>25</v>
      </c>
      <c r="AR46" s="23" t="s">
        <v>25</v>
      </c>
      <c r="AS46" s="20">
        <f t="shared" si="6"/>
        <v>0</v>
      </c>
      <c r="AT46" s="17">
        <v>0</v>
      </c>
      <c r="AU46" s="17"/>
      <c r="AV46" s="23" t="s">
        <v>422</v>
      </c>
      <c r="AW46" s="17"/>
    </row>
    <row r="47" spans="1:53" ht="82.5">
      <c r="A47" s="216">
        <v>22</v>
      </c>
      <c r="B47" s="163" t="s">
        <v>280</v>
      </c>
      <c r="C47" s="102" t="s">
        <v>589</v>
      </c>
      <c r="D47" s="217" t="s">
        <v>281</v>
      </c>
      <c r="E47" s="103" t="s">
        <v>127</v>
      </c>
      <c r="F47" s="103" t="s">
        <v>457</v>
      </c>
      <c r="G47" s="102" t="s">
        <v>591</v>
      </c>
      <c r="H47" s="102" t="s">
        <v>612</v>
      </c>
      <c r="I47" s="153">
        <v>0.64</v>
      </c>
      <c r="J47" s="102">
        <v>175.8</v>
      </c>
      <c r="K47" s="102">
        <v>14</v>
      </c>
      <c r="L47" s="102">
        <v>52</v>
      </c>
      <c r="M47" s="93">
        <f t="shared" si="2"/>
        <v>17</v>
      </c>
      <c r="N47" s="15"/>
      <c r="O47" s="197">
        <v>132</v>
      </c>
      <c r="P47" s="197" t="s">
        <v>10</v>
      </c>
      <c r="Q47" s="133">
        <v>1</v>
      </c>
      <c r="R47" s="165" t="s">
        <v>128</v>
      </c>
      <c r="S47" s="102" t="s">
        <v>612</v>
      </c>
      <c r="T47" s="167">
        <v>200</v>
      </c>
      <c r="U47" s="34" t="s">
        <v>415</v>
      </c>
      <c r="V47" s="197" t="s">
        <v>689</v>
      </c>
      <c r="W47" s="197" t="s">
        <v>199</v>
      </c>
      <c r="X47" s="34">
        <v>16</v>
      </c>
      <c r="Y47" s="99">
        <f t="shared" si="3"/>
        <v>406.4</v>
      </c>
      <c r="Z47" s="99"/>
      <c r="AA47" s="48" t="s">
        <v>690</v>
      </c>
      <c r="AB47" s="209">
        <v>120</v>
      </c>
      <c r="AC47" s="197">
        <f t="shared" si="14"/>
        <v>136</v>
      </c>
      <c r="AD47" s="27">
        <v>43.21</v>
      </c>
      <c r="AE47" s="187">
        <f t="shared" si="1"/>
        <v>45.3705</v>
      </c>
      <c r="AF47" s="213">
        <v>27.9</v>
      </c>
      <c r="AG47" s="187">
        <f t="shared" si="4"/>
        <v>73.270499999999998</v>
      </c>
      <c r="AH47" s="83">
        <f>AI47*AO45</f>
        <v>7044.1799999999994</v>
      </c>
      <c r="AI47" s="190">
        <v>85.8</v>
      </c>
      <c r="AJ47" s="206"/>
      <c r="AK47" s="181">
        <v>212596</v>
      </c>
      <c r="AL47" s="190">
        <f t="shared" si="5"/>
        <v>59.054444444444442</v>
      </c>
      <c r="AM47" s="197">
        <v>122.6</v>
      </c>
      <c r="AN47" s="197">
        <v>93.7</v>
      </c>
      <c r="AO47" s="197">
        <v>87.9</v>
      </c>
      <c r="AP47" s="17" t="s">
        <v>129</v>
      </c>
      <c r="AQ47" s="197" t="s">
        <v>235</v>
      </c>
      <c r="AR47" s="34">
        <v>6</v>
      </c>
      <c r="AS47" s="203">
        <f t="shared" si="6"/>
        <v>26.348956638234593</v>
      </c>
      <c r="AT47" s="17">
        <v>545</v>
      </c>
      <c r="AU47" s="17" t="s">
        <v>236</v>
      </c>
      <c r="AV47" s="197">
        <f>AB47+30+AR47</f>
        <v>156</v>
      </c>
      <c r="AW47" s="17"/>
      <c r="AX47" s="93">
        <v>178.5</v>
      </c>
      <c r="AY47" s="93">
        <v>13.1</v>
      </c>
      <c r="AZ47" s="93">
        <v>48.2</v>
      </c>
      <c r="BA47" s="93">
        <f t="shared" ref="BA47" si="15">AZ47-$M$1</f>
        <v>13.200000000000003</v>
      </c>
    </row>
    <row r="48" spans="1:53" ht="33">
      <c r="A48" s="216"/>
      <c r="B48" s="180"/>
      <c r="C48" s="102" t="s">
        <v>587</v>
      </c>
      <c r="D48" s="218"/>
      <c r="E48" s="103" t="s">
        <v>127</v>
      </c>
      <c r="F48" s="103" t="s">
        <v>240</v>
      </c>
      <c r="G48" s="102" t="s">
        <v>501</v>
      </c>
      <c r="H48" s="102" t="s">
        <v>567</v>
      </c>
      <c r="I48" s="153">
        <v>0.09</v>
      </c>
      <c r="J48" s="102">
        <v>178.5</v>
      </c>
      <c r="K48" s="102">
        <v>13.1</v>
      </c>
      <c r="L48" s="102">
        <v>48.2</v>
      </c>
      <c r="M48" s="93">
        <f t="shared" ref="M48" si="16">L48-$M$1</f>
        <v>13.200000000000003</v>
      </c>
      <c r="N48" s="56"/>
      <c r="O48" s="198"/>
      <c r="P48" s="198"/>
      <c r="Q48" s="134"/>
      <c r="R48" s="215"/>
      <c r="S48" s="102" t="s">
        <v>567</v>
      </c>
      <c r="T48" s="212"/>
      <c r="U48" s="61"/>
      <c r="V48" s="198"/>
      <c r="W48" s="198"/>
      <c r="X48" s="61"/>
      <c r="Y48" s="99">
        <f t="shared" si="3"/>
        <v>0</v>
      </c>
      <c r="Z48" s="99"/>
      <c r="AA48" s="60"/>
      <c r="AB48" s="210"/>
      <c r="AC48" s="198"/>
      <c r="AD48" s="27"/>
      <c r="AE48" s="188"/>
      <c r="AF48" s="214"/>
      <c r="AG48" s="188"/>
      <c r="AH48" s="84"/>
      <c r="AI48" s="191"/>
      <c r="AJ48" s="207"/>
      <c r="AK48" s="182"/>
      <c r="AL48" s="191"/>
      <c r="AM48" s="198"/>
      <c r="AN48" s="198"/>
      <c r="AO48" s="198"/>
      <c r="AP48" s="61"/>
      <c r="AQ48" s="198"/>
      <c r="AR48" s="61"/>
      <c r="AS48" s="204"/>
      <c r="AT48" s="61"/>
      <c r="AU48" s="61"/>
      <c r="AV48" s="198"/>
      <c r="AW48" s="53"/>
    </row>
    <row r="49" spans="1:49" ht="49.5">
      <c r="A49" s="80"/>
      <c r="B49" s="180"/>
      <c r="C49" s="102" t="s">
        <v>586</v>
      </c>
      <c r="D49" s="218"/>
      <c r="E49" s="103" t="s">
        <v>127</v>
      </c>
      <c r="F49" s="103" t="s">
        <v>241</v>
      </c>
      <c r="G49" s="102" t="s">
        <v>500</v>
      </c>
      <c r="H49" s="102" t="s">
        <v>502</v>
      </c>
      <c r="I49" s="153">
        <v>0.27</v>
      </c>
      <c r="J49" s="102">
        <v>173.5</v>
      </c>
      <c r="K49" s="102">
        <v>11.6</v>
      </c>
      <c r="L49" s="102">
        <v>38.799999999999997</v>
      </c>
      <c r="M49" s="88">
        <f t="shared" si="2"/>
        <v>3.7999999999999972</v>
      </c>
      <c r="N49" s="77"/>
      <c r="O49" s="198"/>
      <c r="P49" s="198"/>
      <c r="Q49" s="134"/>
      <c r="R49" s="215"/>
      <c r="S49" s="102" t="s">
        <v>502</v>
      </c>
      <c r="T49" s="212"/>
      <c r="U49" s="78"/>
      <c r="V49" s="198"/>
      <c r="W49" s="198"/>
      <c r="X49" s="78"/>
      <c r="Y49" s="99">
        <f t="shared" si="3"/>
        <v>0</v>
      </c>
      <c r="Z49" s="99"/>
      <c r="AA49" s="76"/>
      <c r="AB49" s="211"/>
      <c r="AC49" s="199"/>
      <c r="AD49" s="27"/>
      <c r="AE49" s="188"/>
      <c r="AF49" s="214"/>
      <c r="AG49" s="188"/>
      <c r="AH49" s="84"/>
      <c r="AI49" s="191"/>
      <c r="AJ49" s="208"/>
      <c r="AK49" s="182"/>
      <c r="AL49" s="191"/>
      <c r="AM49" s="198"/>
      <c r="AN49" s="198"/>
      <c r="AO49" s="198"/>
      <c r="AP49" s="78"/>
      <c r="AQ49" s="198"/>
      <c r="AR49" s="78"/>
      <c r="AS49" s="204"/>
      <c r="AT49" s="78"/>
      <c r="AU49" s="78"/>
      <c r="AV49" s="198"/>
      <c r="AW49" s="78"/>
    </row>
    <row r="50" spans="1:49" ht="148.5">
      <c r="A50" s="8">
        <v>23</v>
      </c>
      <c r="B50" s="113" t="s">
        <v>387</v>
      </c>
      <c r="C50" s="102" t="s">
        <v>387</v>
      </c>
      <c r="D50" s="102" t="s">
        <v>130</v>
      </c>
      <c r="E50" s="103" t="s">
        <v>127</v>
      </c>
      <c r="F50" s="103" t="s">
        <v>240</v>
      </c>
      <c r="G50" s="102" t="s">
        <v>503</v>
      </c>
      <c r="H50" s="102" t="s">
        <v>503</v>
      </c>
      <c r="I50" s="102" t="s">
        <v>422</v>
      </c>
      <c r="J50" s="102">
        <v>174.8</v>
      </c>
      <c r="K50" s="102">
        <v>10.1</v>
      </c>
      <c r="L50" s="102">
        <v>47</v>
      </c>
      <c r="M50" s="88">
        <f t="shared" si="2"/>
        <v>12</v>
      </c>
      <c r="N50" s="15"/>
      <c r="O50" s="17">
        <v>259</v>
      </c>
      <c r="P50" s="17" t="s">
        <v>10</v>
      </c>
      <c r="Q50" s="130">
        <v>1</v>
      </c>
      <c r="R50" s="48" t="s">
        <v>131</v>
      </c>
      <c r="S50" s="48" t="s">
        <v>132</v>
      </c>
      <c r="T50" s="43">
        <v>100</v>
      </c>
      <c r="U50" s="34" t="s">
        <v>411</v>
      </c>
      <c r="V50" s="17" t="s">
        <v>355</v>
      </c>
      <c r="W50" s="17" t="s">
        <v>200</v>
      </c>
      <c r="X50" s="34">
        <v>16</v>
      </c>
      <c r="Y50" s="99">
        <f t="shared" si="3"/>
        <v>406.4</v>
      </c>
      <c r="Z50" s="99"/>
      <c r="AA50" s="48" t="s">
        <v>543</v>
      </c>
      <c r="AB50" s="49">
        <v>120</v>
      </c>
      <c r="AC50" s="34">
        <f t="shared" ref="AC50:AC65" si="17">AB50+X50</f>
        <v>136</v>
      </c>
      <c r="AD50" s="17">
        <v>11.04</v>
      </c>
      <c r="AE50" s="19">
        <f t="shared" si="1"/>
        <v>11.591999999999999</v>
      </c>
      <c r="AF50" s="19">
        <v>1.5</v>
      </c>
      <c r="AG50" s="19">
        <f t="shared" si="4"/>
        <v>13.091999999999999</v>
      </c>
      <c r="AH50" s="86">
        <f>AI50*AO47</f>
        <v>6443.0700000000006</v>
      </c>
      <c r="AI50" s="37">
        <v>73.3</v>
      </c>
      <c r="AJ50" s="17"/>
      <c r="AK50" s="18">
        <v>425191</v>
      </c>
      <c r="AL50" s="37">
        <f t="shared" si="5"/>
        <v>118.10861111111112</v>
      </c>
      <c r="AM50" s="17">
        <v>120.2</v>
      </c>
      <c r="AN50" s="17">
        <v>49.6</v>
      </c>
      <c r="AO50" s="17">
        <v>107.6</v>
      </c>
      <c r="AP50" s="17" t="s">
        <v>133</v>
      </c>
      <c r="AQ50" s="17" t="s">
        <v>134</v>
      </c>
      <c r="AR50" s="34">
        <v>3</v>
      </c>
      <c r="AS50" s="20">
        <f t="shared" si="6"/>
        <v>15.760953121943542</v>
      </c>
      <c r="AT50" s="17">
        <v>195</v>
      </c>
      <c r="AU50" s="17"/>
      <c r="AV50" s="34">
        <f>AB50+30+AR50</f>
        <v>153</v>
      </c>
      <c r="AW50" s="17"/>
    </row>
    <row r="51" spans="1:49" ht="132">
      <c r="A51" s="8">
        <v>24</v>
      </c>
      <c r="B51" s="113" t="s">
        <v>388</v>
      </c>
      <c r="C51" s="102" t="s">
        <v>388</v>
      </c>
      <c r="D51" s="102" t="s">
        <v>135</v>
      </c>
      <c r="E51" s="103" t="s">
        <v>127</v>
      </c>
      <c r="F51" s="103" t="s">
        <v>240</v>
      </c>
      <c r="G51" s="102" t="s">
        <v>568</v>
      </c>
      <c r="H51" s="102" t="s">
        <v>568</v>
      </c>
      <c r="I51" s="102" t="s">
        <v>422</v>
      </c>
      <c r="J51" s="102">
        <v>188.9</v>
      </c>
      <c r="K51" s="102">
        <v>24.5</v>
      </c>
      <c r="L51" s="102">
        <v>45</v>
      </c>
      <c r="M51" s="88">
        <f t="shared" si="2"/>
        <v>10</v>
      </c>
      <c r="N51" s="15"/>
      <c r="O51" s="17" t="s">
        <v>136</v>
      </c>
      <c r="P51" s="17" t="s">
        <v>10</v>
      </c>
      <c r="Q51" s="130">
        <v>1</v>
      </c>
      <c r="R51" s="48" t="s">
        <v>92</v>
      </c>
      <c r="S51" s="67" t="s">
        <v>568</v>
      </c>
      <c r="T51" s="43">
        <v>100</v>
      </c>
      <c r="U51" s="34" t="s">
        <v>411</v>
      </c>
      <c r="V51" s="17" t="s">
        <v>306</v>
      </c>
      <c r="W51" s="17" t="s">
        <v>246</v>
      </c>
      <c r="X51" s="34">
        <v>16</v>
      </c>
      <c r="Y51" s="99">
        <f t="shared" si="3"/>
        <v>406.4</v>
      </c>
      <c r="Z51" s="99"/>
      <c r="AA51" s="48" t="s">
        <v>691</v>
      </c>
      <c r="AB51" s="49">
        <v>120</v>
      </c>
      <c r="AC51" s="34">
        <f t="shared" si="17"/>
        <v>136</v>
      </c>
      <c r="AD51" s="17">
        <v>17.95</v>
      </c>
      <c r="AE51" s="19">
        <f t="shared" si="1"/>
        <v>18.8475</v>
      </c>
      <c r="AF51" s="19">
        <v>0.5</v>
      </c>
      <c r="AG51" s="19">
        <f t="shared" si="4"/>
        <v>19.3475</v>
      </c>
      <c r="AH51" s="86">
        <f>AI51*AO50</f>
        <v>1409.56</v>
      </c>
      <c r="AI51" s="37">
        <v>13.1</v>
      </c>
      <c r="AJ51" s="17"/>
      <c r="AK51" s="18">
        <v>425191</v>
      </c>
      <c r="AL51" s="37">
        <f t="shared" si="5"/>
        <v>118.10861111111112</v>
      </c>
      <c r="AM51" s="17">
        <v>118.5</v>
      </c>
      <c r="AN51" s="17">
        <v>49.1</v>
      </c>
      <c r="AO51" s="17">
        <v>106.3</v>
      </c>
      <c r="AP51" s="17" t="s">
        <v>93</v>
      </c>
      <c r="AQ51" s="17" t="s">
        <v>137</v>
      </c>
      <c r="AR51" s="34">
        <v>3</v>
      </c>
      <c r="AS51" s="20">
        <f t="shared" si="6"/>
        <v>17.521597228185321</v>
      </c>
      <c r="AT51" s="17">
        <v>241</v>
      </c>
      <c r="AU51" s="17"/>
      <c r="AV51" s="34">
        <f>AB51+30+AR51</f>
        <v>153</v>
      </c>
      <c r="AW51" s="17"/>
    </row>
    <row r="52" spans="1:49" ht="49.5">
      <c r="A52" s="8">
        <v>53</v>
      </c>
      <c r="B52" s="163" t="s">
        <v>138</v>
      </c>
      <c r="C52" s="102" t="s">
        <v>389</v>
      </c>
      <c r="D52" s="171" t="s">
        <v>139</v>
      </c>
      <c r="E52" s="103" t="s">
        <v>140</v>
      </c>
      <c r="F52" s="154" t="s">
        <v>161</v>
      </c>
      <c r="G52" s="102" t="s">
        <v>504</v>
      </c>
      <c r="H52" s="102" t="s">
        <v>504</v>
      </c>
      <c r="I52" s="102" t="s">
        <v>422</v>
      </c>
      <c r="J52" s="102">
        <v>210.7</v>
      </c>
      <c r="K52" s="102">
        <v>13.2</v>
      </c>
      <c r="L52" s="102">
        <v>39.5</v>
      </c>
      <c r="M52" s="88">
        <f>L52-$N$1</f>
        <v>10.5</v>
      </c>
      <c r="N52" s="15"/>
      <c r="O52" s="27" t="s">
        <v>430</v>
      </c>
      <c r="P52" s="17" t="s">
        <v>10</v>
      </c>
      <c r="Q52" s="130">
        <v>1</v>
      </c>
      <c r="R52" s="48" t="s">
        <v>141</v>
      </c>
      <c r="S52" s="48" t="s">
        <v>142</v>
      </c>
      <c r="T52" s="43">
        <v>100</v>
      </c>
      <c r="U52" s="34" t="s">
        <v>411</v>
      </c>
      <c r="V52" s="17" t="s">
        <v>641</v>
      </c>
      <c r="W52" s="17" t="s">
        <v>201</v>
      </c>
      <c r="X52" s="34">
        <v>3</v>
      </c>
      <c r="Y52" s="26">
        <f t="shared" si="3"/>
        <v>76.199999999999989</v>
      </c>
      <c r="Z52" s="26" t="s">
        <v>604</v>
      </c>
      <c r="AA52" s="48" t="s">
        <v>544</v>
      </c>
      <c r="AB52" s="49">
        <v>120</v>
      </c>
      <c r="AC52" s="34">
        <f t="shared" si="17"/>
        <v>123</v>
      </c>
      <c r="AD52" s="17">
        <v>10.48</v>
      </c>
      <c r="AE52" s="19">
        <f t="shared" si="1"/>
        <v>11.004000000000001</v>
      </c>
      <c r="AF52" s="19">
        <v>203.3</v>
      </c>
      <c r="AG52" s="19">
        <f t="shared" si="4"/>
        <v>214.304</v>
      </c>
      <c r="AH52" s="86">
        <f>AI52*AO24</f>
        <v>418.45999999999992</v>
      </c>
      <c r="AI52" s="37">
        <v>34.299999999999997</v>
      </c>
      <c r="AJ52" s="21"/>
      <c r="AK52" s="28">
        <v>2069</v>
      </c>
      <c r="AL52" s="37">
        <f t="shared" si="5"/>
        <v>0.57472222222222225</v>
      </c>
      <c r="AM52" s="21">
        <v>2.2000000000000002</v>
      </c>
      <c r="AN52" s="21">
        <v>45</v>
      </c>
      <c r="AO52" s="21">
        <v>36.5</v>
      </c>
      <c r="AP52" s="17" t="s">
        <v>266</v>
      </c>
      <c r="AQ52" s="27" t="s">
        <v>202</v>
      </c>
      <c r="AR52" s="27">
        <v>26</v>
      </c>
      <c r="AS52" s="29">
        <v>660.4</v>
      </c>
      <c r="AT52" s="30" t="s">
        <v>60</v>
      </c>
      <c r="AU52" s="31" t="s">
        <v>254</v>
      </c>
      <c r="AV52" s="34">
        <f>AB52+30+AR52</f>
        <v>176</v>
      </c>
      <c r="AW52" s="17"/>
    </row>
    <row r="53" spans="1:49" ht="49.5">
      <c r="A53" s="8">
        <v>54</v>
      </c>
      <c r="B53" s="164"/>
      <c r="C53" s="102" t="s">
        <v>390</v>
      </c>
      <c r="D53" s="171"/>
      <c r="E53" s="103" t="s">
        <v>140</v>
      </c>
      <c r="F53" s="154" t="s">
        <v>161</v>
      </c>
      <c r="G53" s="102" t="s">
        <v>505</v>
      </c>
      <c r="H53" s="102" t="s">
        <v>505</v>
      </c>
      <c r="I53" s="102" t="s">
        <v>422</v>
      </c>
      <c r="J53" s="102">
        <v>205.1</v>
      </c>
      <c r="K53" s="102">
        <v>10.5</v>
      </c>
      <c r="L53" s="102">
        <v>36.1</v>
      </c>
      <c r="M53" s="90">
        <f t="shared" ref="M53:M55" si="18">L53-$N$1</f>
        <v>7.1000000000000014</v>
      </c>
      <c r="N53" s="15"/>
      <c r="O53" s="32" t="s">
        <v>431</v>
      </c>
      <c r="P53" s="17" t="s">
        <v>22</v>
      </c>
      <c r="Q53" s="130">
        <v>0</v>
      </c>
      <c r="R53" s="48" t="s">
        <v>141</v>
      </c>
      <c r="S53" s="48" t="s">
        <v>142</v>
      </c>
      <c r="T53" s="43">
        <v>100</v>
      </c>
      <c r="U53" s="34" t="s">
        <v>411</v>
      </c>
      <c r="V53" s="17" t="s">
        <v>642</v>
      </c>
      <c r="W53" s="17" t="s">
        <v>143</v>
      </c>
      <c r="X53" s="34">
        <v>6</v>
      </c>
      <c r="Y53" s="99">
        <f t="shared" si="3"/>
        <v>152.39999999999998</v>
      </c>
      <c r="Z53" s="99"/>
      <c r="AA53" s="48" t="s">
        <v>545</v>
      </c>
      <c r="AB53" s="49">
        <v>120</v>
      </c>
      <c r="AC53" s="34">
        <f t="shared" si="17"/>
        <v>126</v>
      </c>
      <c r="AD53" s="17">
        <v>0.14000000000000001</v>
      </c>
      <c r="AE53" s="19">
        <f t="shared" si="1"/>
        <v>0.14700000000000002</v>
      </c>
      <c r="AF53" s="19">
        <v>42.8</v>
      </c>
      <c r="AG53" s="19">
        <f t="shared" si="4"/>
        <v>42.946999999999996</v>
      </c>
      <c r="AH53" s="86">
        <f>AI53*AO14</f>
        <v>1971.4200000000003</v>
      </c>
      <c r="AI53" s="37">
        <v>20.6</v>
      </c>
      <c r="AJ53" s="21"/>
      <c r="AK53" s="22">
        <f>53.9*AO53</f>
        <v>38888.85</v>
      </c>
      <c r="AL53" s="28">
        <f>AK53/3600</f>
        <v>10.802458333333332</v>
      </c>
      <c r="AM53" s="21">
        <v>2.2000000000000002</v>
      </c>
      <c r="AN53" s="21">
        <v>45</v>
      </c>
      <c r="AO53" s="21">
        <v>721.5</v>
      </c>
      <c r="AP53" s="17" t="s">
        <v>266</v>
      </c>
      <c r="AQ53" s="27" t="s">
        <v>25</v>
      </c>
      <c r="AR53" s="23" t="s">
        <v>25</v>
      </c>
      <c r="AS53" s="29">
        <f t="shared" si="6"/>
        <v>0</v>
      </c>
      <c r="AT53" s="17">
        <v>0</v>
      </c>
      <c r="AU53" s="17"/>
      <c r="AV53" s="23" t="s">
        <v>422</v>
      </c>
      <c r="AW53" s="17"/>
    </row>
    <row r="54" spans="1:49" ht="49.5">
      <c r="A54" s="8">
        <v>55</v>
      </c>
      <c r="B54" s="163" t="s">
        <v>144</v>
      </c>
      <c r="C54" s="102" t="s">
        <v>391</v>
      </c>
      <c r="D54" s="171" t="s">
        <v>145</v>
      </c>
      <c r="E54" s="103" t="s">
        <v>140</v>
      </c>
      <c r="F54" s="154" t="s">
        <v>161</v>
      </c>
      <c r="G54" s="102" t="s">
        <v>569</v>
      </c>
      <c r="H54" s="102" t="s">
        <v>569</v>
      </c>
      <c r="I54" s="102" t="s">
        <v>422</v>
      </c>
      <c r="J54" s="102">
        <v>207.6</v>
      </c>
      <c r="K54" s="102">
        <v>21.2</v>
      </c>
      <c r="L54" s="102">
        <v>36.5</v>
      </c>
      <c r="M54" s="90">
        <f t="shared" si="18"/>
        <v>7.5</v>
      </c>
      <c r="N54" s="15"/>
      <c r="O54" s="33" t="s">
        <v>432</v>
      </c>
      <c r="P54" s="17" t="s">
        <v>10</v>
      </c>
      <c r="Q54" s="130">
        <v>1</v>
      </c>
      <c r="R54" s="48" t="s">
        <v>146</v>
      </c>
      <c r="S54" s="48" t="s">
        <v>147</v>
      </c>
      <c r="T54" s="43">
        <v>100</v>
      </c>
      <c r="U54" s="34" t="s">
        <v>411</v>
      </c>
      <c r="V54" s="17" t="s">
        <v>643</v>
      </c>
      <c r="W54" s="17" t="s">
        <v>204</v>
      </c>
      <c r="X54" s="34">
        <v>8</v>
      </c>
      <c r="Y54" s="99">
        <f t="shared" si="3"/>
        <v>203.2</v>
      </c>
      <c r="Z54" s="99"/>
      <c r="AA54" s="48" t="s">
        <v>224</v>
      </c>
      <c r="AB54" s="49">
        <v>120</v>
      </c>
      <c r="AC54" s="34">
        <f t="shared" si="17"/>
        <v>128</v>
      </c>
      <c r="AD54" s="17">
        <v>0.4</v>
      </c>
      <c r="AE54" s="19">
        <f t="shared" si="1"/>
        <v>0.42000000000000004</v>
      </c>
      <c r="AF54" s="37">
        <v>59.8</v>
      </c>
      <c r="AG54" s="19">
        <f t="shared" si="4"/>
        <v>60.22</v>
      </c>
      <c r="AH54" s="86">
        <f>AI54*AO56</f>
        <v>2.75</v>
      </c>
      <c r="AI54" s="37">
        <v>2.5</v>
      </c>
      <c r="AJ54" s="21"/>
      <c r="AK54" s="28">
        <v>2069</v>
      </c>
      <c r="AL54" s="37">
        <f t="shared" si="5"/>
        <v>0.57472222222222225</v>
      </c>
      <c r="AM54" s="21">
        <v>1.2</v>
      </c>
      <c r="AN54" s="21">
        <v>45</v>
      </c>
      <c r="AO54" s="21">
        <v>36.5</v>
      </c>
      <c r="AP54" s="17" t="s">
        <v>267</v>
      </c>
      <c r="AQ54" s="27" t="s">
        <v>205</v>
      </c>
      <c r="AR54" s="27">
        <v>10</v>
      </c>
      <c r="AS54" s="29">
        <v>254</v>
      </c>
      <c r="AT54" s="30" t="s">
        <v>60</v>
      </c>
      <c r="AU54" s="31" t="s">
        <v>254</v>
      </c>
      <c r="AV54" s="34">
        <f>AB54+30+AR54</f>
        <v>160</v>
      </c>
      <c r="AW54" s="17"/>
    </row>
    <row r="55" spans="1:49" ht="49.5">
      <c r="A55" s="8">
        <v>56</v>
      </c>
      <c r="B55" s="164"/>
      <c r="C55" s="102" t="s">
        <v>392</v>
      </c>
      <c r="D55" s="171"/>
      <c r="E55" s="103" t="s">
        <v>140</v>
      </c>
      <c r="F55" s="154" t="s">
        <v>161</v>
      </c>
      <c r="G55" s="102" t="s">
        <v>570</v>
      </c>
      <c r="H55" s="102" t="s">
        <v>570</v>
      </c>
      <c r="I55" s="102" t="s">
        <v>422</v>
      </c>
      <c r="J55" s="102">
        <v>206.1</v>
      </c>
      <c r="K55" s="102">
        <v>23.2</v>
      </c>
      <c r="L55" s="102">
        <v>34.299999999999997</v>
      </c>
      <c r="M55" s="90">
        <f t="shared" si="18"/>
        <v>5.2999999999999972</v>
      </c>
      <c r="N55" s="15"/>
      <c r="O55" s="32" t="s">
        <v>433</v>
      </c>
      <c r="P55" s="17" t="s">
        <v>22</v>
      </c>
      <c r="Q55" s="130">
        <v>0</v>
      </c>
      <c r="R55" s="48" t="s">
        <v>146</v>
      </c>
      <c r="S55" s="48" t="s">
        <v>147</v>
      </c>
      <c r="T55" s="43">
        <v>100</v>
      </c>
      <c r="U55" s="34" t="s">
        <v>411</v>
      </c>
      <c r="V55" s="17" t="s">
        <v>644</v>
      </c>
      <c r="W55" s="17" t="s">
        <v>203</v>
      </c>
      <c r="X55" s="34">
        <v>4</v>
      </c>
      <c r="Y55" s="26">
        <f t="shared" si="3"/>
        <v>101.6</v>
      </c>
      <c r="Z55" s="26" t="s">
        <v>604</v>
      </c>
      <c r="AA55" s="48" t="s">
        <v>546</v>
      </c>
      <c r="AB55" s="49">
        <v>120</v>
      </c>
      <c r="AC55" s="34">
        <f t="shared" si="17"/>
        <v>124</v>
      </c>
      <c r="AD55" s="17">
        <v>0.1</v>
      </c>
      <c r="AE55" s="19">
        <f t="shared" si="1"/>
        <v>0.10500000000000001</v>
      </c>
      <c r="AF55" s="19">
        <v>9.1999999999999993</v>
      </c>
      <c r="AG55" s="19">
        <f t="shared" si="4"/>
        <v>9.3049999999999997</v>
      </c>
      <c r="AH55" s="86">
        <f>AI55*AO14</f>
        <v>1971.4200000000003</v>
      </c>
      <c r="AI55" s="37">
        <v>20.6</v>
      </c>
      <c r="AJ55" s="21"/>
      <c r="AK55" s="22">
        <f>18*AO55</f>
        <v>13541.4</v>
      </c>
      <c r="AL55" s="46">
        <f>AK55/3600</f>
        <v>3.7614999999999998</v>
      </c>
      <c r="AM55" s="21">
        <v>1.2</v>
      </c>
      <c r="AN55" s="21">
        <v>45</v>
      </c>
      <c r="AO55" s="21">
        <v>752.3</v>
      </c>
      <c r="AP55" s="17" t="s">
        <v>267</v>
      </c>
      <c r="AQ55" s="17" t="s">
        <v>25</v>
      </c>
      <c r="AR55" s="23" t="s">
        <v>25</v>
      </c>
      <c r="AS55" s="20">
        <f t="shared" si="6"/>
        <v>0</v>
      </c>
      <c r="AT55" s="17">
        <v>0</v>
      </c>
      <c r="AU55" s="17"/>
      <c r="AV55" s="23" t="s">
        <v>422</v>
      </c>
      <c r="AW55" s="17"/>
    </row>
    <row r="56" spans="1:49" s="13" customFormat="1" ht="49.5">
      <c r="A56" s="14">
        <v>9</v>
      </c>
      <c r="B56" s="113" t="s">
        <v>393</v>
      </c>
      <c r="C56" s="102" t="s">
        <v>393</v>
      </c>
      <c r="D56" s="102" t="s">
        <v>148</v>
      </c>
      <c r="E56" s="103" t="s">
        <v>64</v>
      </c>
      <c r="F56" s="103" t="s">
        <v>240</v>
      </c>
      <c r="G56" s="102" t="s">
        <v>218</v>
      </c>
      <c r="H56" s="102" t="s">
        <v>218</v>
      </c>
      <c r="I56" s="102" t="s">
        <v>422</v>
      </c>
      <c r="J56" s="102">
        <v>127.4</v>
      </c>
      <c r="K56" s="102">
        <v>22.2</v>
      </c>
      <c r="L56" s="102">
        <v>45.1</v>
      </c>
      <c r="M56" s="88">
        <f t="shared" si="2"/>
        <v>10.100000000000001</v>
      </c>
      <c r="N56" s="16"/>
      <c r="O56" s="27">
        <v>21</v>
      </c>
      <c r="P56" s="21" t="s">
        <v>10</v>
      </c>
      <c r="Q56" s="132">
        <v>1</v>
      </c>
      <c r="R56" s="40" t="s">
        <v>217</v>
      </c>
      <c r="S56" s="40" t="s">
        <v>218</v>
      </c>
      <c r="T56" s="43">
        <v>100</v>
      </c>
      <c r="U56" s="34" t="s">
        <v>411</v>
      </c>
      <c r="V56" s="21" t="s">
        <v>307</v>
      </c>
      <c r="W56" s="21" t="s">
        <v>216</v>
      </c>
      <c r="X56" s="21">
        <v>8</v>
      </c>
      <c r="Y56" s="99">
        <f t="shared" si="3"/>
        <v>203.2</v>
      </c>
      <c r="Z56" s="99"/>
      <c r="AA56" s="40" t="s">
        <v>356</v>
      </c>
      <c r="AB56" s="49">
        <v>120</v>
      </c>
      <c r="AC56" s="34">
        <f t="shared" si="17"/>
        <v>128</v>
      </c>
      <c r="AD56" s="21">
        <v>0.5</v>
      </c>
      <c r="AE56" s="19">
        <f t="shared" si="1"/>
        <v>0.52500000000000002</v>
      </c>
      <c r="AF56" s="37">
        <v>2</v>
      </c>
      <c r="AG56" s="19">
        <f t="shared" si="4"/>
        <v>2.5249999999999999</v>
      </c>
      <c r="AH56" s="86">
        <f>AI56*AO54</f>
        <v>2197.3000000000002</v>
      </c>
      <c r="AI56" s="37">
        <v>60.2</v>
      </c>
      <c r="AJ56" s="21"/>
      <c r="AK56" s="28">
        <v>1467</v>
      </c>
      <c r="AL56" s="37">
        <f t="shared" si="5"/>
        <v>0.40749999999999997</v>
      </c>
      <c r="AM56" s="21">
        <v>2</v>
      </c>
      <c r="AN56" s="21">
        <v>162.1</v>
      </c>
      <c r="AO56" s="21">
        <v>1.1000000000000001</v>
      </c>
      <c r="AP56" s="21" t="s">
        <v>268</v>
      </c>
      <c r="AQ56" s="21" t="s">
        <v>25</v>
      </c>
      <c r="AR56" s="23" t="s">
        <v>25</v>
      </c>
      <c r="AS56" s="20">
        <f t="shared" si="6"/>
        <v>0</v>
      </c>
      <c r="AT56" s="21">
        <v>0</v>
      </c>
      <c r="AU56" s="21"/>
      <c r="AV56" s="23" t="s">
        <v>422</v>
      </c>
      <c r="AW56" s="21"/>
    </row>
    <row r="57" spans="1:49" ht="82.5">
      <c r="A57" s="8">
        <v>10</v>
      </c>
      <c r="B57" s="104" t="s">
        <v>421</v>
      </c>
      <c r="C57" s="102" t="s">
        <v>421</v>
      </c>
      <c r="D57" s="102" t="s">
        <v>344</v>
      </c>
      <c r="E57" s="103" t="s">
        <v>64</v>
      </c>
      <c r="F57" s="103" t="s">
        <v>240</v>
      </c>
      <c r="G57" s="102" t="s">
        <v>336</v>
      </c>
      <c r="H57" s="102" t="s">
        <v>150</v>
      </c>
      <c r="I57" s="102" t="s">
        <v>422</v>
      </c>
      <c r="J57" s="102">
        <v>133.69999999999999</v>
      </c>
      <c r="K57" s="102">
        <v>11.1</v>
      </c>
      <c r="L57" s="102">
        <v>45.4</v>
      </c>
      <c r="M57" s="88">
        <f t="shared" si="2"/>
        <v>10.399999999999999</v>
      </c>
      <c r="N57" s="15"/>
      <c r="O57" s="17">
        <v>259</v>
      </c>
      <c r="P57" s="17" t="s">
        <v>10</v>
      </c>
      <c r="Q57" s="130">
        <v>1</v>
      </c>
      <c r="R57" s="48" t="s">
        <v>149</v>
      </c>
      <c r="S57" s="48" t="s">
        <v>150</v>
      </c>
      <c r="T57" s="43">
        <v>100</v>
      </c>
      <c r="U57" s="34" t="s">
        <v>411</v>
      </c>
      <c r="V57" s="17" t="s">
        <v>308</v>
      </c>
      <c r="W57" s="17" t="s">
        <v>206</v>
      </c>
      <c r="X57" s="34">
        <v>3</v>
      </c>
      <c r="Y57" s="26">
        <f t="shared" si="3"/>
        <v>76.199999999999989</v>
      </c>
      <c r="Z57" s="26" t="s">
        <v>604</v>
      </c>
      <c r="AA57" s="48" t="s">
        <v>692</v>
      </c>
      <c r="AB57" s="49">
        <v>120</v>
      </c>
      <c r="AC57" s="34">
        <f t="shared" si="17"/>
        <v>123</v>
      </c>
      <c r="AD57" s="17">
        <v>0.46</v>
      </c>
      <c r="AE57" s="19">
        <f t="shared" si="1"/>
        <v>0.48300000000000004</v>
      </c>
      <c r="AF57" s="19">
        <v>1</v>
      </c>
      <c r="AG57" s="19">
        <f t="shared" si="4"/>
        <v>1.4830000000000001</v>
      </c>
      <c r="AH57" s="86">
        <f>AI57*AO50</f>
        <v>1409.56</v>
      </c>
      <c r="AI57" s="37">
        <v>13.1</v>
      </c>
      <c r="AJ57" s="21"/>
      <c r="AK57" s="22">
        <v>425191</v>
      </c>
      <c r="AL57" s="37">
        <f t="shared" si="5"/>
        <v>118.10861111111112</v>
      </c>
      <c r="AM57" s="21">
        <v>220.2</v>
      </c>
      <c r="AN57" s="17">
        <v>49.6</v>
      </c>
      <c r="AO57" s="17">
        <v>107.6</v>
      </c>
      <c r="AP57" s="17" t="s">
        <v>151</v>
      </c>
      <c r="AQ57" s="17" t="s">
        <v>207</v>
      </c>
      <c r="AR57" s="34">
        <v>2</v>
      </c>
      <c r="AS57" s="20">
        <f t="shared" si="6"/>
        <v>5.9723353731113589</v>
      </c>
      <c r="AT57" s="17">
        <v>28</v>
      </c>
      <c r="AU57" s="17"/>
      <c r="AV57" s="34">
        <f>AB57+30+AR57</f>
        <v>152</v>
      </c>
      <c r="AW57" s="17"/>
    </row>
    <row r="58" spans="1:49" s="114" customFormat="1" ht="181.5">
      <c r="A58" s="114">
        <v>11</v>
      </c>
      <c r="B58" s="172" t="s">
        <v>152</v>
      </c>
      <c r="C58" s="115" t="s">
        <v>394</v>
      </c>
      <c r="D58" s="115" t="s">
        <v>338</v>
      </c>
      <c r="E58" s="116" t="s">
        <v>64</v>
      </c>
      <c r="F58" s="116" t="s">
        <v>240</v>
      </c>
      <c r="G58" s="115" t="s">
        <v>337</v>
      </c>
      <c r="H58" s="115" t="s">
        <v>508</v>
      </c>
      <c r="I58" s="115" t="s">
        <v>422</v>
      </c>
      <c r="J58" s="115">
        <v>125.5</v>
      </c>
      <c r="K58" s="115">
        <v>8.5</v>
      </c>
      <c r="L58" s="115">
        <v>44.8</v>
      </c>
      <c r="M58" s="115">
        <f t="shared" si="2"/>
        <v>9.7999999999999972</v>
      </c>
      <c r="N58" s="116"/>
      <c r="O58" s="117">
        <v>403</v>
      </c>
      <c r="P58" s="117" t="s">
        <v>10</v>
      </c>
      <c r="Q58" s="117">
        <v>1</v>
      </c>
      <c r="R58" s="115" t="s">
        <v>153</v>
      </c>
      <c r="S58" s="115" t="s">
        <v>154</v>
      </c>
      <c r="T58" s="118">
        <v>100</v>
      </c>
      <c r="U58" s="117" t="s">
        <v>411</v>
      </c>
      <c r="V58" s="117" t="s">
        <v>621</v>
      </c>
      <c r="W58" s="117" t="s">
        <v>622</v>
      </c>
      <c r="X58" s="117">
        <v>6</v>
      </c>
      <c r="Y58" s="117">
        <f t="shared" si="3"/>
        <v>152.39999999999998</v>
      </c>
      <c r="Z58" s="117" t="s">
        <v>604</v>
      </c>
      <c r="AA58" s="115" t="s">
        <v>695</v>
      </c>
      <c r="AB58" s="117">
        <v>120</v>
      </c>
      <c r="AC58" s="117">
        <f t="shared" si="17"/>
        <v>126</v>
      </c>
      <c r="AD58" s="117">
        <f>3.05-1.7</f>
        <v>1.3499999999999999</v>
      </c>
      <c r="AE58" s="119">
        <f t="shared" si="1"/>
        <v>1.4175</v>
      </c>
      <c r="AF58" s="119">
        <v>66.05</v>
      </c>
      <c r="AG58" s="119">
        <f t="shared" si="4"/>
        <v>67.467500000000001</v>
      </c>
      <c r="AH58" s="119">
        <f>AI58*AO41</f>
        <v>7171.74</v>
      </c>
      <c r="AI58" s="119">
        <v>69.900000000000006</v>
      </c>
      <c r="AJ58" s="117"/>
      <c r="AK58" s="120">
        <v>14069</v>
      </c>
      <c r="AL58" s="119">
        <f t="shared" si="5"/>
        <v>3.9080555555555554</v>
      </c>
      <c r="AM58" s="117">
        <v>45.9</v>
      </c>
      <c r="AN58" s="117">
        <v>16.600000000000001</v>
      </c>
      <c r="AO58" s="117">
        <v>44</v>
      </c>
      <c r="AP58" s="117" t="s">
        <v>155</v>
      </c>
      <c r="AQ58" s="117" t="s">
        <v>156</v>
      </c>
      <c r="AR58" s="117">
        <v>6</v>
      </c>
      <c r="AS58" s="121">
        <f t="shared" si="6"/>
        <v>37.755499030026996</v>
      </c>
      <c r="AT58" s="117">
        <v>1119</v>
      </c>
      <c r="AU58" s="117"/>
      <c r="AV58" s="117">
        <f>AB58+30+AR58</f>
        <v>156</v>
      </c>
      <c r="AW58" s="117"/>
    </row>
    <row r="59" spans="1:49" s="122" customFormat="1" ht="82.5">
      <c r="A59" s="122">
        <v>12</v>
      </c>
      <c r="B59" s="173"/>
      <c r="C59" s="115" t="s">
        <v>395</v>
      </c>
      <c r="D59" s="115" t="s">
        <v>339</v>
      </c>
      <c r="E59" s="116" t="s">
        <v>64</v>
      </c>
      <c r="F59" s="116" t="s">
        <v>241</v>
      </c>
      <c r="G59" s="115" t="s">
        <v>507</v>
      </c>
      <c r="H59" s="115" t="s">
        <v>506</v>
      </c>
      <c r="I59" s="115" t="s">
        <v>422</v>
      </c>
      <c r="J59" s="115">
        <v>122</v>
      </c>
      <c r="K59" s="115">
        <v>7.2</v>
      </c>
      <c r="L59" s="115">
        <v>39.700000000000003</v>
      </c>
      <c r="M59" s="66">
        <f t="shared" si="2"/>
        <v>4.7000000000000028</v>
      </c>
      <c r="N59" s="123"/>
      <c r="O59" s="12">
        <v>408</v>
      </c>
      <c r="P59" s="12" t="s">
        <v>22</v>
      </c>
      <c r="Q59" s="12">
        <v>0</v>
      </c>
      <c r="R59" s="66" t="s">
        <v>269</v>
      </c>
      <c r="S59" s="66" t="s">
        <v>154</v>
      </c>
      <c r="T59" s="124">
        <v>100</v>
      </c>
      <c r="U59" s="12" t="s">
        <v>411</v>
      </c>
      <c r="V59" s="117" t="s">
        <v>693</v>
      </c>
      <c r="W59" s="117" t="s">
        <v>225</v>
      </c>
      <c r="X59" s="117">
        <v>2</v>
      </c>
      <c r="Y59" s="125">
        <f t="shared" si="3"/>
        <v>50.8</v>
      </c>
      <c r="Z59" s="125" t="s">
        <v>604</v>
      </c>
      <c r="AA59" s="66" t="s">
        <v>694</v>
      </c>
      <c r="AB59" s="12">
        <v>120</v>
      </c>
      <c r="AC59" s="12">
        <f t="shared" si="17"/>
        <v>122</v>
      </c>
      <c r="AD59" s="12">
        <v>0.03</v>
      </c>
      <c r="AE59" s="126">
        <f t="shared" si="1"/>
        <v>3.15E-2</v>
      </c>
      <c r="AF59" s="126">
        <v>11.5</v>
      </c>
      <c r="AG59" s="126">
        <f t="shared" si="4"/>
        <v>11.531499999999999</v>
      </c>
      <c r="AH59" s="126">
        <f>AI59*AO11</f>
        <v>5790.7699999999995</v>
      </c>
      <c r="AI59" s="119">
        <v>22.7</v>
      </c>
      <c r="AJ59" s="117"/>
      <c r="AK59" s="120">
        <v>479</v>
      </c>
      <c r="AL59" s="119">
        <f t="shared" si="5"/>
        <v>0.13305555555555557</v>
      </c>
      <c r="AM59" s="117">
        <v>46</v>
      </c>
      <c r="AN59" s="12">
        <v>16.7</v>
      </c>
      <c r="AO59" s="12">
        <v>633.4</v>
      </c>
      <c r="AP59" s="12" t="s">
        <v>155</v>
      </c>
      <c r="AQ59" s="12" t="s">
        <v>25</v>
      </c>
      <c r="AR59" s="12" t="s">
        <v>25</v>
      </c>
      <c r="AS59" s="127">
        <f t="shared" si="6"/>
        <v>0</v>
      </c>
      <c r="AT59" s="12"/>
      <c r="AU59" s="12"/>
      <c r="AV59" s="128" t="s">
        <v>422</v>
      </c>
      <c r="AW59" s="12"/>
    </row>
    <row r="60" spans="1:49" s="122" customFormat="1" ht="115.5">
      <c r="A60" s="122">
        <v>13</v>
      </c>
      <c r="B60" s="123" t="s">
        <v>396</v>
      </c>
      <c r="C60" s="115" t="s">
        <v>396</v>
      </c>
      <c r="D60" s="115" t="s">
        <v>341</v>
      </c>
      <c r="E60" s="116" t="s">
        <v>64</v>
      </c>
      <c r="F60" s="116" t="s">
        <v>240</v>
      </c>
      <c r="G60" s="115" t="s">
        <v>510</v>
      </c>
      <c r="H60" s="115" t="s">
        <v>509</v>
      </c>
      <c r="I60" s="115" t="s">
        <v>422</v>
      </c>
      <c r="J60" s="115">
        <v>129.1</v>
      </c>
      <c r="K60" s="115">
        <v>7.1</v>
      </c>
      <c r="L60" s="115">
        <v>44.6</v>
      </c>
      <c r="M60" s="66">
        <f t="shared" si="2"/>
        <v>9.6000000000000014</v>
      </c>
      <c r="N60" s="123"/>
      <c r="O60" s="129">
        <v>405</v>
      </c>
      <c r="P60" s="12" t="s">
        <v>10</v>
      </c>
      <c r="Q60" s="12">
        <v>1</v>
      </c>
      <c r="R60" s="66" t="s">
        <v>208</v>
      </c>
      <c r="S60" s="66" t="s">
        <v>613</v>
      </c>
      <c r="T60" s="124">
        <v>100</v>
      </c>
      <c r="U60" s="12" t="s">
        <v>411</v>
      </c>
      <c r="V60" s="12" t="s">
        <v>309</v>
      </c>
      <c r="W60" s="12" t="s">
        <v>357</v>
      </c>
      <c r="X60" s="12">
        <v>2</v>
      </c>
      <c r="Y60" s="125">
        <f t="shared" si="3"/>
        <v>50.8</v>
      </c>
      <c r="Z60" s="125" t="s">
        <v>604</v>
      </c>
      <c r="AA60" s="66" t="s">
        <v>547</v>
      </c>
      <c r="AB60" s="12">
        <v>120</v>
      </c>
      <c r="AC60" s="12">
        <f t="shared" si="17"/>
        <v>122</v>
      </c>
      <c r="AD60" s="117">
        <v>1</v>
      </c>
      <c r="AE60" s="126">
        <f t="shared" si="1"/>
        <v>1.05</v>
      </c>
      <c r="AF60" s="119">
        <v>0</v>
      </c>
      <c r="AG60" s="126">
        <f t="shared" si="4"/>
        <v>1.05</v>
      </c>
      <c r="AH60" s="126">
        <f>AI60*AO58</f>
        <v>3049.2</v>
      </c>
      <c r="AI60" s="119">
        <v>69.3</v>
      </c>
      <c r="AJ60" s="117"/>
      <c r="AK60" s="120">
        <v>2069</v>
      </c>
      <c r="AL60" s="119">
        <f t="shared" si="5"/>
        <v>0.57472222222222225</v>
      </c>
      <c r="AM60" s="117">
        <v>44.9</v>
      </c>
      <c r="AN60" s="12">
        <v>49.6</v>
      </c>
      <c r="AO60" s="12">
        <v>36.5</v>
      </c>
      <c r="AP60" s="12" t="s">
        <v>93</v>
      </c>
      <c r="AQ60" s="12" t="s">
        <v>25</v>
      </c>
      <c r="AR60" s="12" t="s">
        <v>25</v>
      </c>
      <c r="AS60" s="127">
        <f t="shared" si="6"/>
        <v>0</v>
      </c>
      <c r="AT60" s="12"/>
      <c r="AU60" s="12"/>
      <c r="AV60" s="128" t="s">
        <v>422</v>
      </c>
      <c r="AW60" s="12"/>
    </row>
    <row r="61" spans="1:49" s="114" customFormat="1" ht="66">
      <c r="A61" s="114">
        <v>25</v>
      </c>
      <c r="B61" s="116" t="s">
        <v>397</v>
      </c>
      <c r="C61" s="115" t="s">
        <v>397</v>
      </c>
      <c r="D61" s="115" t="s">
        <v>340</v>
      </c>
      <c r="E61" s="116" t="s">
        <v>323</v>
      </c>
      <c r="F61" s="116" t="s">
        <v>241</v>
      </c>
      <c r="G61" s="115" t="s">
        <v>325</v>
      </c>
      <c r="H61" s="115" t="s">
        <v>571</v>
      </c>
      <c r="I61" s="115" t="s">
        <v>422</v>
      </c>
      <c r="J61" s="115">
        <v>77.900000000000006</v>
      </c>
      <c r="K61" s="115">
        <v>-22.2</v>
      </c>
      <c r="L61" s="115">
        <v>35.5</v>
      </c>
      <c r="M61" s="115">
        <f t="shared" si="2"/>
        <v>0.5</v>
      </c>
      <c r="N61" s="116"/>
      <c r="O61" s="117">
        <v>415</v>
      </c>
      <c r="P61" s="117" t="s">
        <v>10</v>
      </c>
      <c r="Q61" s="117">
        <v>1</v>
      </c>
      <c r="R61" s="115" t="s">
        <v>342</v>
      </c>
      <c r="S61" s="115" t="s">
        <v>343</v>
      </c>
      <c r="T61" s="118">
        <v>100</v>
      </c>
      <c r="U61" s="117" t="s">
        <v>411</v>
      </c>
      <c r="V61" s="117" t="s">
        <v>645</v>
      </c>
      <c r="W61" s="117" t="s">
        <v>696</v>
      </c>
      <c r="X61" s="117">
        <v>6</v>
      </c>
      <c r="Y61" s="117">
        <f t="shared" si="3"/>
        <v>152.39999999999998</v>
      </c>
      <c r="Z61" s="117" t="s">
        <v>604</v>
      </c>
      <c r="AA61" s="115" t="s">
        <v>697</v>
      </c>
      <c r="AB61" s="117">
        <v>120</v>
      </c>
      <c r="AC61" s="117">
        <f t="shared" si="17"/>
        <v>126</v>
      </c>
      <c r="AD61" s="117">
        <f>1+1.7</f>
        <v>2.7</v>
      </c>
      <c r="AE61" s="119">
        <f t="shared" si="1"/>
        <v>2.8350000000000004</v>
      </c>
      <c r="AF61" s="119">
        <v>20</v>
      </c>
      <c r="AG61" s="119">
        <f t="shared" si="4"/>
        <v>22.835000000000001</v>
      </c>
      <c r="AH61" s="119">
        <f>AI61*AO58</f>
        <v>2970</v>
      </c>
      <c r="AI61" s="119">
        <v>67.5</v>
      </c>
      <c r="AJ61" s="117"/>
      <c r="AK61" s="120">
        <v>12000</v>
      </c>
      <c r="AL61" s="119">
        <f t="shared" si="5"/>
        <v>3.3333333333333335</v>
      </c>
      <c r="AM61" s="117">
        <v>44.5</v>
      </c>
      <c r="AN61" s="117">
        <v>49.4</v>
      </c>
      <c r="AO61" s="117">
        <v>36.200000000000003</v>
      </c>
      <c r="AP61" s="117" t="s">
        <v>93</v>
      </c>
      <c r="AQ61" s="117" t="s">
        <v>25</v>
      </c>
      <c r="AR61" s="117" t="s">
        <v>25</v>
      </c>
      <c r="AS61" s="121">
        <f t="shared" si="6"/>
        <v>0</v>
      </c>
      <c r="AT61" s="117"/>
      <c r="AU61" s="117"/>
      <c r="AV61" s="128" t="s">
        <v>422</v>
      </c>
      <c r="AW61" s="117"/>
    </row>
    <row r="62" spans="1:49" s="122" customFormat="1" ht="66">
      <c r="A62" s="122">
        <v>1</v>
      </c>
      <c r="B62" s="161" t="s">
        <v>157</v>
      </c>
      <c r="C62" s="115" t="s">
        <v>398</v>
      </c>
      <c r="D62" s="115" t="s">
        <v>312</v>
      </c>
      <c r="E62" s="116" t="s">
        <v>158</v>
      </c>
      <c r="F62" s="116" t="s">
        <v>240</v>
      </c>
      <c r="G62" s="115" t="s">
        <v>451</v>
      </c>
      <c r="H62" s="115" t="s">
        <v>511</v>
      </c>
      <c r="I62" s="115" t="s">
        <v>422</v>
      </c>
      <c r="J62" s="115">
        <v>114.4</v>
      </c>
      <c r="K62" s="115">
        <v>19.8</v>
      </c>
      <c r="L62" s="115">
        <v>47.4</v>
      </c>
      <c r="M62" s="66">
        <f t="shared" si="2"/>
        <v>12.399999999999999</v>
      </c>
      <c r="N62" s="123"/>
      <c r="O62" s="117" t="s">
        <v>441</v>
      </c>
      <c r="P62" s="12" t="s">
        <v>22</v>
      </c>
      <c r="Q62" s="137" t="s">
        <v>60</v>
      </c>
      <c r="R62" s="66" t="s">
        <v>319</v>
      </c>
      <c r="S62" s="66" t="s">
        <v>320</v>
      </c>
      <c r="T62" s="124">
        <v>100</v>
      </c>
      <c r="U62" s="12" t="s">
        <v>411</v>
      </c>
      <c r="V62" s="12" t="s">
        <v>418</v>
      </c>
      <c r="W62" s="12" t="s">
        <v>162</v>
      </c>
      <c r="X62" s="12">
        <v>3</v>
      </c>
      <c r="Y62" s="125">
        <f t="shared" si="3"/>
        <v>76.199999999999989</v>
      </c>
      <c r="Z62" s="125" t="s">
        <v>604</v>
      </c>
      <c r="AA62" s="66" t="s">
        <v>698</v>
      </c>
      <c r="AB62" s="12">
        <v>120</v>
      </c>
      <c r="AC62" s="12">
        <f t="shared" si="17"/>
        <v>123</v>
      </c>
      <c r="AD62" s="117">
        <v>0.23</v>
      </c>
      <c r="AE62" s="126">
        <f t="shared" si="1"/>
        <v>0.24150000000000002</v>
      </c>
      <c r="AF62" s="119">
        <v>9.5</v>
      </c>
      <c r="AG62" s="126">
        <f t="shared" si="4"/>
        <v>9.7415000000000003</v>
      </c>
      <c r="AH62" s="126">
        <f>AI62*AO68</f>
        <v>245.61</v>
      </c>
      <c r="AI62" s="119">
        <v>0.3</v>
      </c>
      <c r="AJ62" s="117"/>
      <c r="AK62" s="120">
        <f>20*AO62</f>
        <v>16374</v>
      </c>
      <c r="AL62" s="119">
        <f t="shared" si="5"/>
        <v>4.5483333333333329</v>
      </c>
      <c r="AM62" s="117">
        <v>5</v>
      </c>
      <c r="AN62" s="117">
        <v>15.56</v>
      </c>
      <c r="AO62" s="117">
        <v>818.7</v>
      </c>
      <c r="AP62" s="12" t="s">
        <v>322</v>
      </c>
      <c r="AQ62" s="12" t="s">
        <v>25</v>
      </c>
      <c r="AR62" s="12" t="s">
        <v>25</v>
      </c>
      <c r="AS62" s="127">
        <f t="shared" si="6"/>
        <v>0</v>
      </c>
      <c r="AT62" s="12"/>
      <c r="AU62" s="12"/>
      <c r="AV62" s="128" t="s">
        <v>422</v>
      </c>
      <c r="AW62" s="12"/>
    </row>
    <row r="63" spans="1:49" ht="82.5">
      <c r="A63" s="8">
        <v>2</v>
      </c>
      <c r="B63" s="177"/>
      <c r="C63" s="102" t="s">
        <v>399</v>
      </c>
      <c r="D63" s="102" t="s">
        <v>453</v>
      </c>
      <c r="E63" s="103" t="s">
        <v>158</v>
      </c>
      <c r="F63" s="103" t="s">
        <v>240</v>
      </c>
      <c r="G63" s="102" t="s">
        <v>452</v>
      </c>
      <c r="H63" s="102" t="s">
        <v>512</v>
      </c>
      <c r="I63" s="102" t="s">
        <v>422</v>
      </c>
      <c r="J63" s="102">
        <v>117.5</v>
      </c>
      <c r="K63" s="102">
        <v>17.3</v>
      </c>
      <c r="L63" s="102">
        <v>45.7</v>
      </c>
      <c r="M63" s="88">
        <f t="shared" si="2"/>
        <v>10.700000000000003</v>
      </c>
      <c r="N63" s="15"/>
      <c r="O63" s="21" t="s">
        <v>441</v>
      </c>
      <c r="P63" s="17" t="s">
        <v>22</v>
      </c>
      <c r="Q63" s="130" t="s">
        <v>60</v>
      </c>
      <c r="R63" s="48" t="s">
        <v>321</v>
      </c>
      <c r="S63" s="67" t="s">
        <v>572</v>
      </c>
      <c r="T63" s="43">
        <f>7*1/365*100</f>
        <v>1.9178082191780823</v>
      </c>
      <c r="U63" s="34" t="s">
        <v>416</v>
      </c>
      <c r="V63" s="17" t="s">
        <v>646</v>
      </c>
      <c r="W63" s="17" t="s">
        <v>419</v>
      </c>
      <c r="X63" s="34">
        <v>4</v>
      </c>
      <c r="Y63" s="26">
        <f t="shared" si="3"/>
        <v>101.6</v>
      </c>
      <c r="Z63" s="26" t="s">
        <v>604</v>
      </c>
      <c r="AA63" s="48" t="s">
        <v>347</v>
      </c>
      <c r="AB63" s="49">
        <v>120</v>
      </c>
      <c r="AC63" s="34">
        <f t="shared" si="17"/>
        <v>124</v>
      </c>
      <c r="AD63" s="21">
        <v>0.44</v>
      </c>
      <c r="AE63" s="19">
        <f t="shared" si="1"/>
        <v>0.46200000000000002</v>
      </c>
      <c r="AF63" s="37">
        <v>0.05</v>
      </c>
      <c r="AG63" s="19">
        <f t="shared" si="4"/>
        <v>0.51200000000000001</v>
      </c>
      <c r="AH63" s="86">
        <f>AI63*AO62</f>
        <v>7941.3899999999994</v>
      </c>
      <c r="AI63" s="37">
        <v>9.6999999999999993</v>
      </c>
      <c r="AJ63" s="21"/>
      <c r="AK63" s="22">
        <f>20*AO63</f>
        <v>16374</v>
      </c>
      <c r="AL63" s="37">
        <f t="shared" ref="AL63" si="19">AK63/3600</f>
        <v>4.5483333333333329</v>
      </c>
      <c r="AM63" s="21">
        <v>5</v>
      </c>
      <c r="AN63" s="21">
        <v>15.56</v>
      </c>
      <c r="AO63" s="21">
        <v>818.7</v>
      </c>
      <c r="AP63" s="17" t="s">
        <v>159</v>
      </c>
      <c r="AQ63" s="17" t="s">
        <v>25</v>
      </c>
      <c r="AR63" s="34" t="s">
        <v>25</v>
      </c>
      <c r="AS63" s="20">
        <f t="shared" ref="AS63" si="20">SQRT(AT63/3.14)*2</f>
        <v>0</v>
      </c>
      <c r="AT63" s="17"/>
      <c r="AU63" s="17"/>
      <c r="AV63" s="23" t="s">
        <v>422</v>
      </c>
      <c r="AW63" s="17"/>
    </row>
    <row r="64" spans="1:49" ht="66">
      <c r="A64" s="8">
        <v>3</v>
      </c>
      <c r="B64" s="177"/>
      <c r="C64" s="102" t="s">
        <v>400</v>
      </c>
      <c r="D64" s="102" t="s">
        <v>313</v>
      </c>
      <c r="E64" s="103" t="s">
        <v>158</v>
      </c>
      <c r="F64" s="103" t="s">
        <v>241</v>
      </c>
      <c r="G64" s="102" t="s">
        <v>513</v>
      </c>
      <c r="H64" s="102" t="s">
        <v>515</v>
      </c>
      <c r="I64" s="102" t="s">
        <v>422</v>
      </c>
      <c r="J64" s="102">
        <v>102.8</v>
      </c>
      <c r="K64" s="102">
        <v>9.1999999999999993</v>
      </c>
      <c r="L64" s="102">
        <v>35.5</v>
      </c>
      <c r="M64" s="88">
        <f t="shared" si="2"/>
        <v>0.5</v>
      </c>
      <c r="N64" s="15"/>
      <c r="O64" s="21" t="s">
        <v>440</v>
      </c>
      <c r="P64" s="17" t="s">
        <v>22</v>
      </c>
      <c r="Q64" s="130" t="s">
        <v>60</v>
      </c>
      <c r="R64" s="48" t="s">
        <v>315</v>
      </c>
      <c r="S64" s="67" t="s">
        <v>515</v>
      </c>
      <c r="T64" s="43">
        <f>7*1/365*100</f>
        <v>1.9178082191780823</v>
      </c>
      <c r="U64" s="34" t="s">
        <v>416</v>
      </c>
      <c r="V64" s="17" t="s">
        <v>647</v>
      </c>
      <c r="W64" s="17" t="s">
        <v>701</v>
      </c>
      <c r="X64" s="34">
        <v>3</v>
      </c>
      <c r="Y64" s="26">
        <f t="shared" si="3"/>
        <v>76.199999999999989</v>
      </c>
      <c r="Z64" s="26" t="s">
        <v>604</v>
      </c>
      <c r="AA64" s="48" t="s">
        <v>699</v>
      </c>
      <c r="AB64" s="49">
        <v>120</v>
      </c>
      <c r="AC64" s="34">
        <f t="shared" si="17"/>
        <v>123</v>
      </c>
      <c r="AD64" s="21">
        <v>0.34</v>
      </c>
      <c r="AE64" s="19">
        <f t="shared" si="1"/>
        <v>0.35700000000000004</v>
      </c>
      <c r="AF64" s="37">
        <v>0.03</v>
      </c>
      <c r="AG64" s="19">
        <f t="shared" si="4"/>
        <v>0.38700000000000001</v>
      </c>
      <c r="AH64" s="86">
        <f>AI64*AO63</f>
        <v>409.35</v>
      </c>
      <c r="AI64" s="37">
        <v>0.5</v>
      </c>
      <c r="AJ64" s="21"/>
      <c r="AK64" s="22">
        <f>10*AO64</f>
        <v>8187</v>
      </c>
      <c r="AL64" s="37">
        <f t="shared" ref="AL64:AL65" si="21">AK64/3600</f>
        <v>2.2741666666666664</v>
      </c>
      <c r="AM64" s="21">
        <v>543</v>
      </c>
      <c r="AN64" s="21">
        <v>50</v>
      </c>
      <c r="AO64" s="21">
        <v>818.7</v>
      </c>
      <c r="AP64" s="17" t="s">
        <v>317</v>
      </c>
      <c r="AQ64" s="17" t="s">
        <v>25</v>
      </c>
      <c r="AR64" s="34" t="s">
        <v>25</v>
      </c>
      <c r="AS64" s="20">
        <f t="shared" ref="AS64:AS65" si="22">SQRT(AT64/3.14)*2</f>
        <v>0</v>
      </c>
      <c r="AT64" s="17"/>
      <c r="AU64" s="17"/>
      <c r="AV64" s="23" t="s">
        <v>422</v>
      </c>
      <c r="AW64" s="17"/>
    </row>
    <row r="65" spans="1:49" ht="49.5">
      <c r="A65" s="8">
        <v>4</v>
      </c>
      <c r="B65" s="162"/>
      <c r="C65" s="102" t="s">
        <v>401</v>
      </c>
      <c r="D65" s="102" t="s">
        <v>314</v>
      </c>
      <c r="E65" s="103" t="s">
        <v>158</v>
      </c>
      <c r="F65" s="103" t="s">
        <v>241</v>
      </c>
      <c r="G65" s="102" t="s">
        <v>514</v>
      </c>
      <c r="H65" s="102" t="s">
        <v>516</v>
      </c>
      <c r="I65" s="102" t="s">
        <v>422</v>
      </c>
      <c r="J65" s="102">
        <v>103.1</v>
      </c>
      <c r="K65" s="102">
        <v>14.6</v>
      </c>
      <c r="L65" s="102">
        <v>35.700000000000003</v>
      </c>
      <c r="M65" s="88">
        <f t="shared" si="2"/>
        <v>0.70000000000000284</v>
      </c>
      <c r="N65" s="16"/>
      <c r="O65" s="64" t="s">
        <v>439</v>
      </c>
      <c r="P65" s="64" t="s">
        <v>22</v>
      </c>
      <c r="Q65" s="132" t="s">
        <v>60</v>
      </c>
      <c r="R65" s="40" t="s">
        <v>316</v>
      </c>
      <c r="S65" s="68" t="s">
        <v>516</v>
      </c>
      <c r="T65" s="44">
        <f>7*1/365*100</f>
        <v>1.9178082191780823</v>
      </c>
      <c r="U65" s="34" t="s">
        <v>416</v>
      </c>
      <c r="V65" s="17" t="s">
        <v>648</v>
      </c>
      <c r="W65" s="17" t="s">
        <v>227</v>
      </c>
      <c r="X65" s="34">
        <v>2</v>
      </c>
      <c r="Y65" s="26">
        <f t="shared" si="3"/>
        <v>50.8</v>
      </c>
      <c r="Z65" s="26" t="s">
        <v>604</v>
      </c>
      <c r="AA65" s="48" t="s">
        <v>700</v>
      </c>
      <c r="AB65" s="49">
        <v>120</v>
      </c>
      <c r="AC65" s="34">
        <f t="shared" si="17"/>
        <v>122</v>
      </c>
      <c r="AD65" s="21">
        <v>0.09</v>
      </c>
      <c r="AE65" s="19">
        <f t="shared" si="1"/>
        <v>9.4500000000000001E-2</v>
      </c>
      <c r="AF65" s="37">
        <v>0.02</v>
      </c>
      <c r="AG65" s="19">
        <f t="shared" si="4"/>
        <v>0.1145</v>
      </c>
      <c r="AH65" s="86">
        <f>AI65*AO63</f>
        <v>409.35</v>
      </c>
      <c r="AI65" s="37">
        <v>0.5</v>
      </c>
      <c r="AJ65" s="21"/>
      <c r="AK65" s="22">
        <f>2*AO65</f>
        <v>1589.6</v>
      </c>
      <c r="AL65" s="37">
        <f t="shared" si="21"/>
        <v>0.44155555555555553</v>
      </c>
      <c r="AM65" s="21">
        <v>413</v>
      </c>
      <c r="AN65" s="21">
        <v>50</v>
      </c>
      <c r="AO65" s="21">
        <v>794.8</v>
      </c>
      <c r="AP65" s="17" t="s">
        <v>318</v>
      </c>
      <c r="AQ65" s="17" t="s">
        <v>25</v>
      </c>
      <c r="AR65" s="34" t="s">
        <v>25</v>
      </c>
      <c r="AS65" s="20">
        <f t="shared" si="22"/>
        <v>0</v>
      </c>
      <c r="AT65" s="17"/>
      <c r="AU65" s="17"/>
      <c r="AV65" s="23" t="s">
        <v>422</v>
      </c>
      <c r="AW65" s="17"/>
    </row>
    <row r="66" spans="1:49" ht="66">
      <c r="A66" s="8">
        <v>51</v>
      </c>
      <c r="B66" s="104" t="s">
        <v>402</v>
      </c>
      <c r="C66" s="102" t="s">
        <v>402</v>
      </c>
      <c r="D66" s="102" t="s">
        <v>454</v>
      </c>
      <c r="E66" s="103" t="s">
        <v>737</v>
      </c>
      <c r="F66" s="103" t="s">
        <v>241</v>
      </c>
      <c r="G66" s="102" t="s">
        <v>525</v>
      </c>
      <c r="H66" s="102" t="s">
        <v>525</v>
      </c>
      <c r="I66" s="102" t="s">
        <v>422</v>
      </c>
      <c r="J66" s="102">
        <v>115</v>
      </c>
      <c r="K66" s="102">
        <v>3.5</v>
      </c>
      <c r="L66" s="102">
        <v>43.5</v>
      </c>
      <c r="M66" s="88">
        <f t="shared" si="2"/>
        <v>8.5</v>
      </c>
      <c r="N66" s="16"/>
      <c r="O66" s="64" t="s">
        <v>440</v>
      </c>
      <c r="P66" s="64" t="s">
        <v>22</v>
      </c>
      <c r="Q66" s="132" t="s">
        <v>60</v>
      </c>
      <c r="R66" s="40" t="s">
        <v>92</v>
      </c>
      <c r="S66" s="68" t="s">
        <v>573</v>
      </c>
      <c r="T66" s="44">
        <f>7*1/365*100</f>
        <v>1.9178082191780823</v>
      </c>
      <c r="U66" s="36" t="s">
        <v>416</v>
      </c>
      <c r="V66" s="36" t="s">
        <v>649</v>
      </c>
      <c r="W66" s="139" t="s">
        <v>701</v>
      </c>
      <c r="X66" s="36">
        <v>3</v>
      </c>
      <c r="Y66" s="26">
        <f t="shared" si="3"/>
        <v>76.199999999999989</v>
      </c>
      <c r="Z66" s="26" t="s">
        <v>604</v>
      </c>
      <c r="AA66" s="48" t="s">
        <v>548</v>
      </c>
      <c r="AB66" s="49">
        <v>120</v>
      </c>
      <c r="AC66" s="36">
        <f t="shared" ref="AC66:AC67" si="23">AB66+X66</f>
        <v>123</v>
      </c>
      <c r="AD66" s="21">
        <v>0.22</v>
      </c>
      <c r="AE66" s="38">
        <f t="shared" ref="AE66:AE67" si="24">AD66*$AZ$1</f>
        <v>0.23100000000000001</v>
      </c>
      <c r="AF66" s="37">
        <v>0.03</v>
      </c>
      <c r="AG66" s="38">
        <f t="shared" ref="AG66:AG67" si="25">AE66+AF66</f>
        <v>0.26100000000000001</v>
      </c>
      <c r="AH66" s="86">
        <f>AI66*AO64</f>
        <v>327.48</v>
      </c>
      <c r="AI66" s="37">
        <v>0.4</v>
      </c>
      <c r="AJ66" s="21"/>
      <c r="AK66" s="22">
        <f>10*AO66</f>
        <v>8187</v>
      </c>
      <c r="AL66" s="37">
        <f t="shared" ref="AL66:AL67" si="26">AK66/3600</f>
        <v>2.2741666666666664</v>
      </c>
      <c r="AM66" s="21">
        <v>543</v>
      </c>
      <c r="AN66" s="21">
        <v>50</v>
      </c>
      <c r="AO66" s="21">
        <v>818.7</v>
      </c>
      <c r="AP66" s="17" t="s">
        <v>160</v>
      </c>
      <c r="AQ66" s="17" t="s">
        <v>25</v>
      </c>
      <c r="AR66" s="34" t="s">
        <v>25</v>
      </c>
      <c r="AS66" s="20">
        <f t="shared" si="6"/>
        <v>0</v>
      </c>
      <c r="AT66" s="17"/>
      <c r="AU66" s="17"/>
      <c r="AV66" s="23" t="s">
        <v>422</v>
      </c>
      <c r="AW66" s="17"/>
    </row>
    <row r="67" spans="1:49" ht="99">
      <c r="A67" s="8">
        <v>52</v>
      </c>
      <c r="B67" s="104" t="s">
        <v>403</v>
      </c>
      <c r="C67" s="102" t="s">
        <v>403</v>
      </c>
      <c r="D67" s="102" t="s">
        <v>455</v>
      </c>
      <c r="E67" s="103" t="s">
        <v>737</v>
      </c>
      <c r="F67" s="103" t="s">
        <v>241</v>
      </c>
      <c r="G67" s="102" t="s">
        <v>525</v>
      </c>
      <c r="H67" s="102" t="s">
        <v>525</v>
      </c>
      <c r="I67" s="102" t="s">
        <v>422</v>
      </c>
      <c r="J67" s="102">
        <v>115</v>
      </c>
      <c r="K67" s="102">
        <v>4.8</v>
      </c>
      <c r="L67" s="102">
        <v>42.8</v>
      </c>
      <c r="M67" s="88">
        <f t="shared" si="2"/>
        <v>7.7999999999999972</v>
      </c>
      <c r="N67" s="16"/>
      <c r="O67" s="64" t="s">
        <v>439</v>
      </c>
      <c r="P67" s="64" t="s">
        <v>22</v>
      </c>
      <c r="Q67" s="132" t="s">
        <v>60</v>
      </c>
      <c r="R67" s="40" t="s">
        <v>92</v>
      </c>
      <c r="S67" s="68" t="s">
        <v>573</v>
      </c>
      <c r="T67" s="44">
        <f>7*1/365*100</f>
        <v>1.9178082191780823</v>
      </c>
      <c r="U67" s="36" t="s">
        <v>416</v>
      </c>
      <c r="V67" s="36" t="s">
        <v>650</v>
      </c>
      <c r="W67" s="36" t="s">
        <v>227</v>
      </c>
      <c r="X67" s="36">
        <v>2</v>
      </c>
      <c r="Y67" s="26">
        <f t="shared" si="3"/>
        <v>50.8</v>
      </c>
      <c r="Z67" s="26" t="s">
        <v>604</v>
      </c>
      <c r="AA67" s="60" t="s">
        <v>549</v>
      </c>
      <c r="AB67" s="49">
        <v>120</v>
      </c>
      <c r="AC67" s="36">
        <f t="shared" si="23"/>
        <v>122</v>
      </c>
      <c r="AD67" s="21">
        <v>0.34</v>
      </c>
      <c r="AE67" s="38">
        <f t="shared" si="24"/>
        <v>0.35700000000000004</v>
      </c>
      <c r="AF67" s="37">
        <v>0.02</v>
      </c>
      <c r="AG67" s="38">
        <f t="shared" si="25"/>
        <v>0.37700000000000006</v>
      </c>
      <c r="AH67" s="86">
        <f>AI67*AO65</f>
        <v>79.48</v>
      </c>
      <c r="AI67" s="37">
        <v>0.1</v>
      </c>
      <c r="AJ67" s="21"/>
      <c r="AK67" s="22">
        <f>2*AO67</f>
        <v>1589.6</v>
      </c>
      <c r="AL67" s="37">
        <f t="shared" si="26"/>
        <v>0.44155555555555553</v>
      </c>
      <c r="AM67" s="21">
        <v>413</v>
      </c>
      <c r="AN67" s="21">
        <v>50</v>
      </c>
      <c r="AO67" s="21">
        <v>794.8</v>
      </c>
      <c r="AP67" s="17" t="s">
        <v>160</v>
      </c>
      <c r="AQ67" s="17" t="s">
        <v>25</v>
      </c>
      <c r="AR67" s="34" t="s">
        <v>25</v>
      </c>
      <c r="AS67" s="20">
        <f t="shared" si="6"/>
        <v>0</v>
      </c>
      <c r="AT67" s="17"/>
      <c r="AU67" s="17"/>
      <c r="AV67" s="23" t="s">
        <v>422</v>
      </c>
      <c r="AW67" s="17"/>
    </row>
    <row r="68" spans="1:49" ht="82.5">
      <c r="A68" s="8">
        <v>59</v>
      </c>
      <c r="B68" s="104" t="s">
        <v>404</v>
      </c>
      <c r="C68" s="102" t="s">
        <v>404</v>
      </c>
      <c r="D68" s="102" t="s">
        <v>456</v>
      </c>
      <c r="E68" s="103" t="s">
        <v>748</v>
      </c>
      <c r="F68" s="154" t="s">
        <v>161</v>
      </c>
      <c r="G68" s="102" t="s">
        <v>517</v>
      </c>
      <c r="H68" s="102" t="s">
        <v>517</v>
      </c>
      <c r="I68" s="102" t="s">
        <v>422</v>
      </c>
      <c r="J68" s="102">
        <v>213.1</v>
      </c>
      <c r="K68" s="102">
        <v>-21.4</v>
      </c>
      <c r="L68" s="102">
        <v>29.9</v>
      </c>
      <c r="M68" s="91">
        <f>L68-$N$1</f>
        <v>0.89999999999999858</v>
      </c>
      <c r="N68" s="15"/>
      <c r="O68" s="21" t="s">
        <v>438</v>
      </c>
      <c r="P68" s="17" t="s">
        <v>22</v>
      </c>
      <c r="Q68" s="130" t="s">
        <v>60</v>
      </c>
      <c r="R68" s="48" t="s">
        <v>92</v>
      </c>
      <c r="S68" s="67" t="s">
        <v>517</v>
      </c>
      <c r="T68" s="43">
        <v>100</v>
      </c>
      <c r="U68" s="34" t="s">
        <v>411</v>
      </c>
      <c r="V68" s="17" t="s">
        <v>651</v>
      </c>
      <c r="W68" s="17" t="s">
        <v>162</v>
      </c>
      <c r="X68" s="34">
        <v>3</v>
      </c>
      <c r="Y68" s="26">
        <f t="shared" ref="Y68:Y80" si="27">X68*$Y$1</f>
        <v>76.199999999999989</v>
      </c>
      <c r="Z68" s="26" t="s">
        <v>604</v>
      </c>
      <c r="AA68" s="48" t="s">
        <v>550</v>
      </c>
      <c r="AB68" s="49">
        <v>120</v>
      </c>
      <c r="AC68" s="34">
        <f>AB68+X68</f>
        <v>123</v>
      </c>
      <c r="AD68" s="17">
        <v>0.3</v>
      </c>
      <c r="AE68" s="19">
        <f t="shared" si="1"/>
        <v>0.315</v>
      </c>
      <c r="AF68" s="19">
        <v>0</v>
      </c>
      <c r="AG68" s="19">
        <f t="shared" si="4"/>
        <v>0.315</v>
      </c>
      <c r="AH68" s="86">
        <f>AI68*AO62</f>
        <v>7941.3899999999994</v>
      </c>
      <c r="AI68" s="37">
        <v>9.6999999999999993</v>
      </c>
      <c r="AJ68" s="21"/>
      <c r="AK68" s="22">
        <f>20*AO68</f>
        <v>16374</v>
      </c>
      <c r="AL68" s="37">
        <f t="shared" si="5"/>
        <v>4.5483333333333329</v>
      </c>
      <c r="AM68" s="21">
        <v>7.2</v>
      </c>
      <c r="AN68" s="21">
        <v>16.600000000000001</v>
      </c>
      <c r="AO68" s="21">
        <v>818.7</v>
      </c>
      <c r="AP68" s="17" t="s">
        <v>160</v>
      </c>
      <c r="AQ68" s="17" t="s">
        <v>25</v>
      </c>
      <c r="AR68" s="34" t="s">
        <v>25</v>
      </c>
      <c r="AS68" s="20">
        <f t="shared" si="6"/>
        <v>0</v>
      </c>
      <c r="AT68" s="17"/>
      <c r="AU68" s="17"/>
      <c r="AV68" s="23" t="s">
        <v>422</v>
      </c>
      <c r="AW68" s="17"/>
    </row>
    <row r="69" spans="1:49" ht="49.5">
      <c r="A69" s="8">
        <v>60</v>
      </c>
      <c r="B69" s="161" t="s">
        <v>163</v>
      </c>
      <c r="C69" s="102" t="s">
        <v>405</v>
      </c>
      <c r="D69" s="171" t="s">
        <v>164</v>
      </c>
      <c r="E69" s="103" t="s">
        <v>746</v>
      </c>
      <c r="F69" s="154" t="s">
        <v>161</v>
      </c>
      <c r="G69" s="102" t="s">
        <v>518</v>
      </c>
      <c r="H69" s="102" t="s">
        <v>518</v>
      </c>
      <c r="I69" s="102" t="s">
        <v>422</v>
      </c>
      <c r="J69" s="102">
        <v>158.69999999999999</v>
      </c>
      <c r="K69" s="102">
        <v>4.0999999999999996</v>
      </c>
      <c r="L69" s="102">
        <v>32.9</v>
      </c>
      <c r="M69" s="91">
        <f t="shared" ref="M69:M70" si="28">L69-$N$1</f>
        <v>3.8999999999999986</v>
      </c>
      <c r="N69" s="15"/>
      <c r="O69" s="33" t="s">
        <v>432</v>
      </c>
      <c r="P69" s="36" t="s">
        <v>10</v>
      </c>
      <c r="Q69" s="130">
        <v>1</v>
      </c>
      <c r="R69" s="55" t="s">
        <v>165</v>
      </c>
      <c r="S69" s="55" t="s">
        <v>166</v>
      </c>
      <c r="T69" s="43">
        <v>100</v>
      </c>
      <c r="U69" s="36" t="s">
        <v>411</v>
      </c>
      <c r="V69" s="36" t="s">
        <v>653</v>
      </c>
      <c r="W69" s="36" t="s">
        <v>204</v>
      </c>
      <c r="X69" s="36">
        <v>8</v>
      </c>
      <c r="Y69" s="99">
        <f t="shared" si="27"/>
        <v>203.2</v>
      </c>
      <c r="Z69" s="99"/>
      <c r="AA69" s="48" t="s">
        <v>224</v>
      </c>
      <c r="AB69" s="49">
        <v>120</v>
      </c>
      <c r="AC69" s="36">
        <f t="shared" ref="AC69" si="29">AB69+X69</f>
        <v>128</v>
      </c>
      <c r="AD69" s="36">
        <v>0.4</v>
      </c>
      <c r="AE69" s="38">
        <f t="shared" ref="AE69" si="30">AD69*$AZ$1</f>
        <v>0.42000000000000004</v>
      </c>
      <c r="AF69" s="37">
        <v>59.8</v>
      </c>
      <c r="AG69" s="38">
        <f t="shared" ref="AG69" si="31">AE69+AF69</f>
        <v>60.22</v>
      </c>
      <c r="AH69" s="86">
        <f>AI69*AO56</f>
        <v>2.75</v>
      </c>
      <c r="AI69" s="37">
        <v>2.5</v>
      </c>
      <c r="AJ69" s="21"/>
      <c r="AK69" s="28">
        <v>2069</v>
      </c>
      <c r="AL69" s="37">
        <f t="shared" ref="AL69" si="32">AK69/3600</f>
        <v>0.57472222222222225</v>
      </c>
      <c r="AM69" s="21">
        <v>1.2</v>
      </c>
      <c r="AN69" s="21">
        <v>45</v>
      </c>
      <c r="AO69" s="21">
        <v>36.5</v>
      </c>
      <c r="AP69" s="17" t="s">
        <v>270</v>
      </c>
      <c r="AQ69" s="21" t="s">
        <v>25</v>
      </c>
      <c r="AR69" s="45">
        <v>203.2</v>
      </c>
      <c r="AS69" s="47">
        <v>0</v>
      </c>
      <c r="AT69" s="21"/>
      <c r="AU69" s="26" t="s">
        <v>654</v>
      </c>
      <c r="AV69" s="34" t="s">
        <v>422</v>
      </c>
      <c r="AW69" s="17"/>
    </row>
    <row r="70" spans="1:49" ht="49.5">
      <c r="A70" s="8">
        <v>61</v>
      </c>
      <c r="B70" s="162"/>
      <c r="C70" s="102" t="s">
        <v>406</v>
      </c>
      <c r="D70" s="171"/>
      <c r="E70" s="160" t="s">
        <v>746</v>
      </c>
      <c r="F70" s="154" t="s">
        <v>161</v>
      </c>
      <c r="G70" s="102" t="s">
        <v>519</v>
      </c>
      <c r="H70" s="102" t="s">
        <v>519</v>
      </c>
      <c r="I70" s="102" t="s">
        <v>422</v>
      </c>
      <c r="J70" s="102">
        <v>152.30000000000001</v>
      </c>
      <c r="K70" s="102">
        <v>3.8</v>
      </c>
      <c r="L70" s="102">
        <v>32.200000000000003</v>
      </c>
      <c r="M70" s="91">
        <f t="shared" si="28"/>
        <v>3.2000000000000028</v>
      </c>
      <c r="N70" s="15"/>
      <c r="O70" s="17" t="s">
        <v>434</v>
      </c>
      <c r="P70" s="17" t="s">
        <v>22</v>
      </c>
      <c r="Q70" s="130">
        <v>0</v>
      </c>
      <c r="R70" s="48" t="s">
        <v>165</v>
      </c>
      <c r="S70" s="48" t="s">
        <v>166</v>
      </c>
      <c r="T70" s="43">
        <v>100</v>
      </c>
      <c r="U70" s="34" t="s">
        <v>411</v>
      </c>
      <c r="V70" s="25" t="s">
        <v>652</v>
      </c>
      <c r="W70" s="25" t="s">
        <v>209</v>
      </c>
      <c r="X70" s="25">
        <v>6</v>
      </c>
      <c r="Y70" s="99">
        <f t="shared" si="27"/>
        <v>152.39999999999998</v>
      </c>
      <c r="Z70" s="99"/>
      <c r="AA70" s="48" t="s">
        <v>551</v>
      </c>
      <c r="AB70" s="49">
        <v>120</v>
      </c>
      <c r="AC70" s="34">
        <f>AB70+X70</f>
        <v>126</v>
      </c>
      <c r="AD70" s="17">
        <v>0.22</v>
      </c>
      <c r="AE70" s="19">
        <f t="shared" si="1"/>
        <v>0.23100000000000001</v>
      </c>
      <c r="AF70" s="19">
        <v>20.2</v>
      </c>
      <c r="AG70" s="19">
        <f t="shared" si="4"/>
        <v>20.431000000000001</v>
      </c>
      <c r="AH70" s="86">
        <f>AI70*AO14</f>
        <v>1971.4200000000003</v>
      </c>
      <c r="AI70" s="46">
        <v>20.6</v>
      </c>
      <c r="AJ70" s="21"/>
      <c r="AK70" s="22">
        <f>25*AO70</f>
        <v>16582.5</v>
      </c>
      <c r="AL70" s="37">
        <f t="shared" si="5"/>
        <v>4.6062500000000002</v>
      </c>
      <c r="AM70" s="21">
        <v>1.2</v>
      </c>
      <c r="AN70" s="21">
        <v>45</v>
      </c>
      <c r="AO70" s="17">
        <v>663.3</v>
      </c>
      <c r="AP70" s="17" t="s">
        <v>270</v>
      </c>
      <c r="AQ70" s="17" t="s">
        <v>25</v>
      </c>
      <c r="AR70" s="34" t="s">
        <v>25</v>
      </c>
      <c r="AS70" s="20">
        <f t="shared" si="6"/>
        <v>0</v>
      </c>
      <c r="AT70" s="17"/>
      <c r="AU70" s="17"/>
      <c r="AV70" s="23" t="s">
        <v>422</v>
      </c>
      <c r="AW70" s="17"/>
    </row>
    <row r="71" spans="1:49" ht="82.5">
      <c r="A71" s="8">
        <v>28</v>
      </c>
      <c r="B71" s="113" t="s">
        <v>520</v>
      </c>
      <c r="C71" s="102" t="s">
        <v>520</v>
      </c>
      <c r="D71" s="102" t="s">
        <v>597</v>
      </c>
      <c r="E71" s="103" t="s">
        <v>57</v>
      </c>
      <c r="F71" s="103" t="s">
        <v>241</v>
      </c>
      <c r="G71" s="102" t="s">
        <v>324</v>
      </c>
      <c r="H71" s="102" t="s">
        <v>522</v>
      </c>
      <c r="I71" s="102" t="s">
        <v>422</v>
      </c>
      <c r="J71" s="102">
        <v>103</v>
      </c>
      <c r="K71" s="102">
        <v>-23</v>
      </c>
      <c r="L71" s="102">
        <v>37.799999999999997</v>
      </c>
      <c r="M71" s="88">
        <f t="shared" ref="M71:M72" si="33">L71-$M$1</f>
        <v>2.7999999999999972</v>
      </c>
      <c r="N71" s="15"/>
      <c r="O71" s="21" t="s">
        <v>436</v>
      </c>
      <c r="P71" s="17" t="s">
        <v>22</v>
      </c>
      <c r="Q71" s="130" t="s">
        <v>60</v>
      </c>
      <c r="R71" s="48" t="s">
        <v>326</v>
      </c>
      <c r="S71" s="48" t="s">
        <v>328</v>
      </c>
      <c r="T71" s="43">
        <v>100</v>
      </c>
      <c r="U71" s="34" t="s">
        <v>411</v>
      </c>
      <c r="V71" s="17" t="s">
        <v>353</v>
      </c>
      <c r="W71" s="17" t="s">
        <v>282</v>
      </c>
      <c r="X71" s="34">
        <v>4</v>
      </c>
      <c r="Y71" s="26">
        <f t="shared" si="27"/>
        <v>101.6</v>
      </c>
      <c r="Z71" s="26" t="s">
        <v>604</v>
      </c>
      <c r="AA71" s="48" t="s">
        <v>552</v>
      </c>
      <c r="AB71" s="49">
        <v>120</v>
      </c>
      <c r="AC71" s="34">
        <f>AB71+X71</f>
        <v>124</v>
      </c>
      <c r="AD71" s="17">
        <v>1</v>
      </c>
      <c r="AE71" s="19">
        <f t="shared" si="1"/>
        <v>1.05</v>
      </c>
      <c r="AF71" s="19">
        <v>2</v>
      </c>
      <c r="AG71" s="19">
        <f t="shared" si="4"/>
        <v>3.05</v>
      </c>
      <c r="AH71" s="86">
        <f>AI71*AO71</f>
        <v>2552.3999999999996</v>
      </c>
      <c r="AI71" s="37">
        <v>3</v>
      </c>
      <c r="AJ71" s="21"/>
      <c r="AK71" s="22">
        <f>27.6*AO71</f>
        <v>23482.080000000002</v>
      </c>
      <c r="AL71" s="37">
        <f t="shared" ref="AL71:AL72" si="34">AK71/3600</f>
        <v>6.5228000000000002</v>
      </c>
      <c r="AM71" s="21">
        <v>8.5</v>
      </c>
      <c r="AN71" s="27">
        <v>45</v>
      </c>
      <c r="AO71" s="21">
        <v>850.8</v>
      </c>
      <c r="AP71" s="17" t="s">
        <v>329</v>
      </c>
      <c r="AQ71" s="17" t="s">
        <v>25</v>
      </c>
      <c r="AR71" s="34" t="s">
        <v>25</v>
      </c>
      <c r="AS71" s="20">
        <f t="shared" ref="AS71" si="35">SQRT(AT71/3.14)*2</f>
        <v>0</v>
      </c>
      <c r="AT71" s="17"/>
      <c r="AU71" s="17"/>
      <c r="AV71" s="23" t="s">
        <v>422</v>
      </c>
      <c r="AW71" s="17"/>
    </row>
    <row r="72" spans="1:49" ht="66">
      <c r="A72" s="8">
        <v>26</v>
      </c>
      <c r="B72" s="113" t="s">
        <v>521</v>
      </c>
      <c r="C72" s="102" t="s">
        <v>521</v>
      </c>
      <c r="D72" s="102" t="s">
        <v>598</v>
      </c>
      <c r="E72" s="103" t="s">
        <v>323</v>
      </c>
      <c r="F72" s="103" t="s">
        <v>241</v>
      </c>
      <c r="G72" s="102" t="s">
        <v>325</v>
      </c>
      <c r="H72" s="102" t="s">
        <v>523</v>
      </c>
      <c r="I72" s="102" t="s">
        <v>422</v>
      </c>
      <c r="J72" s="102">
        <v>77.2</v>
      </c>
      <c r="K72" s="102">
        <v>-23.3</v>
      </c>
      <c r="L72" s="102">
        <v>35.5</v>
      </c>
      <c r="M72" s="88">
        <f t="shared" si="33"/>
        <v>0.5</v>
      </c>
      <c r="N72" s="15"/>
      <c r="O72" s="21" t="s">
        <v>437</v>
      </c>
      <c r="P72" s="17" t="s">
        <v>22</v>
      </c>
      <c r="Q72" s="130" t="s">
        <v>60</v>
      </c>
      <c r="R72" s="48" t="s">
        <v>327</v>
      </c>
      <c r="S72" s="67" t="s">
        <v>523</v>
      </c>
      <c r="T72" s="43">
        <f>7*1/365*100</f>
        <v>1.9178082191780823</v>
      </c>
      <c r="U72" s="34" t="s">
        <v>416</v>
      </c>
      <c r="V72" s="17" t="s">
        <v>655</v>
      </c>
      <c r="W72" s="17" t="s">
        <v>350</v>
      </c>
      <c r="X72" s="34">
        <v>3</v>
      </c>
      <c r="Y72" s="26">
        <f t="shared" si="27"/>
        <v>76.199999999999989</v>
      </c>
      <c r="Z72" s="26" t="s">
        <v>604</v>
      </c>
      <c r="AA72" s="48" t="s">
        <v>553</v>
      </c>
      <c r="AB72" s="49">
        <v>120</v>
      </c>
      <c r="AC72" s="34">
        <f>AB72+X72</f>
        <v>123</v>
      </c>
      <c r="AD72" s="17">
        <v>1</v>
      </c>
      <c r="AE72" s="19">
        <f t="shared" si="1"/>
        <v>1.05</v>
      </c>
      <c r="AF72" s="19">
        <v>2</v>
      </c>
      <c r="AG72" s="19">
        <f t="shared" si="4"/>
        <v>3.05</v>
      </c>
      <c r="AH72" s="86">
        <f>AI72*AO71</f>
        <v>2637.48</v>
      </c>
      <c r="AI72" s="37">
        <v>3.1</v>
      </c>
      <c r="AJ72" s="21"/>
      <c r="AK72" s="22">
        <f>27.6*AO72</f>
        <v>23482.080000000002</v>
      </c>
      <c r="AL72" s="37">
        <f t="shared" si="34"/>
        <v>6.5228000000000002</v>
      </c>
      <c r="AM72" s="21">
        <v>8.5</v>
      </c>
      <c r="AN72" s="27">
        <v>45</v>
      </c>
      <c r="AO72" s="21">
        <v>850.8</v>
      </c>
      <c r="AP72" s="17" t="s">
        <v>330</v>
      </c>
      <c r="AQ72" s="17" t="s">
        <v>25</v>
      </c>
      <c r="AR72" s="34" t="s">
        <v>25</v>
      </c>
      <c r="AS72" s="20">
        <f t="shared" ref="AS72" si="36">SQRT(AT72/3.14)*2</f>
        <v>0</v>
      </c>
      <c r="AT72" s="17"/>
      <c r="AU72" s="17"/>
      <c r="AV72" s="23" t="s">
        <v>422</v>
      </c>
      <c r="AW72" s="17"/>
    </row>
    <row r="73" spans="1:49" ht="77.25" customHeight="1">
      <c r="A73" s="8">
        <v>62</v>
      </c>
      <c r="B73" s="169" t="s">
        <v>407</v>
      </c>
      <c r="C73" s="157" t="s">
        <v>738</v>
      </c>
      <c r="D73" s="171" t="s">
        <v>167</v>
      </c>
      <c r="E73" s="158" t="s">
        <v>746</v>
      </c>
      <c r="F73" s="154" t="s">
        <v>161</v>
      </c>
      <c r="G73" s="102" t="s">
        <v>605</v>
      </c>
      <c r="H73" s="102" t="s">
        <v>606</v>
      </c>
      <c r="I73" s="102" t="s">
        <v>422</v>
      </c>
      <c r="J73" s="102">
        <v>158.30000000000001</v>
      </c>
      <c r="K73" s="102">
        <v>8.5</v>
      </c>
      <c r="L73" s="102">
        <v>30</v>
      </c>
      <c r="M73" s="88">
        <f>L73-$N$1</f>
        <v>1</v>
      </c>
      <c r="N73" s="15"/>
      <c r="O73" s="178" t="s">
        <v>435</v>
      </c>
      <c r="P73" s="178" t="s">
        <v>22</v>
      </c>
      <c r="Q73" s="130">
        <v>0</v>
      </c>
      <c r="R73" s="179" t="s">
        <v>92</v>
      </c>
      <c r="S73" s="179" t="s">
        <v>168</v>
      </c>
      <c r="T73" s="174">
        <v>100</v>
      </c>
      <c r="U73" s="34" t="s">
        <v>411</v>
      </c>
      <c r="V73" s="178" t="s">
        <v>656</v>
      </c>
      <c r="W73" s="197" t="s">
        <v>349</v>
      </c>
      <c r="X73" s="34">
        <v>10</v>
      </c>
      <c r="Y73" s="99">
        <f t="shared" si="27"/>
        <v>254</v>
      </c>
      <c r="Z73" s="99"/>
      <c r="AA73" s="48" t="s">
        <v>702</v>
      </c>
      <c r="AB73" s="209">
        <v>120</v>
      </c>
      <c r="AC73" s="197">
        <f>AB73+X73</f>
        <v>130</v>
      </c>
      <c r="AD73" s="178">
        <v>15.92</v>
      </c>
      <c r="AE73" s="187">
        <f t="shared" si="1"/>
        <v>16.716000000000001</v>
      </c>
      <c r="AF73" s="200">
        <v>0</v>
      </c>
      <c r="AG73" s="187">
        <f t="shared" si="4"/>
        <v>16.716000000000001</v>
      </c>
      <c r="AH73" s="86">
        <f>AI73*AO17</f>
        <v>85292.239999999991</v>
      </c>
      <c r="AI73" s="187">
        <v>113.3</v>
      </c>
      <c r="AJ73" s="187"/>
      <c r="AK73" s="201">
        <f>400*AO73</f>
        <v>311520</v>
      </c>
      <c r="AL73" s="187">
        <f t="shared" si="5"/>
        <v>86.533333333333331</v>
      </c>
      <c r="AM73" s="185">
        <v>2.1</v>
      </c>
      <c r="AN73" s="178">
        <v>40</v>
      </c>
      <c r="AO73" s="187">
        <v>778.8</v>
      </c>
      <c r="AP73" s="178" t="s">
        <v>169</v>
      </c>
      <c r="AQ73" s="187" t="s">
        <v>25</v>
      </c>
      <c r="AR73" s="34" t="s">
        <v>25</v>
      </c>
      <c r="AS73" s="20">
        <f t="shared" si="6"/>
        <v>0</v>
      </c>
      <c r="AT73" s="17"/>
      <c r="AU73" s="17"/>
      <c r="AV73" s="23" t="s">
        <v>422</v>
      </c>
      <c r="AW73" s="178"/>
    </row>
    <row r="74" spans="1:49" ht="42" customHeight="1">
      <c r="B74" s="169"/>
      <c r="C74" s="157" t="s">
        <v>739</v>
      </c>
      <c r="D74" s="171"/>
      <c r="E74" s="159" t="s">
        <v>749</v>
      </c>
      <c r="F74" s="154" t="s">
        <v>161</v>
      </c>
      <c r="G74" s="102" t="s">
        <v>607</v>
      </c>
      <c r="H74" s="102" t="s">
        <v>606</v>
      </c>
      <c r="I74" s="102" t="s">
        <v>422</v>
      </c>
      <c r="J74" s="102">
        <v>58.1</v>
      </c>
      <c r="K74" s="102">
        <v>8.4</v>
      </c>
      <c r="L74" s="102">
        <v>30</v>
      </c>
      <c r="M74" s="97">
        <f t="shared" ref="M74:M80" si="37">L74-$N$1</f>
        <v>1</v>
      </c>
      <c r="N74" s="15"/>
      <c r="O74" s="178"/>
      <c r="P74" s="178"/>
      <c r="Q74" s="130"/>
      <c r="R74" s="179"/>
      <c r="S74" s="179"/>
      <c r="T74" s="175"/>
      <c r="U74" s="34"/>
      <c r="V74" s="178"/>
      <c r="W74" s="198"/>
      <c r="X74" s="34"/>
      <c r="Y74" s="99">
        <f t="shared" si="27"/>
        <v>0</v>
      </c>
      <c r="Z74" s="99"/>
      <c r="AA74" s="48"/>
      <c r="AB74" s="210"/>
      <c r="AC74" s="198"/>
      <c r="AD74" s="178"/>
      <c r="AE74" s="188"/>
      <c r="AF74" s="200"/>
      <c r="AG74" s="188">
        <f t="shared" si="4"/>
        <v>0</v>
      </c>
      <c r="AH74" s="86"/>
      <c r="AI74" s="188"/>
      <c r="AJ74" s="188"/>
      <c r="AK74" s="201"/>
      <c r="AL74" s="188">
        <f t="shared" si="5"/>
        <v>0</v>
      </c>
      <c r="AM74" s="185"/>
      <c r="AN74" s="178"/>
      <c r="AO74" s="188"/>
      <c r="AP74" s="178"/>
      <c r="AQ74" s="188" t="s">
        <v>25</v>
      </c>
      <c r="AR74" s="34"/>
      <c r="AS74" s="20">
        <f t="shared" ref="AS74:AS80" si="38">SQRT(AT74/3.14)*2</f>
        <v>0</v>
      </c>
      <c r="AT74" s="105"/>
      <c r="AU74" s="105"/>
      <c r="AV74" s="23" t="s">
        <v>422</v>
      </c>
      <c r="AW74" s="178"/>
    </row>
    <row r="75" spans="1:49" ht="38.25" customHeight="1">
      <c r="B75" s="169"/>
      <c r="C75" s="157" t="s">
        <v>740</v>
      </c>
      <c r="D75" s="171"/>
      <c r="E75" s="159" t="s">
        <v>748</v>
      </c>
      <c r="F75" s="154" t="s">
        <v>161</v>
      </c>
      <c r="G75" s="102" t="s">
        <v>608</v>
      </c>
      <c r="H75" s="102" t="s">
        <v>606</v>
      </c>
      <c r="I75" s="102" t="s">
        <v>422</v>
      </c>
      <c r="J75" s="102">
        <v>158.30000000000001</v>
      </c>
      <c r="K75" s="102">
        <v>-8.5</v>
      </c>
      <c r="L75" s="102">
        <v>30</v>
      </c>
      <c r="M75" s="97">
        <f t="shared" si="37"/>
        <v>1</v>
      </c>
      <c r="N75" s="15"/>
      <c r="O75" s="178"/>
      <c r="P75" s="178"/>
      <c r="Q75" s="130"/>
      <c r="R75" s="179"/>
      <c r="S75" s="179"/>
      <c r="T75" s="175"/>
      <c r="U75" s="34"/>
      <c r="V75" s="178"/>
      <c r="W75" s="198"/>
      <c r="X75" s="34"/>
      <c r="Y75" s="99">
        <f t="shared" si="27"/>
        <v>0</v>
      </c>
      <c r="Z75" s="99"/>
      <c r="AA75" s="48"/>
      <c r="AB75" s="210"/>
      <c r="AC75" s="198"/>
      <c r="AD75" s="178"/>
      <c r="AE75" s="188"/>
      <c r="AF75" s="200"/>
      <c r="AG75" s="188">
        <f t="shared" si="4"/>
        <v>0</v>
      </c>
      <c r="AH75" s="86"/>
      <c r="AI75" s="188"/>
      <c r="AJ75" s="188"/>
      <c r="AK75" s="201"/>
      <c r="AL75" s="188">
        <f t="shared" si="5"/>
        <v>0</v>
      </c>
      <c r="AM75" s="185"/>
      <c r="AN75" s="178"/>
      <c r="AO75" s="188"/>
      <c r="AP75" s="178"/>
      <c r="AQ75" s="188" t="s">
        <v>25</v>
      </c>
      <c r="AR75" s="34"/>
      <c r="AS75" s="20">
        <f t="shared" si="38"/>
        <v>0</v>
      </c>
      <c r="AT75" s="105"/>
      <c r="AU75" s="105"/>
      <c r="AV75" s="23" t="s">
        <v>422</v>
      </c>
      <c r="AW75" s="178"/>
    </row>
    <row r="76" spans="1:49" ht="177" customHeight="1">
      <c r="B76" s="169"/>
      <c r="C76" s="157" t="s">
        <v>741</v>
      </c>
      <c r="D76" s="171"/>
      <c r="E76" s="159" t="s">
        <v>747</v>
      </c>
      <c r="F76" s="154" t="s">
        <v>161</v>
      </c>
      <c r="G76" s="102" t="s">
        <v>609</v>
      </c>
      <c r="H76" s="102" t="s">
        <v>606</v>
      </c>
      <c r="I76" s="102" t="s">
        <v>422</v>
      </c>
      <c r="J76" s="102">
        <v>58.1</v>
      </c>
      <c r="K76" s="102">
        <v>-8.4</v>
      </c>
      <c r="L76" s="102">
        <v>30</v>
      </c>
      <c r="M76" s="97">
        <f t="shared" si="37"/>
        <v>1</v>
      </c>
      <c r="N76" s="15"/>
      <c r="O76" s="178"/>
      <c r="P76" s="178"/>
      <c r="Q76" s="130"/>
      <c r="R76" s="179"/>
      <c r="S76" s="179"/>
      <c r="T76" s="176"/>
      <c r="U76" s="34"/>
      <c r="V76" s="178"/>
      <c r="W76" s="199"/>
      <c r="X76" s="34"/>
      <c r="Y76" s="99">
        <f t="shared" si="27"/>
        <v>0</v>
      </c>
      <c r="Z76" s="99"/>
      <c r="AA76" s="48"/>
      <c r="AB76" s="211"/>
      <c r="AC76" s="199"/>
      <c r="AD76" s="178"/>
      <c r="AE76" s="189"/>
      <c r="AF76" s="200"/>
      <c r="AG76" s="189">
        <f t="shared" si="4"/>
        <v>0</v>
      </c>
      <c r="AH76" s="86"/>
      <c r="AI76" s="189"/>
      <c r="AJ76" s="189"/>
      <c r="AK76" s="201"/>
      <c r="AL76" s="189">
        <f t="shared" si="5"/>
        <v>0</v>
      </c>
      <c r="AM76" s="185"/>
      <c r="AN76" s="178"/>
      <c r="AO76" s="189"/>
      <c r="AP76" s="178"/>
      <c r="AQ76" s="189" t="s">
        <v>25</v>
      </c>
      <c r="AR76" s="34"/>
      <c r="AS76" s="20">
        <f t="shared" si="38"/>
        <v>0</v>
      </c>
      <c r="AT76" s="105"/>
      <c r="AU76" s="105"/>
      <c r="AV76" s="23" t="s">
        <v>422</v>
      </c>
      <c r="AW76" s="178"/>
    </row>
    <row r="77" spans="1:49" ht="78" customHeight="1">
      <c r="A77" s="8">
        <v>63</v>
      </c>
      <c r="B77" s="169" t="s">
        <v>408</v>
      </c>
      <c r="C77" s="157" t="s">
        <v>742</v>
      </c>
      <c r="D77" s="171" t="s">
        <v>170</v>
      </c>
      <c r="E77" s="160" t="s">
        <v>746</v>
      </c>
      <c r="F77" s="154" t="s">
        <v>161</v>
      </c>
      <c r="G77" s="102" t="s">
        <v>605</v>
      </c>
      <c r="H77" s="102" t="s">
        <v>606</v>
      </c>
      <c r="I77" s="102" t="s">
        <v>422</v>
      </c>
      <c r="J77" s="102">
        <v>158.30000000000001</v>
      </c>
      <c r="K77" s="102">
        <v>10.8</v>
      </c>
      <c r="L77" s="102">
        <v>30</v>
      </c>
      <c r="M77" s="97">
        <f t="shared" si="37"/>
        <v>1</v>
      </c>
      <c r="N77" s="15"/>
      <c r="O77" s="186" t="s">
        <v>429</v>
      </c>
      <c r="P77" s="186" t="s">
        <v>22</v>
      </c>
      <c r="Q77" s="131">
        <v>0</v>
      </c>
      <c r="R77" s="179" t="s">
        <v>92</v>
      </c>
      <c r="S77" s="179" t="s">
        <v>168</v>
      </c>
      <c r="T77" s="174">
        <f>365/20/365*100</f>
        <v>5</v>
      </c>
      <c r="U77" s="34" t="s">
        <v>417</v>
      </c>
      <c r="V77" s="178" t="s">
        <v>657</v>
      </c>
      <c r="W77" s="197" t="s">
        <v>226</v>
      </c>
      <c r="X77" s="34">
        <v>32</v>
      </c>
      <c r="Y77" s="99">
        <f t="shared" si="27"/>
        <v>812.8</v>
      </c>
      <c r="Z77" s="99"/>
      <c r="AA77" s="48" t="s">
        <v>554</v>
      </c>
      <c r="AB77" s="209">
        <v>120</v>
      </c>
      <c r="AC77" s="197">
        <f t="shared" ref="AC77" si="39">AB77+X77</f>
        <v>152</v>
      </c>
      <c r="AD77" s="186">
        <v>115.25</v>
      </c>
      <c r="AE77" s="187">
        <f t="shared" ref="AE77" si="40">AD77*$AZ$1</f>
        <v>121.0125</v>
      </c>
      <c r="AF77" s="193">
        <v>0</v>
      </c>
      <c r="AG77" s="187">
        <f t="shared" ref="AG77" si="41">AE77+AF77</f>
        <v>121.0125</v>
      </c>
      <c r="AH77" s="86">
        <f>AI77*AO21</f>
        <v>60816.47</v>
      </c>
      <c r="AI77" s="187">
        <v>78.099999999999994</v>
      </c>
      <c r="AJ77" s="194"/>
      <c r="AK77" s="184">
        <f>6000*AO77</f>
        <v>4672800</v>
      </c>
      <c r="AL77" s="190">
        <f t="shared" ref="AL77" si="42">AK77/3600</f>
        <v>1298</v>
      </c>
      <c r="AM77" s="202">
        <v>11.6</v>
      </c>
      <c r="AN77" s="186">
        <v>40</v>
      </c>
      <c r="AO77" s="190">
        <v>778.8</v>
      </c>
      <c r="AP77" s="186" t="s">
        <v>169</v>
      </c>
      <c r="AQ77" s="190" t="s">
        <v>25</v>
      </c>
      <c r="AR77" s="34" t="s">
        <v>25</v>
      </c>
      <c r="AS77" s="20">
        <f t="shared" si="38"/>
        <v>0</v>
      </c>
      <c r="AT77" s="105"/>
      <c r="AU77" s="105"/>
      <c r="AV77" s="23" t="s">
        <v>422</v>
      </c>
      <c r="AW77" s="186"/>
    </row>
    <row r="78" spans="1:49" ht="31.5" customHeight="1">
      <c r="B78" s="169"/>
      <c r="C78" s="52" t="s">
        <v>743</v>
      </c>
      <c r="D78" s="171"/>
      <c r="E78" s="160" t="s">
        <v>749</v>
      </c>
      <c r="F78" s="154" t="s">
        <v>161</v>
      </c>
      <c r="G78" s="102" t="s">
        <v>607</v>
      </c>
      <c r="H78" s="102" t="s">
        <v>606</v>
      </c>
      <c r="I78" s="102" t="s">
        <v>422</v>
      </c>
      <c r="J78" s="108">
        <v>58.2</v>
      </c>
      <c r="K78" s="108">
        <v>10.5</v>
      </c>
      <c r="L78" s="102">
        <v>30</v>
      </c>
      <c r="M78" s="97">
        <f t="shared" si="37"/>
        <v>1</v>
      </c>
      <c r="N78" s="11"/>
      <c r="O78" s="186"/>
      <c r="P78" s="186"/>
      <c r="Q78" s="131"/>
      <c r="R78" s="179"/>
      <c r="S78" s="179"/>
      <c r="T78" s="175"/>
      <c r="U78" s="34"/>
      <c r="V78" s="178"/>
      <c r="W78" s="198"/>
      <c r="X78" s="12"/>
      <c r="Y78" s="99">
        <f t="shared" si="27"/>
        <v>0</v>
      </c>
      <c r="Z78" s="99"/>
      <c r="AA78" s="52"/>
      <c r="AB78" s="210"/>
      <c r="AC78" s="198"/>
      <c r="AD78" s="186"/>
      <c r="AE78" s="188"/>
      <c r="AF78" s="193"/>
      <c r="AG78" s="188">
        <f t="shared" ref="AG78:AG80" si="43">AF78+AD78</f>
        <v>0</v>
      </c>
      <c r="AH78" s="87"/>
      <c r="AI78" s="188"/>
      <c r="AJ78" s="195"/>
      <c r="AK78" s="184"/>
      <c r="AL78" s="191"/>
      <c r="AM78" s="202"/>
      <c r="AN78" s="186"/>
      <c r="AO78" s="191"/>
      <c r="AP78" s="186"/>
      <c r="AQ78" s="191" t="s">
        <v>25</v>
      </c>
      <c r="AR78" s="35"/>
      <c r="AS78" s="20">
        <f t="shared" si="38"/>
        <v>0</v>
      </c>
      <c r="AT78" s="105"/>
      <c r="AU78" s="105"/>
      <c r="AV78" s="23" t="s">
        <v>422</v>
      </c>
      <c r="AW78" s="186"/>
    </row>
    <row r="79" spans="1:49" ht="28.5" customHeight="1">
      <c r="B79" s="169"/>
      <c r="C79" s="52" t="s">
        <v>744</v>
      </c>
      <c r="D79" s="171"/>
      <c r="E79" s="160" t="s">
        <v>748</v>
      </c>
      <c r="F79" s="154" t="s">
        <v>161</v>
      </c>
      <c r="G79" s="102" t="s">
        <v>608</v>
      </c>
      <c r="H79" s="102" t="s">
        <v>606</v>
      </c>
      <c r="I79" s="102" t="s">
        <v>422</v>
      </c>
      <c r="J79" s="102">
        <v>158.30000000000001</v>
      </c>
      <c r="K79" s="102">
        <v>-10.8</v>
      </c>
      <c r="L79" s="102">
        <v>30</v>
      </c>
      <c r="M79" s="97">
        <f t="shared" si="37"/>
        <v>1</v>
      </c>
      <c r="N79" s="11"/>
      <c r="O79" s="186"/>
      <c r="P79" s="186"/>
      <c r="Q79" s="131"/>
      <c r="R79" s="179"/>
      <c r="S79" s="179"/>
      <c r="T79" s="175"/>
      <c r="U79" s="34"/>
      <c r="V79" s="178"/>
      <c r="W79" s="198"/>
      <c r="X79" s="12"/>
      <c r="Y79" s="99">
        <f t="shared" si="27"/>
        <v>0</v>
      </c>
      <c r="Z79" s="99"/>
      <c r="AA79" s="52"/>
      <c r="AB79" s="210"/>
      <c r="AC79" s="198"/>
      <c r="AD79" s="186"/>
      <c r="AE79" s="188"/>
      <c r="AF79" s="193"/>
      <c r="AG79" s="188">
        <f t="shared" si="43"/>
        <v>0</v>
      </c>
      <c r="AH79" s="87"/>
      <c r="AI79" s="188"/>
      <c r="AJ79" s="195"/>
      <c r="AK79" s="184"/>
      <c r="AL79" s="191"/>
      <c r="AM79" s="202"/>
      <c r="AN79" s="186"/>
      <c r="AO79" s="191"/>
      <c r="AP79" s="186"/>
      <c r="AQ79" s="191" t="s">
        <v>25</v>
      </c>
      <c r="AR79" s="35"/>
      <c r="AS79" s="20">
        <f t="shared" si="38"/>
        <v>0</v>
      </c>
      <c r="AT79" s="105"/>
      <c r="AU79" s="105"/>
      <c r="AV79" s="23" t="s">
        <v>422</v>
      </c>
      <c r="AW79" s="186"/>
    </row>
    <row r="80" spans="1:49" ht="75.75" customHeight="1">
      <c r="B80" s="169"/>
      <c r="C80" s="52" t="s">
        <v>745</v>
      </c>
      <c r="D80" s="171"/>
      <c r="E80" s="160" t="s">
        <v>747</v>
      </c>
      <c r="F80" s="154" t="s">
        <v>161</v>
      </c>
      <c r="G80" s="102" t="s">
        <v>609</v>
      </c>
      <c r="H80" s="102" t="s">
        <v>606</v>
      </c>
      <c r="I80" s="102" t="s">
        <v>422</v>
      </c>
      <c r="J80" s="108">
        <v>58.2</v>
      </c>
      <c r="K80" s="108">
        <v>-10.5</v>
      </c>
      <c r="L80" s="102">
        <v>30</v>
      </c>
      <c r="M80" s="97">
        <f t="shared" si="37"/>
        <v>1</v>
      </c>
      <c r="N80" s="11"/>
      <c r="O80" s="186"/>
      <c r="P80" s="186"/>
      <c r="Q80" s="131"/>
      <c r="R80" s="179"/>
      <c r="S80" s="179"/>
      <c r="T80" s="176"/>
      <c r="U80" s="34"/>
      <c r="V80" s="178"/>
      <c r="W80" s="199"/>
      <c r="X80" s="12"/>
      <c r="Y80" s="99">
        <f t="shared" si="27"/>
        <v>0</v>
      </c>
      <c r="Z80" s="99"/>
      <c r="AA80" s="52"/>
      <c r="AB80" s="211"/>
      <c r="AC80" s="199"/>
      <c r="AD80" s="186"/>
      <c r="AE80" s="189"/>
      <c r="AF80" s="193"/>
      <c r="AG80" s="189">
        <f t="shared" si="43"/>
        <v>0</v>
      </c>
      <c r="AH80" s="87"/>
      <c r="AI80" s="189"/>
      <c r="AJ80" s="196"/>
      <c r="AK80" s="184"/>
      <c r="AL80" s="192"/>
      <c r="AM80" s="202"/>
      <c r="AN80" s="186"/>
      <c r="AO80" s="192"/>
      <c r="AP80" s="186"/>
      <c r="AQ80" s="192" t="s">
        <v>25</v>
      </c>
      <c r="AR80" s="35"/>
      <c r="AS80" s="20">
        <f t="shared" si="38"/>
        <v>0</v>
      </c>
      <c r="AT80" s="105"/>
      <c r="AU80" s="105"/>
      <c r="AV80" s="23" t="s">
        <v>422</v>
      </c>
      <c r="AW80" s="186"/>
    </row>
  </sheetData>
  <autoFilter ref="A2:BA80" xr:uid="{00000000-0009-0000-0000-000000000000}"/>
  <mergeCells count="193">
    <mergeCell ref="W77:W80"/>
    <mergeCell ref="AB73:AB76"/>
    <mergeCell ref="AB77:AB80"/>
    <mergeCell ref="AC73:AC76"/>
    <mergeCell ref="AC77:AC80"/>
    <mergeCell ref="AE73:AE76"/>
    <mergeCell ref="AE77:AE80"/>
    <mergeCell ref="AD73:AD76"/>
    <mergeCell ref="AO47:AO49"/>
    <mergeCell ref="W73:W76"/>
    <mergeCell ref="AQ47:AQ49"/>
    <mergeCell ref="AS47:AS49"/>
    <mergeCell ref="AV47:AV49"/>
    <mergeCell ref="AG47:AG49"/>
    <mergeCell ref="AI47:AI49"/>
    <mergeCell ref="AK47:AK49"/>
    <mergeCell ref="AL47:AL49"/>
    <mergeCell ref="AM47:AM49"/>
    <mergeCell ref="AJ47:AJ49"/>
    <mergeCell ref="AN47:AN49"/>
    <mergeCell ref="A38:A40"/>
    <mergeCell ref="A24:A25"/>
    <mergeCell ref="A30:A32"/>
    <mergeCell ref="A47:A48"/>
    <mergeCell ref="O30:O32"/>
    <mergeCell ref="P30:P32"/>
    <mergeCell ref="B47:B49"/>
    <mergeCell ref="D47:D49"/>
    <mergeCell ref="O47:O49"/>
    <mergeCell ref="P47:P49"/>
    <mergeCell ref="G38:G40"/>
    <mergeCell ref="G30:G31"/>
    <mergeCell ref="O24:O25"/>
    <mergeCell ref="P24:P25"/>
    <mergeCell ref="B36:B37"/>
    <mergeCell ref="B43:B44"/>
    <mergeCell ref="B45:B46"/>
    <mergeCell ref="V24:V25"/>
    <mergeCell ref="W24:W25"/>
    <mergeCell ref="AE24:AE25"/>
    <mergeCell ref="V27:V28"/>
    <mergeCell ref="R30:R32"/>
    <mergeCell ref="T30:T32"/>
    <mergeCell ref="V30:V32"/>
    <mergeCell ref="W30:W32"/>
    <mergeCell ref="AE30:AE32"/>
    <mergeCell ref="W27:W28"/>
    <mergeCell ref="AB27:AB28"/>
    <mergeCell ref="AC27:AC28"/>
    <mergeCell ref="T24:T25"/>
    <mergeCell ref="AB30:AB32"/>
    <mergeCell ref="AC30:AC32"/>
    <mergeCell ref="AM38:AM40"/>
    <mergeCell ref="T47:T49"/>
    <mergeCell ref="V47:V49"/>
    <mergeCell ref="W47:W49"/>
    <mergeCell ref="AE47:AE49"/>
    <mergeCell ref="AF47:AF49"/>
    <mergeCell ref="R47:R49"/>
    <mergeCell ref="AB47:AB49"/>
    <mergeCell ref="AC47:AC49"/>
    <mergeCell ref="AI38:AI40"/>
    <mergeCell ref="AK38:AK40"/>
    <mergeCell ref="AL38:AL40"/>
    <mergeCell ref="R38:R40"/>
    <mergeCell ref="W38:W40"/>
    <mergeCell ref="V38:V40"/>
    <mergeCell ref="AJ30:AJ32"/>
    <mergeCell ref="AB38:AB40"/>
    <mergeCell ref="AC38:AC40"/>
    <mergeCell ref="AJ38:AJ40"/>
    <mergeCell ref="AF30:AF32"/>
    <mergeCell ref="AG30:AG32"/>
    <mergeCell ref="AI30:AI32"/>
    <mergeCell ref="AF38:AF40"/>
    <mergeCell ref="AG38:AG40"/>
    <mergeCell ref="AE38:AE40"/>
    <mergeCell ref="AQ27:AQ28"/>
    <mergeCell ref="AE27:AE28"/>
    <mergeCell ref="AF27:AF28"/>
    <mergeCell ref="AG27:AG28"/>
    <mergeCell ref="AI27:AI28"/>
    <mergeCell ref="AK27:AK28"/>
    <mergeCell ref="AV24:AV25"/>
    <mergeCell ref="AM24:AM25"/>
    <mergeCell ref="AN24:AN25"/>
    <mergeCell ref="AO24:AO25"/>
    <mergeCell ref="AP24:AP25"/>
    <mergeCell ref="AQ24:AQ25"/>
    <mergeCell ref="AF24:AF25"/>
    <mergeCell ref="AG24:AG25"/>
    <mergeCell ref="AI24:AI25"/>
    <mergeCell ref="AK24:AK25"/>
    <mergeCell ref="AL24:AL25"/>
    <mergeCell ref="AS24:AS25"/>
    <mergeCell ref="AS27:AS28"/>
    <mergeCell ref="AL27:AL28"/>
    <mergeCell ref="AM27:AM28"/>
    <mergeCell ref="AN27:AN28"/>
    <mergeCell ref="AJ27:AJ28"/>
    <mergeCell ref="D3:D6"/>
    <mergeCell ref="D9:D10"/>
    <mergeCell ref="D41:D42"/>
    <mergeCell ref="D36:D37"/>
    <mergeCell ref="D30:D34"/>
    <mergeCell ref="D24:D26"/>
    <mergeCell ref="D27:D29"/>
    <mergeCell ref="D14:D16"/>
    <mergeCell ref="D19:D20"/>
    <mergeCell ref="D11:D13"/>
    <mergeCell ref="D17:D18"/>
    <mergeCell ref="D21:D22"/>
    <mergeCell ref="D38:D40"/>
    <mergeCell ref="AO38:AO40"/>
    <mergeCell ref="AF73:AF76"/>
    <mergeCell ref="AK73:AK76"/>
    <mergeCell ref="AW77:AW80"/>
    <mergeCell ref="AM77:AM80"/>
    <mergeCell ref="AN77:AN80"/>
    <mergeCell ref="AP77:AP80"/>
    <mergeCell ref="AV27:AV28"/>
    <mergeCell ref="AL30:AL32"/>
    <mergeCell ref="AM30:AM32"/>
    <mergeCell ref="AN30:AN32"/>
    <mergeCell ref="AO30:AO32"/>
    <mergeCell ref="AQ38:AQ40"/>
    <mergeCell ref="AS38:AS40"/>
    <mergeCell ref="AV38:AV40"/>
    <mergeCell ref="AQ30:AQ32"/>
    <mergeCell ref="AS30:AS32"/>
    <mergeCell ref="AV30:AV32"/>
    <mergeCell ref="AG73:AG76"/>
    <mergeCell ref="AI73:AI76"/>
    <mergeCell ref="AJ73:AJ76"/>
    <mergeCell ref="AG77:AG80"/>
    <mergeCell ref="AI77:AI80"/>
    <mergeCell ref="AO27:AO28"/>
    <mergeCell ref="AK30:AK32"/>
    <mergeCell ref="AK77:AK80"/>
    <mergeCell ref="AW73:AW76"/>
    <mergeCell ref="R77:R80"/>
    <mergeCell ref="S77:S80"/>
    <mergeCell ref="V77:V80"/>
    <mergeCell ref="AM73:AM76"/>
    <mergeCell ref="O77:O80"/>
    <mergeCell ref="P77:P80"/>
    <mergeCell ref="AL73:AL76"/>
    <mergeCell ref="AO73:AO76"/>
    <mergeCell ref="AQ73:AQ76"/>
    <mergeCell ref="AL77:AL80"/>
    <mergeCell ref="AO77:AO80"/>
    <mergeCell ref="AQ77:AQ80"/>
    <mergeCell ref="AN73:AN76"/>
    <mergeCell ref="AP73:AP76"/>
    <mergeCell ref="S73:S76"/>
    <mergeCell ref="AD77:AD80"/>
    <mergeCell ref="AF77:AF80"/>
    <mergeCell ref="AJ77:AJ80"/>
    <mergeCell ref="V73:V76"/>
    <mergeCell ref="T73:T76"/>
    <mergeCell ref="AN38:AN40"/>
    <mergeCell ref="B9:B10"/>
    <mergeCell ref="B11:B13"/>
    <mergeCell ref="B14:B16"/>
    <mergeCell ref="B17:B18"/>
    <mergeCell ref="B19:B20"/>
    <mergeCell ref="B21:B22"/>
    <mergeCell ref="B24:B26"/>
    <mergeCell ref="B27:B29"/>
    <mergeCell ref="B30:B34"/>
    <mergeCell ref="B69:B70"/>
    <mergeCell ref="B41:B42"/>
    <mergeCell ref="R27:R28"/>
    <mergeCell ref="T27:T28"/>
    <mergeCell ref="R24:R25"/>
    <mergeCell ref="B77:B80"/>
    <mergeCell ref="B38:B40"/>
    <mergeCell ref="B73:B76"/>
    <mergeCell ref="D69:D70"/>
    <mergeCell ref="D73:D76"/>
    <mergeCell ref="B52:B53"/>
    <mergeCell ref="B54:B55"/>
    <mergeCell ref="B58:B59"/>
    <mergeCell ref="D77:D80"/>
    <mergeCell ref="T77:T80"/>
    <mergeCell ref="B62:B65"/>
    <mergeCell ref="D54:D55"/>
    <mergeCell ref="D52:D53"/>
    <mergeCell ref="D43:D44"/>
    <mergeCell ref="D45:D46"/>
    <mergeCell ref="O73:O76"/>
    <mergeCell ref="P73:P76"/>
    <mergeCell ref="R73:R76"/>
  </mergeCells>
  <phoneticPr fontId="16" type="noConversion"/>
  <pageMargins left="0.25" right="0.25" top="0.75" bottom="0.75" header="0.3" footer="0.3"/>
  <pageSetup paperSize="8" scale="43" fitToHeight="0" orientation="landscape" r:id="rId1"/>
  <headerFooter>
    <oddHeader>&amp;C&amp;20Isolatable section summary</oddHeader>
    <oddFooter>Page &amp;P of &amp;N</oddFooter>
  </headerFooter>
  <rowBreaks count="2" manualBreakCount="2">
    <brk id="42" min="1" max="52" man="1"/>
    <brk id="59" min="1" max="5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28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9" sqref="H39"/>
    </sheetView>
  </sheetViews>
  <sheetFormatPr defaultRowHeight="15"/>
  <cols>
    <col min="1" max="1" width="14" customWidth="1"/>
    <col min="2" max="2" width="12.42578125" customWidth="1"/>
    <col min="3" max="5" width="9.42578125" customWidth="1"/>
    <col min="33" max="33" width="9.7109375" customWidth="1"/>
  </cols>
  <sheetData>
    <row r="1" spans="1:34" ht="16.5">
      <c r="A1" s="220" t="s">
        <v>703</v>
      </c>
      <c r="B1" s="230" t="s">
        <v>723</v>
      </c>
      <c r="C1" s="220" t="s">
        <v>708</v>
      </c>
      <c r="D1" s="227" t="s">
        <v>724</v>
      </c>
      <c r="E1" s="229"/>
      <c r="F1" s="41" t="s">
        <v>704</v>
      </c>
      <c r="G1" s="220" t="s">
        <v>709</v>
      </c>
      <c r="H1" s="220"/>
      <c r="I1" s="220"/>
      <c r="J1" s="227" t="s">
        <v>711</v>
      </c>
      <c r="K1" s="228"/>
      <c r="L1" s="228"/>
      <c r="M1" s="229"/>
      <c r="N1" s="220" t="s">
        <v>712</v>
      </c>
      <c r="O1" s="220"/>
      <c r="P1" s="220"/>
      <c r="Q1" s="220" t="s">
        <v>713</v>
      </c>
      <c r="R1" s="220"/>
      <c r="S1" s="220"/>
      <c r="T1" s="220" t="s">
        <v>714</v>
      </c>
      <c r="U1" s="220"/>
      <c r="V1" s="220"/>
      <c r="W1" s="220" t="s">
        <v>715</v>
      </c>
      <c r="X1" s="220"/>
      <c r="Y1" s="220"/>
      <c r="Z1" s="220"/>
      <c r="AA1" s="220" t="s">
        <v>717</v>
      </c>
      <c r="AB1" s="220"/>
      <c r="AC1" s="220"/>
      <c r="AD1" s="220" t="s">
        <v>718</v>
      </c>
      <c r="AE1" s="220"/>
      <c r="AF1" s="220" t="s">
        <v>707</v>
      </c>
      <c r="AG1" s="220" t="s">
        <v>725</v>
      </c>
      <c r="AH1" s="220" t="s">
        <v>726</v>
      </c>
    </row>
    <row r="2" spans="1:34" ht="16.5">
      <c r="A2" s="220"/>
      <c r="B2" s="231"/>
      <c r="C2" s="220"/>
      <c r="D2" s="142" t="s">
        <v>705</v>
      </c>
      <c r="E2" s="142" t="s">
        <v>706</v>
      </c>
      <c r="F2" s="41" t="s">
        <v>705</v>
      </c>
      <c r="G2" s="41" t="s">
        <v>705</v>
      </c>
      <c r="H2" s="41" t="s">
        <v>706</v>
      </c>
      <c r="I2" s="41" t="s">
        <v>710</v>
      </c>
      <c r="J2" s="41" t="s">
        <v>705</v>
      </c>
      <c r="K2" s="41" t="s">
        <v>706</v>
      </c>
      <c r="L2" s="41" t="s">
        <v>710</v>
      </c>
      <c r="M2" s="142" t="s">
        <v>729</v>
      </c>
      <c r="N2" s="41" t="s">
        <v>705</v>
      </c>
      <c r="O2" s="41" t="s">
        <v>706</v>
      </c>
      <c r="P2" s="41" t="s">
        <v>710</v>
      </c>
      <c r="Q2" s="41" t="s">
        <v>705</v>
      </c>
      <c r="R2" s="41" t="s">
        <v>706</v>
      </c>
      <c r="S2" s="41" t="s">
        <v>710</v>
      </c>
      <c r="T2" s="41" t="s">
        <v>705</v>
      </c>
      <c r="U2" s="41" t="s">
        <v>706</v>
      </c>
      <c r="V2" s="41" t="s">
        <v>710</v>
      </c>
      <c r="W2" s="41" t="s">
        <v>705</v>
      </c>
      <c r="X2" s="41" t="s">
        <v>706</v>
      </c>
      <c r="Y2" s="41" t="s">
        <v>710</v>
      </c>
      <c r="Z2" s="41" t="s">
        <v>716</v>
      </c>
      <c r="AA2" s="41" t="s">
        <v>705</v>
      </c>
      <c r="AB2" s="41" t="s">
        <v>706</v>
      </c>
      <c r="AC2" s="41" t="s">
        <v>710</v>
      </c>
      <c r="AD2" s="41" t="s">
        <v>705</v>
      </c>
      <c r="AE2" s="41" t="s">
        <v>719</v>
      </c>
      <c r="AF2" s="220"/>
      <c r="AG2" s="220"/>
      <c r="AH2" s="220"/>
    </row>
    <row r="3" spans="1:34" ht="16.5">
      <c r="A3" s="224" t="s">
        <v>358</v>
      </c>
      <c r="B3" s="141" t="s">
        <v>720</v>
      </c>
      <c r="C3" s="140">
        <f>SUM(D3:AH3)</f>
        <v>1</v>
      </c>
      <c r="D3" s="140"/>
      <c r="E3" s="140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>
        <v>1</v>
      </c>
    </row>
    <row r="4" spans="1:34" ht="16.5">
      <c r="A4" s="225"/>
      <c r="B4" s="141" t="s">
        <v>721</v>
      </c>
      <c r="C4" s="140">
        <f t="shared" ref="C4:C67" si="0">SUM(D4:AH4)</f>
        <v>40</v>
      </c>
      <c r="D4" s="140"/>
      <c r="E4" s="140"/>
      <c r="F4" s="143"/>
      <c r="G4" s="143"/>
      <c r="H4" s="143"/>
      <c r="I4" s="143"/>
      <c r="J4" s="143"/>
      <c r="K4" s="143"/>
      <c r="L4" s="143"/>
      <c r="M4" s="143"/>
      <c r="N4" s="143">
        <f>4</f>
        <v>4</v>
      </c>
      <c r="O4" s="143">
        <f>2+13</f>
        <v>15</v>
      </c>
      <c r="P4" s="143">
        <f>14</f>
        <v>14</v>
      </c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>
        <f>3</f>
        <v>3</v>
      </c>
      <c r="AB4" s="143"/>
      <c r="AC4" s="143"/>
      <c r="AD4" s="143"/>
      <c r="AE4" s="143"/>
      <c r="AF4" s="143"/>
      <c r="AG4" s="143"/>
      <c r="AH4" s="143">
        <v>4</v>
      </c>
    </row>
    <row r="5" spans="1:34" ht="16.5">
      <c r="A5" s="226"/>
      <c r="B5" s="141" t="s">
        <v>722</v>
      </c>
      <c r="C5" s="140">
        <f t="shared" si="0"/>
        <v>62</v>
      </c>
      <c r="D5" s="140"/>
      <c r="E5" s="140"/>
      <c r="F5" s="143"/>
      <c r="G5" s="143"/>
      <c r="H5" s="143"/>
      <c r="I5" s="143"/>
      <c r="J5" s="143"/>
      <c r="K5" s="143"/>
      <c r="L5" s="143"/>
      <c r="M5" s="143"/>
      <c r="N5" s="143">
        <f>8</f>
        <v>8</v>
      </c>
      <c r="O5" s="143">
        <f>2+22</f>
        <v>24</v>
      </c>
      <c r="P5" s="143">
        <f>15+2</f>
        <v>17</v>
      </c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>
        <f>4</f>
        <v>4</v>
      </c>
      <c r="AB5" s="143"/>
      <c r="AC5" s="143"/>
      <c r="AD5" s="143"/>
      <c r="AE5" s="143"/>
      <c r="AF5" s="143"/>
      <c r="AG5" s="143"/>
      <c r="AH5" s="143">
        <v>9</v>
      </c>
    </row>
    <row r="6" spans="1:34" ht="16.5">
      <c r="A6" s="221" t="s">
        <v>614</v>
      </c>
      <c r="B6" s="144" t="s">
        <v>720</v>
      </c>
      <c r="C6" s="144">
        <f t="shared" si="0"/>
        <v>1</v>
      </c>
      <c r="D6" s="144"/>
      <c r="E6" s="144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>
        <v>1</v>
      </c>
    </row>
    <row r="7" spans="1:34" ht="16.5">
      <c r="A7" s="222"/>
      <c r="B7" s="144" t="s">
        <v>721</v>
      </c>
      <c r="C7" s="144">
        <f t="shared" si="0"/>
        <v>37</v>
      </c>
      <c r="D7" s="144"/>
      <c r="E7" s="144"/>
      <c r="F7" s="145"/>
      <c r="G7" s="145"/>
      <c r="H7" s="145"/>
      <c r="I7" s="145"/>
      <c r="J7" s="145"/>
      <c r="K7" s="145"/>
      <c r="L7" s="145"/>
      <c r="M7" s="145"/>
      <c r="N7" s="145"/>
      <c r="O7" s="145">
        <f>13+2</f>
        <v>15</v>
      </c>
      <c r="P7" s="145">
        <v>14</v>
      </c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>
        <f>4</f>
        <v>4</v>
      </c>
      <c r="AC7" s="145"/>
      <c r="AD7" s="145"/>
      <c r="AE7" s="145"/>
      <c r="AF7" s="145"/>
      <c r="AG7" s="145"/>
      <c r="AH7" s="145">
        <f>4</f>
        <v>4</v>
      </c>
    </row>
    <row r="8" spans="1:34" ht="16.5">
      <c r="A8" s="223"/>
      <c r="B8" s="144" t="s">
        <v>722</v>
      </c>
      <c r="C8" s="144">
        <f>SUM(D8:AH8)</f>
        <v>59</v>
      </c>
      <c r="D8" s="144"/>
      <c r="E8" s="144"/>
      <c r="F8" s="145"/>
      <c r="G8" s="145"/>
      <c r="H8" s="145"/>
      <c r="I8" s="145"/>
      <c r="J8" s="145"/>
      <c r="K8" s="145"/>
      <c r="L8" s="145"/>
      <c r="M8" s="145"/>
      <c r="N8" s="145"/>
      <c r="O8" s="145">
        <f>23+2</f>
        <v>25</v>
      </c>
      <c r="P8" s="145">
        <v>19</v>
      </c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>
        <f>6</f>
        <v>6</v>
      </c>
      <c r="AC8" s="145"/>
      <c r="AD8" s="145"/>
      <c r="AE8" s="145"/>
      <c r="AF8" s="145"/>
      <c r="AG8" s="145"/>
      <c r="AH8" s="145">
        <f>9</f>
        <v>9</v>
      </c>
    </row>
    <row r="9" spans="1:34" ht="16.5">
      <c r="A9" s="224" t="s">
        <v>615</v>
      </c>
      <c r="B9" s="141" t="s">
        <v>720</v>
      </c>
      <c r="C9" s="140">
        <f t="shared" si="0"/>
        <v>1</v>
      </c>
      <c r="D9" s="140"/>
      <c r="E9" s="140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>
        <v>1</v>
      </c>
    </row>
    <row r="10" spans="1:34" ht="16.5">
      <c r="A10" s="225"/>
      <c r="B10" s="141" t="s">
        <v>721</v>
      </c>
      <c r="C10" s="140">
        <f t="shared" si="0"/>
        <v>38</v>
      </c>
      <c r="D10" s="140"/>
      <c r="E10" s="140"/>
      <c r="F10" s="143"/>
      <c r="G10" s="143"/>
      <c r="H10" s="143"/>
      <c r="I10" s="143"/>
      <c r="J10" s="143"/>
      <c r="K10" s="143"/>
      <c r="L10" s="143"/>
      <c r="M10" s="143"/>
      <c r="N10" s="143"/>
      <c r="O10" s="143">
        <f>2+14</f>
        <v>16</v>
      </c>
      <c r="P10" s="143">
        <f>14</f>
        <v>14</v>
      </c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>
        <f>4</f>
        <v>4</v>
      </c>
      <c r="AB10" s="143"/>
      <c r="AC10" s="143"/>
      <c r="AD10" s="143"/>
      <c r="AE10" s="143"/>
      <c r="AF10" s="143"/>
      <c r="AG10" s="143"/>
      <c r="AH10" s="143">
        <v>4</v>
      </c>
    </row>
    <row r="11" spans="1:34" ht="16.5">
      <c r="A11" s="226"/>
      <c r="B11" s="141" t="s">
        <v>722</v>
      </c>
      <c r="C11" s="140">
        <f t="shared" si="0"/>
        <v>60</v>
      </c>
      <c r="D11" s="140"/>
      <c r="E11" s="140"/>
      <c r="F11" s="143"/>
      <c r="G11" s="143"/>
      <c r="H11" s="143"/>
      <c r="I11" s="143"/>
      <c r="J11" s="143"/>
      <c r="K11" s="143"/>
      <c r="L11" s="143"/>
      <c r="M11" s="143"/>
      <c r="N11" s="143"/>
      <c r="O11" s="143">
        <f>2+24</f>
        <v>26</v>
      </c>
      <c r="P11" s="143">
        <f>19</f>
        <v>19</v>
      </c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>
        <f>6</f>
        <v>6</v>
      </c>
      <c r="AB11" s="143"/>
      <c r="AC11" s="143"/>
      <c r="AD11" s="143"/>
      <c r="AE11" s="143"/>
      <c r="AF11" s="143"/>
      <c r="AG11" s="143"/>
      <c r="AH11" s="143">
        <v>9</v>
      </c>
    </row>
    <row r="12" spans="1:34" ht="16.5">
      <c r="A12" s="221" t="s">
        <v>616</v>
      </c>
      <c r="B12" s="144" t="s">
        <v>720</v>
      </c>
      <c r="C12" s="144">
        <f t="shared" si="0"/>
        <v>1</v>
      </c>
      <c r="D12" s="144"/>
      <c r="E12" s="144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>
        <v>1</v>
      </c>
    </row>
    <row r="13" spans="1:34" ht="16.5">
      <c r="A13" s="222"/>
      <c r="B13" s="144" t="s">
        <v>721</v>
      </c>
      <c r="C13" s="144">
        <f t="shared" si="0"/>
        <v>44</v>
      </c>
      <c r="D13" s="144"/>
      <c r="E13" s="144"/>
      <c r="F13" s="145"/>
      <c r="G13" s="145"/>
      <c r="H13" s="145"/>
      <c r="I13" s="145"/>
      <c r="J13" s="145"/>
      <c r="K13" s="145"/>
      <c r="L13" s="145"/>
      <c r="M13" s="145"/>
      <c r="N13" s="145">
        <f>3+1</f>
        <v>4</v>
      </c>
      <c r="O13" s="145">
        <f>4+2+13</f>
        <v>19</v>
      </c>
      <c r="P13" s="145">
        <f>13</f>
        <v>13</v>
      </c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>
        <f>4</f>
        <v>4</v>
      </c>
      <c r="AB13" s="145"/>
      <c r="AC13" s="145"/>
      <c r="AD13" s="145"/>
      <c r="AE13" s="145"/>
      <c r="AF13" s="145"/>
      <c r="AG13" s="145"/>
      <c r="AH13" s="145">
        <f>4</f>
        <v>4</v>
      </c>
    </row>
    <row r="14" spans="1:34" ht="16.5">
      <c r="A14" s="223"/>
      <c r="B14" s="144" t="s">
        <v>722</v>
      </c>
      <c r="C14" s="144">
        <f t="shared" si="0"/>
        <v>70</v>
      </c>
      <c r="D14" s="144"/>
      <c r="E14" s="144"/>
      <c r="F14" s="145"/>
      <c r="G14" s="145"/>
      <c r="H14" s="145"/>
      <c r="I14" s="145"/>
      <c r="J14" s="145"/>
      <c r="K14" s="145"/>
      <c r="L14" s="145"/>
      <c r="M14" s="145"/>
      <c r="N14" s="145">
        <f>5+1</f>
        <v>6</v>
      </c>
      <c r="O14" s="145">
        <f>6+2+23</f>
        <v>31</v>
      </c>
      <c r="P14" s="145">
        <f>18</f>
        <v>18</v>
      </c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>
        <f>6</f>
        <v>6</v>
      </c>
      <c r="AB14" s="145"/>
      <c r="AC14" s="145"/>
      <c r="AD14" s="145"/>
      <c r="AE14" s="145"/>
      <c r="AF14" s="145"/>
      <c r="AG14" s="145"/>
      <c r="AH14" s="145">
        <f>9</f>
        <v>9</v>
      </c>
    </row>
    <row r="15" spans="1:34" ht="16.5">
      <c r="A15" s="224" t="s">
        <v>359</v>
      </c>
      <c r="B15" s="141" t="s">
        <v>720</v>
      </c>
      <c r="C15" s="140">
        <f t="shared" si="0"/>
        <v>3</v>
      </c>
      <c r="D15" s="140"/>
      <c r="E15" s="140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>
        <v>3</v>
      </c>
      <c r="AG15" s="143"/>
      <c r="AH15" s="143"/>
    </row>
    <row r="16" spans="1:34" ht="16.5">
      <c r="A16" s="225"/>
      <c r="B16" s="141" t="s">
        <v>721</v>
      </c>
      <c r="C16" s="140">
        <f t="shared" si="0"/>
        <v>84</v>
      </c>
      <c r="D16" s="140"/>
      <c r="E16" s="140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>
        <f>5+16+8</f>
        <v>29</v>
      </c>
      <c r="AB16" s="143"/>
      <c r="AC16" s="143"/>
      <c r="AD16" s="143"/>
      <c r="AE16" s="143">
        <f>5+4+4</f>
        <v>13</v>
      </c>
      <c r="AF16" s="143">
        <f>14+26+2</f>
        <v>42</v>
      </c>
      <c r="AG16" s="143"/>
      <c r="AH16" s="143"/>
    </row>
    <row r="17" spans="1:34" ht="16.5">
      <c r="A17" s="226"/>
      <c r="B17" s="141" t="s">
        <v>722</v>
      </c>
      <c r="C17" s="140">
        <f t="shared" si="0"/>
        <v>163</v>
      </c>
      <c r="D17" s="140"/>
      <c r="E17" s="140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>
        <f>7+28+14</f>
        <v>49</v>
      </c>
      <c r="AB17" s="143"/>
      <c r="AC17" s="143"/>
      <c r="AD17" s="143"/>
      <c r="AE17" s="143">
        <f>6+5+5</f>
        <v>16</v>
      </c>
      <c r="AF17" s="143">
        <f>26+70+2</f>
        <v>98</v>
      </c>
      <c r="AG17" s="143"/>
      <c r="AH17" s="143"/>
    </row>
    <row r="18" spans="1:34" ht="16.5">
      <c r="A18" s="221" t="s">
        <v>360</v>
      </c>
      <c r="B18" s="144" t="s">
        <v>720</v>
      </c>
      <c r="C18" s="144">
        <f t="shared" si="0"/>
        <v>0</v>
      </c>
      <c r="D18" s="144"/>
      <c r="E18" s="144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</row>
    <row r="19" spans="1:34" ht="16.5">
      <c r="A19" s="222"/>
      <c r="B19" s="144" t="s">
        <v>721</v>
      </c>
      <c r="C19" s="144">
        <f t="shared" si="0"/>
        <v>20</v>
      </c>
      <c r="D19" s="144"/>
      <c r="E19" s="144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>
        <f>10+2+8</f>
        <v>20</v>
      </c>
      <c r="AG19" s="145"/>
      <c r="AH19" s="145"/>
    </row>
    <row r="20" spans="1:34" ht="16.5">
      <c r="A20" s="223"/>
      <c r="B20" s="144" t="s">
        <v>722</v>
      </c>
      <c r="C20" s="144">
        <f t="shared" si="0"/>
        <v>55</v>
      </c>
      <c r="D20" s="144"/>
      <c r="E20" s="144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>
        <f>36+3+16</f>
        <v>55</v>
      </c>
      <c r="AG20" s="145"/>
      <c r="AH20" s="145"/>
    </row>
    <row r="21" spans="1:34" ht="16.5">
      <c r="A21" s="224" t="s">
        <v>18</v>
      </c>
      <c r="B21" s="141" t="s">
        <v>720</v>
      </c>
      <c r="C21" s="140">
        <f t="shared" si="0"/>
        <v>1</v>
      </c>
      <c r="D21" s="140"/>
      <c r="E21" s="140"/>
      <c r="F21" s="143"/>
      <c r="G21" s="143"/>
      <c r="H21" s="143"/>
      <c r="I21" s="143"/>
      <c r="J21" s="143"/>
      <c r="K21" s="143"/>
      <c r="L21" s="143"/>
      <c r="M21" s="143"/>
      <c r="N21" s="143">
        <v>1</v>
      </c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</row>
    <row r="22" spans="1:34" ht="16.5">
      <c r="A22" s="225"/>
      <c r="B22" s="141" t="s">
        <v>721</v>
      </c>
      <c r="C22" s="140">
        <f t="shared" si="0"/>
        <v>44</v>
      </c>
      <c r="D22" s="140"/>
      <c r="E22" s="140"/>
      <c r="F22" s="143"/>
      <c r="G22" s="143"/>
      <c r="H22" s="143"/>
      <c r="I22" s="143"/>
      <c r="J22" s="143"/>
      <c r="K22" s="143"/>
      <c r="L22" s="143"/>
      <c r="M22" s="143"/>
      <c r="N22" s="143">
        <f>2</f>
        <v>2</v>
      </c>
      <c r="O22" s="143">
        <f>18</f>
        <v>18</v>
      </c>
      <c r="P22" s="143">
        <f>3*4+12</f>
        <v>24</v>
      </c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</row>
    <row r="23" spans="1:34" ht="16.5">
      <c r="A23" s="226"/>
      <c r="B23" s="141" t="s">
        <v>722</v>
      </c>
      <c r="C23" s="140">
        <f t="shared" si="0"/>
        <v>72</v>
      </c>
      <c r="D23" s="140"/>
      <c r="E23" s="140"/>
      <c r="F23" s="143"/>
      <c r="G23" s="143"/>
      <c r="H23" s="143"/>
      <c r="I23" s="143"/>
      <c r="J23" s="143"/>
      <c r="K23" s="143"/>
      <c r="L23" s="143"/>
      <c r="M23" s="143"/>
      <c r="N23" s="143">
        <f>12</f>
        <v>12</v>
      </c>
      <c r="O23" s="143">
        <f>28</f>
        <v>28</v>
      </c>
      <c r="P23" s="143">
        <f>4*4+16</f>
        <v>32</v>
      </c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</row>
    <row r="24" spans="1:34" ht="16.5">
      <c r="A24" s="221" t="s">
        <v>26</v>
      </c>
      <c r="B24" s="144" t="s">
        <v>720</v>
      </c>
      <c r="C24" s="144">
        <f t="shared" si="0"/>
        <v>1</v>
      </c>
      <c r="D24" s="144"/>
      <c r="E24" s="144"/>
      <c r="F24" s="145"/>
      <c r="G24" s="145"/>
      <c r="H24" s="145"/>
      <c r="I24" s="145"/>
      <c r="J24" s="145"/>
      <c r="K24" s="145"/>
      <c r="L24" s="145"/>
      <c r="M24" s="145"/>
      <c r="N24" s="145">
        <f>1</f>
        <v>1</v>
      </c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</row>
    <row r="25" spans="1:34" ht="16.5">
      <c r="A25" s="222"/>
      <c r="B25" s="144" t="s">
        <v>721</v>
      </c>
      <c r="C25" s="144">
        <f t="shared" si="0"/>
        <v>179</v>
      </c>
      <c r="D25" s="144"/>
      <c r="E25" s="144"/>
      <c r="F25" s="145"/>
      <c r="G25" s="145"/>
      <c r="H25" s="145"/>
      <c r="I25" s="145"/>
      <c r="J25" s="145"/>
      <c r="K25" s="145"/>
      <c r="L25" s="145"/>
      <c r="M25" s="145"/>
      <c r="N25" s="145">
        <f>11+5</f>
        <v>16</v>
      </c>
      <c r="O25" s="145">
        <f>15</f>
        <v>15</v>
      </c>
      <c r="P25" s="145">
        <f>8+17+4+1+1</f>
        <v>31</v>
      </c>
      <c r="Q25" s="145"/>
      <c r="R25" s="145"/>
      <c r="S25" s="145"/>
      <c r="T25" s="145">
        <f>11+1</f>
        <v>12</v>
      </c>
      <c r="U25" s="145">
        <f>8*2</f>
        <v>16</v>
      </c>
      <c r="V25" s="145"/>
      <c r="W25" s="145">
        <f>22*2+12</f>
        <v>56</v>
      </c>
      <c r="X25" s="145"/>
      <c r="Y25" s="145"/>
      <c r="Z25" s="145"/>
      <c r="AA25" s="145">
        <f>11*3</f>
        <v>33</v>
      </c>
      <c r="AB25" s="145"/>
      <c r="AC25" s="145"/>
      <c r="AD25" s="145"/>
      <c r="AE25" s="145"/>
      <c r="AF25" s="145"/>
      <c r="AG25" s="145"/>
      <c r="AH25" s="145"/>
    </row>
    <row r="26" spans="1:34" ht="16.5">
      <c r="A26" s="223"/>
      <c r="B26" s="144" t="s">
        <v>722</v>
      </c>
      <c r="C26" s="144">
        <f t="shared" si="0"/>
        <v>273</v>
      </c>
      <c r="D26" s="144"/>
      <c r="E26" s="144"/>
      <c r="F26" s="145"/>
      <c r="G26" s="145"/>
      <c r="H26" s="145"/>
      <c r="I26" s="145"/>
      <c r="J26" s="145"/>
      <c r="K26" s="145"/>
      <c r="L26" s="145"/>
      <c r="M26" s="145"/>
      <c r="N26" s="145">
        <f>16+15</f>
        <v>31</v>
      </c>
      <c r="O26" s="145">
        <f>27+2</f>
        <v>29</v>
      </c>
      <c r="P26" s="145">
        <f>8+25+5+1+1</f>
        <v>40</v>
      </c>
      <c r="Q26" s="145"/>
      <c r="R26" s="145"/>
      <c r="S26" s="145"/>
      <c r="T26" s="145">
        <f>16+2</f>
        <v>18</v>
      </c>
      <c r="U26" s="145">
        <f>11*2</f>
        <v>22</v>
      </c>
      <c r="V26" s="145"/>
      <c r="W26" s="145">
        <f>34*2+17</f>
        <v>85</v>
      </c>
      <c r="X26" s="145"/>
      <c r="Y26" s="145"/>
      <c r="Z26" s="145"/>
      <c r="AA26" s="145">
        <f>16*3</f>
        <v>48</v>
      </c>
      <c r="AB26" s="145"/>
      <c r="AC26" s="145"/>
      <c r="AD26" s="145"/>
      <c r="AE26" s="145"/>
      <c r="AF26" s="145"/>
      <c r="AG26" s="145"/>
      <c r="AH26" s="145"/>
    </row>
    <row r="27" spans="1:34" ht="16.5">
      <c r="A27" s="224" t="s">
        <v>730</v>
      </c>
      <c r="B27" s="141" t="s">
        <v>720</v>
      </c>
      <c r="C27" s="140">
        <f t="shared" si="0"/>
        <v>4</v>
      </c>
      <c r="D27" s="140"/>
      <c r="E27" s="140"/>
      <c r="F27" s="143"/>
      <c r="G27" s="143">
        <f>1</f>
        <v>1</v>
      </c>
      <c r="H27" s="143">
        <v>3</v>
      </c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</row>
    <row r="28" spans="1:34" ht="16.5">
      <c r="A28" s="225"/>
      <c r="B28" s="141" t="s">
        <v>721</v>
      </c>
      <c r="C28" s="140">
        <f t="shared" si="0"/>
        <v>241</v>
      </c>
      <c r="D28" s="140"/>
      <c r="E28" s="140"/>
      <c r="F28" s="143"/>
      <c r="G28" s="143">
        <f>11*4</f>
        <v>44</v>
      </c>
      <c r="H28" s="143">
        <f>10+11</f>
        <v>21</v>
      </c>
      <c r="I28" s="143"/>
      <c r="J28" s="143">
        <f>5</f>
        <v>5</v>
      </c>
      <c r="K28" s="143">
        <f>6+1+1+4+10+1+5+1+5+8+4+2</f>
        <v>48</v>
      </c>
      <c r="L28" s="143"/>
      <c r="M28" s="143"/>
      <c r="N28" s="143">
        <f>15+11</f>
        <v>26</v>
      </c>
      <c r="O28" s="143">
        <f>1+1</f>
        <v>2</v>
      </c>
      <c r="P28" s="143"/>
      <c r="Q28" s="143"/>
      <c r="R28" s="143"/>
      <c r="S28" s="143"/>
      <c r="T28" s="143">
        <f>8</f>
        <v>8</v>
      </c>
      <c r="U28" s="143">
        <f>1</f>
        <v>1</v>
      </c>
      <c r="V28" s="143"/>
      <c r="W28" s="143">
        <f>4+6</f>
        <v>10</v>
      </c>
      <c r="X28" s="143">
        <f>11+1</f>
        <v>12</v>
      </c>
      <c r="Y28" s="143">
        <f>1</f>
        <v>1</v>
      </c>
      <c r="Z28" s="143"/>
      <c r="AA28" s="143"/>
      <c r="AB28" s="143"/>
      <c r="AC28" s="143"/>
      <c r="AD28" s="143">
        <f>3+3</f>
        <v>6</v>
      </c>
      <c r="AE28" s="143">
        <f>3+3</f>
        <v>6</v>
      </c>
      <c r="AF28" s="143">
        <f>1+1+10+2+1+10+10+16</f>
        <v>51</v>
      </c>
      <c r="AG28" s="143"/>
      <c r="AH28" s="143"/>
    </row>
    <row r="29" spans="1:34" ht="16.5">
      <c r="A29" s="226"/>
      <c r="B29" s="141" t="s">
        <v>722</v>
      </c>
      <c r="C29" s="140">
        <f t="shared" si="0"/>
        <v>437</v>
      </c>
      <c r="D29" s="140"/>
      <c r="E29" s="140"/>
      <c r="F29" s="143"/>
      <c r="G29" s="143">
        <f>16*4</f>
        <v>64</v>
      </c>
      <c r="H29" s="143">
        <f>17+16</f>
        <v>33</v>
      </c>
      <c r="I29" s="143"/>
      <c r="J29" s="143">
        <f>18</f>
        <v>18</v>
      </c>
      <c r="K29" s="143">
        <f>11+2+2+5+19+2+8+1+7+14+8+4</f>
        <v>83</v>
      </c>
      <c r="L29" s="143"/>
      <c r="M29" s="143"/>
      <c r="N29" s="143">
        <f>25+17</f>
        <v>42</v>
      </c>
      <c r="O29" s="143">
        <f>2+2</f>
        <v>4</v>
      </c>
      <c r="P29" s="143"/>
      <c r="Q29" s="143"/>
      <c r="R29" s="143"/>
      <c r="S29" s="143"/>
      <c r="T29" s="143">
        <f>11</f>
        <v>11</v>
      </c>
      <c r="U29" s="143">
        <f>2</f>
        <v>2</v>
      </c>
      <c r="V29" s="143"/>
      <c r="W29" s="143">
        <f>6+8</f>
        <v>14</v>
      </c>
      <c r="X29" s="143">
        <f>16+1</f>
        <v>17</v>
      </c>
      <c r="Y29" s="143">
        <f>1</f>
        <v>1</v>
      </c>
      <c r="Z29" s="143"/>
      <c r="AA29" s="143"/>
      <c r="AB29" s="143"/>
      <c r="AC29" s="143"/>
      <c r="AD29" s="143">
        <f>4+4</f>
        <v>8</v>
      </c>
      <c r="AE29" s="143">
        <f>4+4</f>
        <v>8</v>
      </c>
      <c r="AF29" s="143">
        <f>2+1+36+3+1+36+28+25</f>
        <v>132</v>
      </c>
      <c r="AG29" s="143"/>
      <c r="AH29" s="143"/>
    </row>
    <row r="30" spans="1:34" ht="16.5">
      <c r="A30" s="221" t="s">
        <v>50</v>
      </c>
      <c r="B30" s="144" t="s">
        <v>720</v>
      </c>
      <c r="C30" s="144">
        <f t="shared" si="0"/>
        <v>9</v>
      </c>
      <c r="D30" s="144"/>
      <c r="E30" s="144"/>
      <c r="F30" s="145"/>
      <c r="G30" s="145"/>
      <c r="H30" s="145"/>
      <c r="I30" s="145"/>
      <c r="J30" s="145">
        <v>6</v>
      </c>
      <c r="K30" s="145">
        <v>3</v>
      </c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</row>
    <row r="31" spans="1:34" ht="16.5">
      <c r="A31" s="222"/>
      <c r="B31" s="144" t="s">
        <v>721</v>
      </c>
      <c r="C31" s="144">
        <f t="shared" si="0"/>
        <v>136</v>
      </c>
      <c r="D31" s="144"/>
      <c r="E31" s="144"/>
      <c r="F31" s="145"/>
      <c r="G31" s="145"/>
      <c r="H31" s="145"/>
      <c r="I31" s="145"/>
      <c r="J31" s="145">
        <f>10*2+2+25+15+11+8</f>
        <v>81</v>
      </c>
      <c r="K31" s="145">
        <f>11+13+14+5+5</f>
        <v>48</v>
      </c>
      <c r="L31" s="145">
        <f>7</f>
        <v>7</v>
      </c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</row>
    <row r="32" spans="1:34" ht="16.5">
      <c r="A32" s="223"/>
      <c r="B32" s="144" t="s">
        <v>722</v>
      </c>
      <c r="C32" s="144">
        <f t="shared" si="0"/>
        <v>242</v>
      </c>
      <c r="D32" s="144"/>
      <c r="E32" s="144"/>
      <c r="F32" s="145"/>
      <c r="G32" s="145"/>
      <c r="H32" s="145"/>
      <c r="I32" s="145"/>
      <c r="J32" s="145">
        <f>30*2+2+32+24+20+15</f>
        <v>153</v>
      </c>
      <c r="K32" s="145">
        <f>18+21+28+6+6</f>
        <v>79</v>
      </c>
      <c r="L32" s="145">
        <f>10</f>
        <v>10</v>
      </c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</row>
    <row r="33" spans="1:34" ht="16.5">
      <c r="A33" s="224" t="s">
        <v>214</v>
      </c>
      <c r="B33" s="141" t="s">
        <v>720</v>
      </c>
      <c r="C33" s="140">
        <f t="shared" si="0"/>
        <v>1</v>
      </c>
      <c r="D33" s="140"/>
      <c r="E33" s="140"/>
      <c r="F33" s="143"/>
      <c r="G33" s="143"/>
      <c r="H33" s="143"/>
      <c r="I33" s="143"/>
      <c r="J33" s="143"/>
      <c r="K33" s="143"/>
      <c r="L33" s="143"/>
      <c r="M33" s="143"/>
      <c r="N33" s="143">
        <f>1</f>
        <v>1</v>
      </c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</row>
    <row r="34" spans="1:34" ht="16.5">
      <c r="A34" s="225"/>
      <c r="B34" s="141" t="s">
        <v>721</v>
      </c>
      <c r="C34" s="140">
        <f t="shared" si="0"/>
        <v>48</v>
      </c>
      <c r="D34" s="140"/>
      <c r="E34" s="140"/>
      <c r="F34" s="143"/>
      <c r="G34" s="143"/>
      <c r="H34" s="143"/>
      <c r="I34" s="143"/>
      <c r="J34" s="143"/>
      <c r="K34" s="143"/>
      <c r="L34" s="143"/>
      <c r="M34" s="143"/>
      <c r="N34" s="143">
        <f>2+2</f>
        <v>4</v>
      </c>
      <c r="O34" s="143">
        <f>4</f>
        <v>4</v>
      </c>
      <c r="P34" s="143">
        <f>2+2+2+2+7+4+1+3+15+1+1</f>
        <v>40</v>
      </c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</row>
    <row r="35" spans="1:34" ht="16.5">
      <c r="A35" s="226"/>
      <c r="B35" s="141" t="s">
        <v>722</v>
      </c>
      <c r="C35" s="140">
        <f t="shared" si="0"/>
        <v>77</v>
      </c>
      <c r="D35" s="140"/>
      <c r="E35" s="140"/>
      <c r="F35" s="143"/>
      <c r="G35" s="143"/>
      <c r="H35" s="143"/>
      <c r="I35" s="143"/>
      <c r="J35" s="143"/>
      <c r="K35" s="143"/>
      <c r="L35" s="143"/>
      <c r="M35" s="143"/>
      <c r="N35" s="143">
        <f>3+8+4+4</f>
        <v>19</v>
      </c>
      <c r="O35" s="143">
        <f>5</f>
        <v>5</v>
      </c>
      <c r="P35" s="143">
        <f>2+2+2+2+9+6+4+24+1+1</f>
        <v>53</v>
      </c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</row>
    <row r="36" spans="1:34" ht="16.5">
      <c r="A36" s="221" t="s">
        <v>55</v>
      </c>
      <c r="B36" s="144" t="s">
        <v>720</v>
      </c>
      <c r="C36" s="144">
        <f t="shared" si="0"/>
        <v>1</v>
      </c>
      <c r="D36" s="144"/>
      <c r="E36" s="144"/>
      <c r="F36" s="145">
        <f>1</f>
        <v>1</v>
      </c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</row>
    <row r="37" spans="1:34" ht="16.5">
      <c r="A37" s="222"/>
      <c r="B37" s="144" t="s">
        <v>721</v>
      </c>
      <c r="C37" s="144">
        <f t="shared" si="0"/>
        <v>7</v>
      </c>
      <c r="D37" s="144"/>
      <c r="E37" s="144"/>
      <c r="F37" s="145">
        <f>3</f>
        <v>3</v>
      </c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>
        <v>4</v>
      </c>
      <c r="AG37" s="145"/>
      <c r="AH37" s="145"/>
    </row>
    <row r="38" spans="1:34" ht="16.5">
      <c r="A38" s="223"/>
      <c r="B38" s="144" t="s">
        <v>722</v>
      </c>
      <c r="C38" s="144">
        <f t="shared" si="0"/>
        <v>30</v>
      </c>
      <c r="D38" s="144"/>
      <c r="E38" s="144"/>
      <c r="F38" s="145">
        <f>8</f>
        <v>8</v>
      </c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145"/>
      <c r="AF38" s="145">
        <v>22</v>
      </c>
      <c r="AG38" s="145"/>
      <c r="AH38" s="145"/>
    </row>
    <row r="39" spans="1:34" ht="16.5">
      <c r="A39" s="224" t="s">
        <v>530</v>
      </c>
      <c r="B39" s="141" t="s">
        <v>720</v>
      </c>
      <c r="C39" s="140">
        <f t="shared" si="0"/>
        <v>0</v>
      </c>
      <c r="D39" s="140"/>
      <c r="E39" s="140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</row>
    <row r="40" spans="1:34" ht="16.5">
      <c r="A40" s="225"/>
      <c r="B40" s="141" t="s">
        <v>721</v>
      </c>
      <c r="C40" s="140">
        <f t="shared" si="0"/>
        <v>2</v>
      </c>
      <c r="D40" s="140"/>
      <c r="E40" s="140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>
        <f>2</f>
        <v>2</v>
      </c>
      <c r="AG40" s="143"/>
      <c r="AH40" s="143"/>
    </row>
    <row r="41" spans="1:34" ht="16.5">
      <c r="A41" s="226"/>
      <c r="B41" s="141" t="s">
        <v>722</v>
      </c>
      <c r="C41" s="140">
        <f t="shared" si="0"/>
        <v>4</v>
      </c>
      <c r="D41" s="140"/>
      <c r="E41" s="140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>
        <f>4</f>
        <v>4</v>
      </c>
      <c r="AG41" s="143"/>
      <c r="AH41" s="143"/>
    </row>
    <row r="42" spans="1:34" ht="16.5">
      <c r="A42" s="221" t="s">
        <v>62</v>
      </c>
      <c r="B42" s="144" t="s">
        <v>720</v>
      </c>
      <c r="C42" s="144">
        <f t="shared" si="0"/>
        <v>6</v>
      </c>
      <c r="D42" s="144"/>
      <c r="E42" s="144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>
        <f>1+2+2</f>
        <v>5</v>
      </c>
      <c r="U42" s="145">
        <f>1</f>
        <v>1</v>
      </c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</row>
    <row r="43" spans="1:34" ht="16.5">
      <c r="A43" s="222"/>
      <c r="B43" s="144" t="s">
        <v>721</v>
      </c>
      <c r="C43" s="144">
        <f t="shared" si="0"/>
        <v>77</v>
      </c>
      <c r="D43" s="144"/>
      <c r="E43" s="144"/>
      <c r="F43" s="145"/>
      <c r="G43" s="145"/>
      <c r="H43" s="145"/>
      <c r="I43" s="145"/>
      <c r="J43" s="145"/>
      <c r="K43" s="145"/>
      <c r="L43" s="145">
        <f>1</f>
        <v>1</v>
      </c>
      <c r="M43" s="145"/>
      <c r="N43" s="145"/>
      <c r="O43" s="145"/>
      <c r="P43" s="145"/>
      <c r="Q43" s="145"/>
      <c r="R43" s="145"/>
      <c r="S43" s="145"/>
      <c r="T43" s="145">
        <f>2+12+12+1+11</f>
        <v>38</v>
      </c>
      <c r="U43" s="145">
        <f>5</f>
        <v>5</v>
      </c>
      <c r="V43" s="145">
        <f>5+3+3*2+5+8+3</f>
        <v>30</v>
      </c>
      <c r="W43" s="145"/>
      <c r="X43" s="145"/>
      <c r="Y43" s="145"/>
      <c r="Z43" s="145"/>
      <c r="AA43" s="145"/>
      <c r="AB43" s="145"/>
      <c r="AC43" s="145"/>
      <c r="AD43" s="145">
        <f>3</f>
        <v>3</v>
      </c>
      <c r="AE43" s="145"/>
      <c r="AF43" s="145"/>
      <c r="AG43" s="145"/>
      <c r="AH43" s="145"/>
    </row>
    <row r="44" spans="1:34" ht="16.5">
      <c r="A44" s="223"/>
      <c r="B44" s="144" t="s">
        <v>722</v>
      </c>
      <c r="C44" s="144">
        <f t="shared" si="0"/>
        <v>160</v>
      </c>
      <c r="D44" s="144"/>
      <c r="E44" s="144"/>
      <c r="F44" s="145"/>
      <c r="G44" s="145"/>
      <c r="H44" s="145"/>
      <c r="I44" s="145"/>
      <c r="J44" s="145"/>
      <c r="K44" s="145"/>
      <c r="L44" s="145">
        <f>1</f>
        <v>1</v>
      </c>
      <c r="M44" s="145"/>
      <c r="N44" s="145"/>
      <c r="O44" s="145"/>
      <c r="P44" s="145"/>
      <c r="Q44" s="145"/>
      <c r="R44" s="145"/>
      <c r="S44" s="145"/>
      <c r="T44" s="145">
        <f>10+29*2+1+13+16</f>
        <v>98</v>
      </c>
      <c r="U44" s="145">
        <f>12</f>
        <v>12</v>
      </c>
      <c r="V44" s="145">
        <f>6+4+4*2+6+12+7</f>
        <v>43</v>
      </c>
      <c r="W44" s="145"/>
      <c r="X44" s="145"/>
      <c r="Y44" s="145"/>
      <c r="Z44" s="145"/>
      <c r="AA44" s="145"/>
      <c r="AB44" s="145"/>
      <c r="AC44" s="145"/>
      <c r="AD44" s="145">
        <f>6</f>
        <v>6</v>
      </c>
      <c r="AE44" s="145"/>
      <c r="AF44" s="145"/>
      <c r="AG44" s="145"/>
      <c r="AH44" s="145"/>
    </row>
    <row r="45" spans="1:34" ht="16.5">
      <c r="A45" s="224" t="s">
        <v>732</v>
      </c>
      <c r="B45" s="141" t="s">
        <v>720</v>
      </c>
      <c r="C45" s="140">
        <f t="shared" si="0"/>
        <v>4</v>
      </c>
      <c r="D45" s="140"/>
      <c r="E45" s="140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>
        <v>3</v>
      </c>
      <c r="U45" s="143">
        <v>1</v>
      </c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</row>
    <row r="46" spans="1:34" ht="16.5">
      <c r="A46" s="225"/>
      <c r="B46" s="141" t="s">
        <v>721</v>
      </c>
      <c r="C46" s="140">
        <f t="shared" si="0"/>
        <v>36</v>
      </c>
      <c r="D46" s="140"/>
      <c r="E46" s="140"/>
      <c r="F46" s="143"/>
      <c r="G46" s="143"/>
      <c r="H46" s="143"/>
      <c r="I46" s="143"/>
      <c r="J46" s="143"/>
      <c r="K46" s="143"/>
      <c r="L46" s="143"/>
      <c r="M46" s="143">
        <f>2</f>
        <v>2</v>
      </c>
      <c r="N46" s="143"/>
      <c r="O46" s="143"/>
      <c r="P46" s="143">
        <f>1</f>
        <v>1</v>
      </c>
      <c r="Q46" s="143"/>
      <c r="R46" s="143"/>
      <c r="S46" s="143"/>
      <c r="T46" s="143">
        <f>2+2</f>
        <v>4</v>
      </c>
      <c r="U46" s="143">
        <f>6</f>
        <v>6</v>
      </c>
      <c r="V46" s="143">
        <f>2+5+5+11</f>
        <v>23</v>
      </c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</row>
    <row r="47" spans="1:34" ht="16.5">
      <c r="A47" s="226"/>
      <c r="B47" s="141" t="s">
        <v>722</v>
      </c>
      <c r="C47" s="140">
        <f t="shared" si="0"/>
        <v>68</v>
      </c>
      <c r="D47" s="140"/>
      <c r="E47" s="140"/>
      <c r="F47" s="143"/>
      <c r="G47" s="143"/>
      <c r="H47" s="143"/>
      <c r="I47" s="143"/>
      <c r="J47" s="143"/>
      <c r="K47" s="143"/>
      <c r="L47" s="143"/>
      <c r="M47" s="143">
        <f>4</f>
        <v>4</v>
      </c>
      <c r="N47" s="143"/>
      <c r="O47" s="143"/>
      <c r="P47" s="143">
        <f>1</f>
        <v>1</v>
      </c>
      <c r="Q47" s="143"/>
      <c r="R47" s="143"/>
      <c r="S47" s="143"/>
      <c r="T47" s="143">
        <f>10+11+1</f>
        <v>22</v>
      </c>
      <c r="U47" s="143">
        <f>12</f>
        <v>12</v>
      </c>
      <c r="V47" s="143">
        <f>4+6+6+13</f>
        <v>29</v>
      </c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</row>
    <row r="48" spans="1:34" ht="16.5">
      <c r="A48" s="221" t="s">
        <v>727</v>
      </c>
      <c r="B48" s="144" t="s">
        <v>720</v>
      </c>
      <c r="C48" s="144">
        <f t="shared" si="0"/>
        <v>7</v>
      </c>
      <c r="D48" s="144"/>
      <c r="E48" s="144"/>
      <c r="F48" s="145"/>
      <c r="G48" s="145">
        <f>1+1+1+1+1</f>
        <v>5</v>
      </c>
      <c r="H48" s="145">
        <f>1+1</f>
        <v>2</v>
      </c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</row>
    <row r="49" spans="1:34" ht="16.5">
      <c r="A49" s="222"/>
      <c r="B49" s="144" t="s">
        <v>721</v>
      </c>
      <c r="C49" s="144">
        <f t="shared" si="0"/>
        <v>46</v>
      </c>
      <c r="D49" s="144"/>
      <c r="E49" s="144"/>
      <c r="F49" s="145"/>
      <c r="G49" s="145">
        <f>2+3+1+2+2</f>
        <v>10</v>
      </c>
      <c r="H49" s="145">
        <f>1+1+2+4+1</f>
        <v>9</v>
      </c>
      <c r="I49" s="145">
        <f>6+6+1+6</f>
        <v>19</v>
      </c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>
        <f>8</f>
        <v>8</v>
      </c>
      <c r="W49" s="145"/>
      <c r="X49" s="145"/>
      <c r="Y49" s="145"/>
      <c r="Z49" s="145"/>
      <c r="AA49" s="145"/>
      <c r="AB49" s="145"/>
      <c r="AC49" s="145"/>
      <c r="AD49" s="145"/>
      <c r="AE49" s="145"/>
      <c r="AF49" s="145"/>
      <c r="AG49" s="145"/>
      <c r="AH49" s="145"/>
    </row>
    <row r="50" spans="1:34" ht="16.5">
      <c r="A50" s="223"/>
      <c r="B50" s="144" t="s">
        <v>722</v>
      </c>
      <c r="C50" s="144">
        <f t="shared" si="0"/>
        <v>113</v>
      </c>
      <c r="D50" s="144"/>
      <c r="E50" s="144"/>
      <c r="F50" s="145"/>
      <c r="G50" s="145">
        <f>10+13+5+10+11</f>
        <v>49</v>
      </c>
      <c r="H50" s="145">
        <f>5+2+6+9+2</f>
        <v>24</v>
      </c>
      <c r="I50" s="145">
        <f>8+8+1+8</f>
        <v>25</v>
      </c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>
        <f>15</f>
        <v>15</v>
      </c>
      <c r="W50" s="145"/>
      <c r="X50" s="145"/>
      <c r="Y50" s="145"/>
      <c r="Z50" s="145"/>
      <c r="AA50" s="145"/>
      <c r="AB50" s="145"/>
      <c r="AC50" s="145"/>
      <c r="AD50" s="145"/>
      <c r="AE50" s="145"/>
      <c r="AF50" s="145"/>
      <c r="AG50" s="145"/>
      <c r="AH50" s="145"/>
    </row>
    <row r="51" spans="1:34" ht="16.5">
      <c r="A51" s="224" t="s">
        <v>728</v>
      </c>
      <c r="B51" s="141" t="s">
        <v>720</v>
      </c>
      <c r="C51" s="140">
        <f t="shared" si="0"/>
        <v>7</v>
      </c>
      <c r="D51" s="140"/>
      <c r="E51" s="140"/>
      <c r="F51" s="143"/>
      <c r="G51" s="143">
        <f>1+1+1+1+1</f>
        <v>5</v>
      </c>
      <c r="H51" s="143">
        <f>1+1</f>
        <v>2</v>
      </c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3"/>
      <c r="AG51" s="143"/>
      <c r="AH51" s="143"/>
    </row>
    <row r="52" spans="1:34" ht="16.5">
      <c r="A52" s="225"/>
      <c r="B52" s="141" t="s">
        <v>721</v>
      </c>
      <c r="C52" s="140">
        <f t="shared" si="0"/>
        <v>47</v>
      </c>
      <c r="D52" s="140"/>
      <c r="E52" s="140"/>
      <c r="F52" s="143"/>
      <c r="G52" s="143">
        <f>2+3+1+2+2</f>
        <v>10</v>
      </c>
      <c r="H52" s="143">
        <f>2+1+2+4+1</f>
        <v>10</v>
      </c>
      <c r="I52" s="143">
        <f>6+6+1+6</f>
        <v>19</v>
      </c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>
        <f>8</f>
        <v>8</v>
      </c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</row>
    <row r="53" spans="1:34" ht="16.5">
      <c r="A53" s="226"/>
      <c r="B53" s="141" t="s">
        <v>722</v>
      </c>
      <c r="C53" s="140">
        <f t="shared" si="0"/>
        <v>112</v>
      </c>
      <c r="D53" s="140"/>
      <c r="E53" s="140"/>
      <c r="F53" s="143"/>
      <c r="G53" s="143">
        <f>10+13+5+10+11</f>
        <v>49</v>
      </c>
      <c r="H53" s="143">
        <f>4+2+6+9+2</f>
        <v>23</v>
      </c>
      <c r="I53" s="143">
        <f>8+8+1+8</f>
        <v>25</v>
      </c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>
        <f>15</f>
        <v>15</v>
      </c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</row>
    <row r="54" spans="1:34" ht="16.5">
      <c r="A54" s="221" t="s">
        <v>377</v>
      </c>
      <c r="B54" s="144" t="s">
        <v>720</v>
      </c>
      <c r="C54" s="144">
        <f t="shared" si="0"/>
        <v>0</v>
      </c>
      <c r="D54" s="144"/>
      <c r="E54" s="144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5"/>
    </row>
    <row r="55" spans="1:34" ht="16.5">
      <c r="A55" s="222"/>
      <c r="B55" s="144" t="s">
        <v>721</v>
      </c>
      <c r="C55" s="144">
        <f t="shared" si="0"/>
        <v>19</v>
      </c>
      <c r="D55" s="144"/>
      <c r="E55" s="144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>
        <f>4+3</f>
        <v>7</v>
      </c>
      <c r="Q55" s="145"/>
      <c r="R55" s="145"/>
      <c r="S55" s="145"/>
      <c r="T55" s="145"/>
      <c r="U55" s="145"/>
      <c r="V55" s="145">
        <f>8+2+2</f>
        <v>12</v>
      </c>
      <c r="W55" s="145"/>
      <c r="X55" s="145"/>
      <c r="Y55" s="145"/>
      <c r="Z55" s="145"/>
      <c r="AA55" s="145"/>
      <c r="AB55" s="145"/>
      <c r="AC55" s="145"/>
      <c r="AD55" s="145"/>
      <c r="AE55" s="145"/>
      <c r="AF55" s="145"/>
      <c r="AG55" s="145"/>
      <c r="AH55" s="145"/>
    </row>
    <row r="56" spans="1:34" ht="16.5">
      <c r="A56" s="223"/>
      <c r="B56" s="144" t="s">
        <v>722</v>
      </c>
      <c r="C56" s="144">
        <f t="shared" si="0"/>
        <v>26</v>
      </c>
      <c r="D56" s="144"/>
      <c r="E56" s="144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>
        <f>7+5</f>
        <v>12</v>
      </c>
      <c r="Q56" s="145"/>
      <c r="R56" s="145"/>
      <c r="S56" s="145"/>
      <c r="T56" s="145"/>
      <c r="U56" s="145"/>
      <c r="V56" s="145">
        <f>10+2+2</f>
        <v>14</v>
      </c>
      <c r="W56" s="145"/>
      <c r="X56" s="145"/>
      <c r="Y56" s="145"/>
      <c r="Z56" s="145"/>
      <c r="AA56" s="145"/>
      <c r="AB56" s="145"/>
      <c r="AC56" s="145"/>
      <c r="AD56" s="145"/>
      <c r="AE56" s="145"/>
      <c r="AF56" s="145"/>
      <c r="AG56" s="145"/>
      <c r="AH56" s="145"/>
    </row>
    <row r="57" spans="1:34" ht="16.5">
      <c r="A57" s="224" t="s">
        <v>94</v>
      </c>
      <c r="B57" s="141" t="s">
        <v>720</v>
      </c>
      <c r="C57" s="140">
        <f t="shared" si="0"/>
        <v>3</v>
      </c>
      <c r="D57" s="140"/>
      <c r="E57" s="140"/>
      <c r="F57" s="143"/>
      <c r="G57" s="143"/>
      <c r="H57" s="143">
        <f>2</f>
        <v>2</v>
      </c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>
        <v>1</v>
      </c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</row>
    <row r="58" spans="1:34" ht="16.5">
      <c r="A58" s="225"/>
      <c r="B58" s="141" t="s">
        <v>721</v>
      </c>
      <c r="C58" s="140">
        <f t="shared" si="0"/>
        <v>78</v>
      </c>
      <c r="D58" s="140"/>
      <c r="E58" s="140"/>
      <c r="F58" s="143"/>
      <c r="G58" s="143"/>
      <c r="H58" s="143">
        <f>4+4+11+6</f>
        <v>25</v>
      </c>
      <c r="I58" s="143">
        <f>1+18+6</f>
        <v>25</v>
      </c>
      <c r="J58" s="143"/>
      <c r="K58" s="143"/>
      <c r="L58" s="143"/>
      <c r="M58" s="143"/>
      <c r="N58" s="143"/>
      <c r="O58" s="143"/>
      <c r="P58" s="143">
        <f>4</f>
        <v>4</v>
      </c>
      <c r="Q58" s="143"/>
      <c r="R58" s="143"/>
      <c r="S58" s="143"/>
      <c r="T58" s="143"/>
      <c r="U58" s="143"/>
      <c r="V58" s="143"/>
      <c r="W58" s="143">
        <f>9+2</f>
        <v>11</v>
      </c>
      <c r="X58" s="143">
        <f>5+1</f>
        <v>6</v>
      </c>
      <c r="Y58" s="143">
        <f>7</f>
        <v>7</v>
      </c>
      <c r="Z58" s="143"/>
      <c r="AA58" s="143"/>
      <c r="AB58" s="143"/>
      <c r="AC58" s="143"/>
      <c r="AD58" s="143"/>
      <c r="AE58" s="143"/>
      <c r="AF58" s="143"/>
      <c r="AG58" s="143"/>
      <c r="AH58" s="143"/>
    </row>
    <row r="59" spans="1:34" ht="16.5">
      <c r="A59" s="226"/>
      <c r="B59" s="141" t="s">
        <v>722</v>
      </c>
      <c r="C59" s="140">
        <f t="shared" si="0"/>
        <v>132</v>
      </c>
      <c r="D59" s="140"/>
      <c r="E59" s="140"/>
      <c r="F59" s="143"/>
      <c r="G59" s="143"/>
      <c r="H59" s="143">
        <f>6+6+19+15</f>
        <v>46</v>
      </c>
      <c r="I59" s="143">
        <f>1+29+8</f>
        <v>38</v>
      </c>
      <c r="J59" s="143"/>
      <c r="K59" s="143"/>
      <c r="L59" s="143"/>
      <c r="M59" s="143"/>
      <c r="N59" s="143"/>
      <c r="O59" s="143"/>
      <c r="P59" s="143">
        <f>6</f>
        <v>6</v>
      </c>
      <c r="Q59" s="143"/>
      <c r="R59" s="143"/>
      <c r="S59" s="143"/>
      <c r="T59" s="143"/>
      <c r="U59" s="143"/>
      <c r="V59" s="143"/>
      <c r="W59" s="143">
        <f>22+2</f>
        <v>24</v>
      </c>
      <c r="X59" s="143">
        <f>8+1</f>
        <v>9</v>
      </c>
      <c r="Y59" s="143">
        <f>9</f>
        <v>9</v>
      </c>
      <c r="Z59" s="143"/>
      <c r="AA59" s="143"/>
      <c r="AB59" s="143"/>
      <c r="AC59" s="143"/>
      <c r="AD59" s="143"/>
      <c r="AE59" s="143"/>
      <c r="AF59" s="143"/>
      <c r="AG59" s="143"/>
      <c r="AH59" s="143"/>
    </row>
    <row r="60" spans="1:34" ht="16.5">
      <c r="A60" s="221" t="s">
        <v>380</v>
      </c>
      <c r="B60" s="144" t="s">
        <v>720</v>
      </c>
      <c r="C60" s="144">
        <f t="shared" si="0"/>
        <v>3</v>
      </c>
      <c r="D60" s="144"/>
      <c r="E60" s="144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>
        <f>1</f>
        <v>1</v>
      </c>
      <c r="X60" s="145">
        <f>2</f>
        <v>2</v>
      </c>
      <c r="Y60" s="145"/>
      <c r="Z60" s="145"/>
      <c r="AA60" s="145"/>
      <c r="AB60" s="145"/>
      <c r="AC60" s="145"/>
      <c r="AD60" s="145"/>
      <c r="AE60" s="145"/>
      <c r="AF60" s="145"/>
      <c r="AG60" s="145"/>
      <c r="AH60" s="145"/>
    </row>
    <row r="61" spans="1:34" ht="16.5">
      <c r="A61" s="222"/>
      <c r="B61" s="144" t="s">
        <v>721</v>
      </c>
      <c r="C61" s="144">
        <f t="shared" si="0"/>
        <v>67</v>
      </c>
      <c r="D61" s="144"/>
      <c r="E61" s="144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>
        <f>12+3</f>
        <v>15</v>
      </c>
      <c r="X61" s="145">
        <f>2+4+4+1+2</f>
        <v>13</v>
      </c>
      <c r="Y61" s="145">
        <f>2+5+5+2+5+2+6</f>
        <v>27</v>
      </c>
      <c r="Z61" s="145">
        <f>5+1+5+1</f>
        <v>12</v>
      </c>
      <c r="AA61" s="145"/>
      <c r="AB61" s="145"/>
      <c r="AC61" s="145"/>
      <c r="AD61" s="145"/>
      <c r="AE61" s="145"/>
      <c r="AF61" s="145"/>
      <c r="AG61" s="145"/>
      <c r="AH61" s="145"/>
    </row>
    <row r="62" spans="1:34" ht="16.5">
      <c r="A62" s="223"/>
      <c r="B62" s="144" t="s">
        <v>722</v>
      </c>
      <c r="C62" s="144">
        <f t="shared" si="0"/>
        <v>109</v>
      </c>
      <c r="D62" s="144"/>
      <c r="E62" s="144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>
        <f>25+3</f>
        <v>28</v>
      </c>
      <c r="X62" s="145">
        <f>3+8+8+1+2+4</f>
        <v>26</v>
      </c>
      <c r="Y62" s="145">
        <f>2+7+2+7+2+2+7+2+8</f>
        <v>39</v>
      </c>
      <c r="Z62" s="145">
        <f>7+1+7+1</f>
        <v>16</v>
      </c>
      <c r="AA62" s="145"/>
      <c r="AB62" s="145"/>
      <c r="AC62" s="145"/>
      <c r="AD62" s="145"/>
      <c r="AE62" s="145"/>
      <c r="AF62" s="145"/>
      <c r="AG62" s="145"/>
      <c r="AH62" s="145"/>
    </row>
    <row r="63" spans="1:34" ht="16.5">
      <c r="A63" s="224" t="s">
        <v>107</v>
      </c>
      <c r="B63" s="141" t="s">
        <v>720</v>
      </c>
      <c r="C63" s="140">
        <f t="shared" si="0"/>
        <v>1</v>
      </c>
      <c r="D63" s="140"/>
      <c r="E63" s="140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  <c r="V63" s="143"/>
      <c r="W63" s="143">
        <v>1</v>
      </c>
      <c r="X63" s="143"/>
      <c r="Y63" s="143"/>
      <c r="Z63" s="143"/>
      <c r="AA63" s="143"/>
      <c r="AB63" s="143"/>
      <c r="AC63" s="143"/>
      <c r="AD63" s="143"/>
      <c r="AE63" s="143"/>
      <c r="AF63" s="143"/>
      <c r="AG63" s="143"/>
      <c r="AH63" s="143"/>
    </row>
    <row r="64" spans="1:34" ht="16.5">
      <c r="A64" s="225"/>
      <c r="B64" s="141" t="s">
        <v>721</v>
      </c>
      <c r="C64" s="140">
        <f t="shared" si="0"/>
        <v>31</v>
      </c>
      <c r="D64" s="140"/>
      <c r="E64" s="140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>
        <f>5</f>
        <v>5</v>
      </c>
      <c r="X64" s="143">
        <f>2+3</f>
        <v>5</v>
      </c>
      <c r="Y64" s="143">
        <f>6</f>
        <v>6</v>
      </c>
      <c r="Z64" s="143">
        <f>2+4+9</f>
        <v>15</v>
      </c>
      <c r="AA64" s="143"/>
      <c r="AB64" s="143"/>
      <c r="AC64" s="143"/>
      <c r="AD64" s="143"/>
      <c r="AE64" s="143"/>
      <c r="AF64" s="143"/>
      <c r="AG64" s="143"/>
      <c r="AH64" s="143"/>
    </row>
    <row r="65" spans="1:34" ht="16.5">
      <c r="A65" s="226"/>
      <c r="B65" s="141" t="s">
        <v>722</v>
      </c>
      <c r="C65" s="140">
        <f t="shared" si="0"/>
        <v>60</v>
      </c>
      <c r="D65" s="140"/>
      <c r="E65" s="140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>
        <f>15</f>
        <v>15</v>
      </c>
      <c r="X65" s="143">
        <f>3+12</f>
        <v>15</v>
      </c>
      <c r="Y65" s="143">
        <f>8</f>
        <v>8</v>
      </c>
      <c r="Z65" s="143">
        <f>2+2+5+13</f>
        <v>22</v>
      </c>
      <c r="AA65" s="143"/>
      <c r="AB65" s="143"/>
      <c r="AC65" s="143"/>
      <c r="AD65" s="143"/>
      <c r="AE65" s="143"/>
      <c r="AF65" s="143"/>
      <c r="AG65" s="143"/>
      <c r="AH65" s="143"/>
    </row>
    <row r="66" spans="1:34" ht="16.5">
      <c r="A66" s="221" t="s">
        <v>112</v>
      </c>
      <c r="B66" s="144" t="s">
        <v>720</v>
      </c>
      <c r="C66" s="144">
        <f t="shared" si="0"/>
        <v>1</v>
      </c>
      <c r="D66" s="144"/>
      <c r="E66" s="144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>
        <f>1</f>
        <v>1</v>
      </c>
      <c r="Z66" s="145"/>
      <c r="AA66" s="145"/>
      <c r="AB66" s="145"/>
      <c r="AC66" s="145"/>
      <c r="AD66" s="145"/>
      <c r="AE66" s="145"/>
      <c r="AF66" s="145"/>
      <c r="AG66" s="145"/>
      <c r="AH66" s="145"/>
    </row>
    <row r="67" spans="1:34" ht="16.5">
      <c r="A67" s="222"/>
      <c r="B67" s="144" t="s">
        <v>721</v>
      </c>
      <c r="C67" s="144">
        <f t="shared" si="0"/>
        <v>25</v>
      </c>
      <c r="D67" s="144"/>
      <c r="E67" s="144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>
        <f>2</f>
        <v>2</v>
      </c>
      <c r="Y67" s="145">
        <f>2+1+7+1</f>
        <v>11</v>
      </c>
      <c r="Z67" s="145">
        <f>3+1+8</f>
        <v>12</v>
      </c>
      <c r="AA67" s="145"/>
      <c r="AB67" s="145"/>
      <c r="AC67" s="145"/>
      <c r="AD67" s="145"/>
      <c r="AE67" s="145"/>
      <c r="AF67" s="145"/>
      <c r="AG67" s="145"/>
      <c r="AH67" s="145"/>
    </row>
    <row r="68" spans="1:34" ht="16.5">
      <c r="A68" s="223"/>
      <c r="B68" s="144" t="s">
        <v>722</v>
      </c>
      <c r="C68" s="144">
        <f t="shared" ref="C68:C128" si="1">SUM(D68:AH68)</f>
        <v>48</v>
      </c>
      <c r="D68" s="144"/>
      <c r="E68" s="144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>
        <f>10</f>
        <v>10</v>
      </c>
      <c r="Y68" s="145">
        <f>3+3+1+12+4</f>
        <v>23</v>
      </c>
      <c r="Z68" s="145">
        <f>4+1+10</f>
        <v>15</v>
      </c>
      <c r="AA68" s="145"/>
      <c r="AB68" s="145"/>
      <c r="AC68" s="145"/>
      <c r="AD68" s="145"/>
      <c r="AE68" s="145"/>
      <c r="AF68" s="145"/>
      <c r="AG68" s="145"/>
      <c r="AH68" s="145"/>
    </row>
    <row r="69" spans="1:34" ht="16.5">
      <c r="A69" s="224" t="s">
        <v>120</v>
      </c>
      <c r="B69" s="141" t="s">
        <v>720</v>
      </c>
      <c r="C69" s="140">
        <f t="shared" si="1"/>
        <v>2</v>
      </c>
      <c r="D69" s="140"/>
      <c r="E69" s="140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>
        <f>1</f>
        <v>1</v>
      </c>
      <c r="X69" s="143"/>
      <c r="Y69" s="143">
        <f>1</f>
        <v>1</v>
      </c>
      <c r="Z69" s="143"/>
      <c r="AA69" s="143"/>
      <c r="AB69" s="143"/>
      <c r="AC69" s="143"/>
      <c r="AD69" s="143"/>
      <c r="AE69" s="143"/>
      <c r="AF69" s="143"/>
      <c r="AG69" s="143"/>
      <c r="AH69" s="143"/>
    </row>
    <row r="70" spans="1:34" ht="16.5">
      <c r="A70" s="225"/>
      <c r="B70" s="141" t="s">
        <v>721</v>
      </c>
      <c r="C70" s="140">
        <f t="shared" si="1"/>
        <v>55</v>
      </c>
      <c r="D70" s="140"/>
      <c r="E70" s="140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>
        <f>2</f>
        <v>2</v>
      </c>
      <c r="X70" s="143"/>
      <c r="Y70" s="143">
        <f>7+11+1+1+1</f>
        <v>21</v>
      </c>
      <c r="Z70" s="143">
        <f>1+2+5+5+4+8</f>
        <v>25</v>
      </c>
      <c r="AA70" s="143"/>
      <c r="AB70" s="143"/>
      <c r="AC70" s="143">
        <f>1+3+3</f>
        <v>7</v>
      </c>
      <c r="AD70" s="143"/>
      <c r="AE70" s="143"/>
      <c r="AF70" s="143"/>
      <c r="AG70" s="143"/>
      <c r="AH70" s="143"/>
    </row>
    <row r="71" spans="1:34" ht="16.5">
      <c r="A71" s="226"/>
      <c r="B71" s="141" t="s">
        <v>722</v>
      </c>
      <c r="C71" s="140">
        <f t="shared" si="1"/>
        <v>89</v>
      </c>
      <c r="D71" s="140"/>
      <c r="E71" s="140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>
        <f>10</f>
        <v>10</v>
      </c>
      <c r="X71" s="143">
        <f>2</f>
        <v>2</v>
      </c>
      <c r="Y71" s="143">
        <f>3+13+16+2+2+1</f>
        <v>37</v>
      </c>
      <c r="Z71" s="143">
        <f>1+2+7+7+6+10</f>
        <v>33</v>
      </c>
      <c r="AA71" s="143"/>
      <c r="AB71" s="143"/>
      <c r="AC71" s="143">
        <f>1+3+3</f>
        <v>7</v>
      </c>
      <c r="AD71" s="143"/>
      <c r="AE71" s="143"/>
      <c r="AF71" s="143"/>
      <c r="AG71" s="143"/>
      <c r="AH71" s="143"/>
    </row>
    <row r="72" spans="1:34" ht="16.5">
      <c r="A72" s="221" t="s">
        <v>280</v>
      </c>
      <c r="B72" s="144" t="s">
        <v>720</v>
      </c>
      <c r="C72" s="144">
        <f t="shared" si="1"/>
        <v>8</v>
      </c>
      <c r="D72" s="144"/>
      <c r="E72" s="144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>
        <f>2+1+1+1+1</f>
        <v>6</v>
      </c>
      <c r="AB72" s="145">
        <v>2</v>
      </c>
      <c r="AC72" s="145"/>
      <c r="AD72" s="145"/>
      <c r="AE72" s="145"/>
      <c r="AF72" s="145"/>
      <c r="AG72" s="145"/>
      <c r="AH72" s="145"/>
    </row>
    <row r="73" spans="1:34" ht="16.5">
      <c r="A73" s="222"/>
      <c r="B73" s="144" t="s">
        <v>721</v>
      </c>
      <c r="C73" s="144">
        <f t="shared" si="1"/>
        <v>60</v>
      </c>
      <c r="D73" s="144"/>
      <c r="E73" s="144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>
        <f>2+1+2+1</f>
        <v>6</v>
      </c>
      <c r="AB73" s="145">
        <f>2+2</f>
        <v>4</v>
      </c>
      <c r="AC73" s="145">
        <f>7+4+1+5+8+7+4+1+5+8</f>
        <v>50</v>
      </c>
      <c r="AD73" s="145"/>
      <c r="AE73" s="145"/>
      <c r="AF73" s="145"/>
      <c r="AG73" s="145"/>
      <c r="AH73" s="145"/>
    </row>
    <row r="74" spans="1:34" ht="16.5">
      <c r="A74" s="223"/>
      <c r="B74" s="144" t="s">
        <v>722</v>
      </c>
      <c r="C74" s="144">
        <f t="shared" si="1"/>
        <v>136</v>
      </c>
      <c r="D74" s="144"/>
      <c r="E74" s="144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  <c r="AA74" s="145">
        <f>10+8+4+10+8+4</f>
        <v>44</v>
      </c>
      <c r="AB74" s="145">
        <f>6+6</f>
        <v>12</v>
      </c>
      <c r="AC74" s="145">
        <f>13+6+2+7+12+13+6+2+7+12</f>
        <v>80</v>
      </c>
      <c r="AD74" s="145"/>
      <c r="AE74" s="145"/>
      <c r="AF74" s="145"/>
      <c r="AG74" s="145"/>
      <c r="AH74" s="145"/>
    </row>
    <row r="75" spans="1:34" ht="16.5">
      <c r="A75" s="224" t="s">
        <v>387</v>
      </c>
      <c r="B75" s="141" t="s">
        <v>720</v>
      </c>
      <c r="C75" s="140">
        <f t="shared" si="1"/>
        <v>0</v>
      </c>
      <c r="D75" s="140"/>
      <c r="E75" s="140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3"/>
      <c r="AA75" s="143"/>
      <c r="AB75" s="143"/>
      <c r="AC75" s="143"/>
      <c r="AD75" s="143"/>
      <c r="AE75" s="143"/>
      <c r="AF75" s="143"/>
      <c r="AG75" s="143"/>
      <c r="AH75" s="143"/>
    </row>
    <row r="76" spans="1:34" ht="16.5">
      <c r="A76" s="225"/>
      <c r="B76" s="141" t="s">
        <v>721</v>
      </c>
      <c r="C76" s="140">
        <f t="shared" si="1"/>
        <v>56</v>
      </c>
      <c r="D76" s="140"/>
      <c r="E76" s="140"/>
      <c r="F76" s="143"/>
      <c r="G76" s="143"/>
      <c r="H76" s="143"/>
      <c r="I76" s="143"/>
      <c r="J76" s="143"/>
      <c r="K76" s="143"/>
      <c r="L76" s="143"/>
      <c r="M76" s="143"/>
      <c r="N76" s="143"/>
      <c r="O76" s="143">
        <f>1</f>
        <v>1</v>
      </c>
      <c r="P76" s="143"/>
      <c r="Q76" s="143"/>
      <c r="R76" s="143"/>
      <c r="S76" s="143"/>
      <c r="T76" s="143"/>
      <c r="U76" s="143">
        <v>1</v>
      </c>
      <c r="V76" s="143"/>
      <c r="W76" s="143"/>
      <c r="X76" s="143"/>
      <c r="Y76" s="143"/>
      <c r="Z76" s="143"/>
      <c r="AA76" s="143"/>
      <c r="AB76" s="143">
        <f>22</f>
        <v>22</v>
      </c>
      <c r="AC76" s="143">
        <f>1+5+5+2+2+11+6</f>
        <v>32</v>
      </c>
      <c r="AD76" s="143"/>
      <c r="AE76" s="143"/>
      <c r="AF76" s="143"/>
      <c r="AG76" s="143"/>
      <c r="AH76" s="143"/>
    </row>
    <row r="77" spans="1:34" ht="16.5">
      <c r="A77" s="226"/>
      <c r="B77" s="141" t="s">
        <v>722</v>
      </c>
      <c r="C77" s="140">
        <f t="shared" si="1"/>
        <v>85</v>
      </c>
      <c r="D77" s="140"/>
      <c r="E77" s="140"/>
      <c r="F77" s="143"/>
      <c r="G77" s="143"/>
      <c r="H77" s="143"/>
      <c r="I77" s="143"/>
      <c r="J77" s="143"/>
      <c r="K77" s="143"/>
      <c r="L77" s="143"/>
      <c r="M77" s="143"/>
      <c r="N77" s="143"/>
      <c r="O77" s="143">
        <f>1</f>
        <v>1</v>
      </c>
      <c r="P77" s="143"/>
      <c r="Q77" s="143"/>
      <c r="R77" s="143"/>
      <c r="S77" s="143"/>
      <c r="T77" s="143"/>
      <c r="U77" s="143">
        <v>1</v>
      </c>
      <c r="V77" s="143"/>
      <c r="W77" s="143"/>
      <c r="X77" s="143"/>
      <c r="Y77" s="143"/>
      <c r="Z77" s="143"/>
      <c r="AA77" s="143"/>
      <c r="AB77" s="143">
        <f>38</f>
        <v>38</v>
      </c>
      <c r="AC77" s="143">
        <f>1+7+7+2+2+18+8</f>
        <v>45</v>
      </c>
      <c r="AD77" s="143"/>
      <c r="AE77" s="143"/>
      <c r="AF77" s="143"/>
      <c r="AG77" s="143"/>
      <c r="AH77" s="143"/>
    </row>
    <row r="78" spans="1:34" ht="16.5">
      <c r="A78" s="221" t="s">
        <v>388</v>
      </c>
      <c r="B78" s="144" t="s">
        <v>720</v>
      </c>
      <c r="C78" s="144">
        <f t="shared" si="1"/>
        <v>0</v>
      </c>
      <c r="D78" s="144"/>
      <c r="E78" s="144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  <c r="AB78" s="145"/>
      <c r="AC78" s="145"/>
      <c r="AD78" s="145"/>
      <c r="AE78" s="145"/>
      <c r="AF78" s="145"/>
      <c r="AG78" s="145"/>
      <c r="AH78" s="145"/>
    </row>
    <row r="79" spans="1:34" ht="16.5">
      <c r="A79" s="222"/>
      <c r="B79" s="144" t="s">
        <v>721</v>
      </c>
      <c r="C79" s="144">
        <f t="shared" si="1"/>
        <v>16</v>
      </c>
      <c r="D79" s="144"/>
      <c r="E79" s="144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  <c r="AB79" s="145">
        <f>4</f>
        <v>4</v>
      </c>
      <c r="AC79" s="145"/>
      <c r="AD79" s="145"/>
      <c r="AE79" s="145"/>
      <c r="AF79" s="145"/>
      <c r="AG79" s="145"/>
      <c r="AH79" s="145">
        <f>12</f>
        <v>12</v>
      </c>
    </row>
    <row r="80" spans="1:34" ht="16.5">
      <c r="A80" s="223"/>
      <c r="B80" s="144" t="s">
        <v>722</v>
      </c>
      <c r="C80" s="144">
        <f t="shared" si="1"/>
        <v>37</v>
      </c>
      <c r="D80" s="144"/>
      <c r="E80" s="144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  <c r="AB80" s="145">
        <f>4</f>
        <v>4</v>
      </c>
      <c r="AC80" s="145"/>
      <c r="AD80" s="145"/>
      <c r="AE80" s="145"/>
      <c r="AF80" s="145"/>
      <c r="AG80" s="145">
        <v>2</v>
      </c>
      <c r="AH80" s="145">
        <v>31</v>
      </c>
    </row>
    <row r="81" spans="1:34" ht="16.5">
      <c r="A81" s="224" t="s">
        <v>138</v>
      </c>
      <c r="B81" s="141" t="s">
        <v>720</v>
      </c>
      <c r="C81" s="140">
        <f t="shared" si="1"/>
        <v>0</v>
      </c>
      <c r="D81" s="140"/>
      <c r="E81" s="140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  <c r="Z81" s="143"/>
      <c r="AA81" s="143"/>
      <c r="AB81" s="143"/>
      <c r="AC81" s="143"/>
      <c r="AD81" s="143"/>
      <c r="AE81" s="143"/>
      <c r="AF81" s="143"/>
      <c r="AG81" s="143"/>
      <c r="AH81" s="143"/>
    </row>
    <row r="82" spans="1:34" ht="16.5">
      <c r="A82" s="225"/>
      <c r="B82" s="141" t="s">
        <v>721</v>
      </c>
      <c r="C82" s="140">
        <f t="shared" si="1"/>
        <v>12</v>
      </c>
      <c r="D82" s="140"/>
      <c r="E82" s="140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  <c r="AA82" s="143"/>
      <c r="AB82" s="143"/>
      <c r="AC82" s="143"/>
      <c r="AD82" s="143">
        <v>1</v>
      </c>
      <c r="AE82" s="143">
        <f>2*3+3</f>
        <v>9</v>
      </c>
      <c r="AF82" s="143">
        <v>2</v>
      </c>
      <c r="AG82" s="143"/>
      <c r="AH82" s="143"/>
    </row>
    <row r="83" spans="1:34" ht="16.5">
      <c r="A83" s="226"/>
      <c r="B83" s="141" t="s">
        <v>722</v>
      </c>
      <c r="C83" s="140">
        <f t="shared" si="1"/>
        <v>22</v>
      </c>
      <c r="D83" s="140"/>
      <c r="E83" s="140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3"/>
      <c r="AA83" s="143"/>
      <c r="AB83" s="143"/>
      <c r="AC83" s="143"/>
      <c r="AD83" s="143">
        <v>3</v>
      </c>
      <c r="AE83" s="143">
        <f>2*4+5</f>
        <v>13</v>
      </c>
      <c r="AF83" s="143">
        <v>6</v>
      </c>
      <c r="AG83" s="143"/>
      <c r="AH83" s="143"/>
    </row>
    <row r="84" spans="1:34" ht="16.5">
      <c r="A84" s="221" t="s">
        <v>144</v>
      </c>
      <c r="B84" s="144" t="s">
        <v>720</v>
      </c>
      <c r="C84" s="144">
        <f t="shared" si="1"/>
        <v>0</v>
      </c>
      <c r="D84" s="144"/>
      <c r="E84" s="144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  <c r="AC84" s="145"/>
      <c r="AD84" s="145"/>
      <c r="AE84" s="145"/>
      <c r="AF84" s="145"/>
      <c r="AG84" s="145"/>
      <c r="AH84" s="145"/>
    </row>
    <row r="85" spans="1:34" ht="16.5">
      <c r="A85" s="222"/>
      <c r="B85" s="144" t="s">
        <v>721</v>
      </c>
      <c r="C85" s="144">
        <f t="shared" si="1"/>
        <v>12</v>
      </c>
      <c r="D85" s="144"/>
      <c r="E85" s="144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  <c r="AB85" s="145"/>
      <c r="AC85" s="145"/>
      <c r="AD85" s="145">
        <f>2*3+4</f>
        <v>10</v>
      </c>
      <c r="AE85" s="145"/>
      <c r="AF85" s="145">
        <f>2</f>
        <v>2</v>
      </c>
      <c r="AG85" s="145"/>
      <c r="AH85" s="145"/>
    </row>
    <row r="86" spans="1:34" ht="16.5">
      <c r="A86" s="223"/>
      <c r="B86" s="144" t="s">
        <v>722</v>
      </c>
      <c r="C86" s="144">
        <f t="shared" si="1"/>
        <v>22</v>
      </c>
      <c r="D86" s="144"/>
      <c r="E86" s="144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  <c r="AC86" s="145"/>
      <c r="AD86" s="145">
        <f>2*4+6</f>
        <v>14</v>
      </c>
      <c r="AE86" s="145"/>
      <c r="AF86" s="145">
        <f>8</f>
        <v>8</v>
      </c>
      <c r="AG86" s="145"/>
      <c r="AH86" s="145"/>
    </row>
    <row r="87" spans="1:34" ht="16.5">
      <c r="A87" s="224" t="s">
        <v>393</v>
      </c>
      <c r="B87" s="141" t="s">
        <v>720</v>
      </c>
      <c r="C87" s="140">
        <f t="shared" si="1"/>
        <v>5</v>
      </c>
      <c r="D87" s="140"/>
      <c r="E87" s="140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>
        <f>1+4</f>
        <v>5</v>
      </c>
      <c r="V87" s="143"/>
      <c r="W87" s="143"/>
      <c r="X87" s="143"/>
      <c r="Y87" s="143"/>
      <c r="Z87" s="143"/>
      <c r="AA87" s="143"/>
      <c r="AB87" s="143"/>
      <c r="AC87" s="143"/>
      <c r="AD87" s="143"/>
      <c r="AE87" s="143"/>
      <c r="AF87" s="143"/>
      <c r="AG87" s="143"/>
      <c r="AH87" s="143"/>
    </row>
    <row r="88" spans="1:34" ht="16.5">
      <c r="A88" s="225"/>
      <c r="B88" s="141" t="s">
        <v>721</v>
      </c>
      <c r="C88" s="140">
        <f t="shared" si="1"/>
        <v>32</v>
      </c>
      <c r="D88" s="140"/>
      <c r="E88" s="140"/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>
        <f>2+8+4+4+1</f>
        <v>19</v>
      </c>
      <c r="V88" s="143">
        <f>10</f>
        <v>10</v>
      </c>
      <c r="W88" s="143"/>
      <c r="X88" s="143"/>
      <c r="Y88" s="143"/>
      <c r="Z88" s="143"/>
      <c r="AA88" s="143"/>
      <c r="AB88" s="143"/>
      <c r="AC88" s="143"/>
      <c r="AD88" s="143">
        <f>3</f>
        <v>3</v>
      </c>
      <c r="AE88" s="143"/>
      <c r="AF88" s="143"/>
      <c r="AG88" s="143"/>
      <c r="AH88" s="143"/>
    </row>
    <row r="89" spans="1:34" ht="16.5">
      <c r="A89" s="226"/>
      <c r="B89" s="141" t="s">
        <v>722</v>
      </c>
      <c r="C89" s="140">
        <f t="shared" si="1"/>
        <v>77</v>
      </c>
      <c r="D89" s="140"/>
      <c r="E89" s="140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>
        <f>9+18+13+16+3</f>
        <v>59</v>
      </c>
      <c r="V89" s="143">
        <f>12</f>
        <v>12</v>
      </c>
      <c r="W89" s="143"/>
      <c r="X89" s="143"/>
      <c r="Y89" s="143"/>
      <c r="Z89" s="143"/>
      <c r="AA89" s="143"/>
      <c r="AB89" s="143"/>
      <c r="AC89" s="143"/>
      <c r="AD89" s="143">
        <f>6</f>
        <v>6</v>
      </c>
      <c r="AE89" s="143"/>
      <c r="AF89" s="143"/>
      <c r="AG89" s="143"/>
      <c r="AH89" s="143"/>
    </row>
    <row r="90" spans="1:34" ht="16.5">
      <c r="A90" s="221" t="s">
        <v>421</v>
      </c>
      <c r="B90" s="144" t="s">
        <v>720</v>
      </c>
      <c r="C90" s="144">
        <f t="shared" si="1"/>
        <v>1</v>
      </c>
      <c r="D90" s="144"/>
      <c r="E90" s="144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>
        <v>1</v>
      </c>
      <c r="V90" s="145"/>
      <c r="W90" s="145"/>
      <c r="X90" s="145"/>
      <c r="Y90" s="145"/>
      <c r="Z90" s="145"/>
      <c r="AA90" s="145"/>
      <c r="AB90" s="145"/>
      <c r="AC90" s="145"/>
      <c r="AD90" s="145"/>
      <c r="AE90" s="145"/>
      <c r="AF90" s="145"/>
      <c r="AG90" s="145"/>
      <c r="AH90" s="145"/>
    </row>
    <row r="91" spans="1:34" ht="16.5">
      <c r="A91" s="222"/>
      <c r="B91" s="144" t="s">
        <v>721</v>
      </c>
      <c r="C91" s="144">
        <f t="shared" si="1"/>
        <v>28</v>
      </c>
      <c r="D91" s="144"/>
      <c r="E91" s="144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>
        <v>18</v>
      </c>
      <c r="V91" s="145">
        <f>3+7</f>
        <v>10</v>
      </c>
      <c r="W91" s="145"/>
      <c r="X91" s="145"/>
      <c r="Y91" s="145"/>
      <c r="Z91" s="145"/>
      <c r="AA91" s="145"/>
      <c r="AB91" s="145"/>
      <c r="AC91" s="145"/>
      <c r="AD91" s="145"/>
      <c r="AE91" s="145"/>
      <c r="AF91" s="145"/>
      <c r="AG91" s="145"/>
      <c r="AH91" s="145"/>
    </row>
    <row r="92" spans="1:34" ht="16.5">
      <c r="A92" s="223"/>
      <c r="B92" s="144" t="s">
        <v>722</v>
      </c>
      <c r="C92" s="144">
        <f t="shared" si="1"/>
        <v>47</v>
      </c>
      <c r="D92" s="144"/>
      <c r="E92" s="144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>
        <v>33</v>
      </c>
      <c r="V92" s="145">
        <f>5+9</f>
        <v>14</v>
      </c>
      <c r="W92" s="145"/>
      <c r="X92" s="145"/>
      <c r="Y92" s="145"/>
      <c r="Z92" s="145"/>
      <c r="AA92" s="145"/>
      <c r="AB92" s="145"/>
      <c r="AC92" s="145"/>
      <c r="AD92" s="145"/>
      <c r="AE92" s="145"/>
      <c r="AF92" s="145"/>
      <c r="AG92" s="145"/>
      <c r="AH92" s="145"/>
    </row>
    <row r="93" spans="1:34" ht="16.5">
      <c r="A93" s="224" t="s">
        <v>152</v>
      </c>
      <c r="B93" s="141" t="s">
        <v>720</v>
      </c>
      <c r="C93" s="140">
        <f t="shared" si="1"/>
        <v>2</v>
      </c>
      <c r="D93" s="140"/>
      <c r="E93" s="140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>
        <v>1</v>
      </c>
      <c r="U93" s="143">
        <v>1</v>
      </c>
      <c r="V93" s="143"/>
      <c r="W93" s="143"/>
      <c r="X93" s="143"/>
      <c r="Y93" s="143"/>
      <c r="Z93" s="143"/>
      <c r="AA93" s="143"/>
      <c r="AB93" s="143"/>
      <c r="AC93" s="143"/>
      <c r="AD93" s="143"/>
      <c r="AE93" s="143"/>
      <c r="AF93" s="143"/>
      <c r="AG93" s="143"/>
      <c r="AH93" s="143"/>
    </row>
    <row r="94" spans="1:34" ht="16.5">
      <c r="A94" s="225"/>
      <c r="B94" s="141" t="s">
        <v>721</v>
      </c>
      <c r="C94" s="140">
        <f t="shared" si="1"/>
        <v>81</v>
      </c>
      <c r="D94" s="140"/>
      <c r="E94" s="140"/>
      <c r="F94" s="143"/>
      <c r="G94" s="143"/>
      <c r="H94" s="143"/>
      <c r="I94" s="143">
        <f>1+1</f>
        <v>2</v>
      </c>
      <c r="J94" s="143"/>
      <c r="K94" s="143"/>
      <c r="L94" s="143"/>
      <c r="M94" s="143"/>
      <c r="N94" s="143"/>
      <c r="O94" s="143">
        <v>5</v>
      </c>
      <c r="P94" s="143"/>
      <c r="Q94" s="143"/>
      <c r="R94" s="143"/>
      <c r="S94" s="143"/>
      <c r="T94" s="143">
        <f>2+1</f>
        <v>3</v>
      </c>
      <c r="U94" s="143">
        <f>12+3+7+2+14</f>
        <v>38</v>
      </c>
      <c r="V94" s="143">
        <f>1+7+1+6+5+4+1</f>
        <v>25</v>
      </c>
      <c r="W94" s="143"/>
      <c r="X94" s="143"/>
      <c r="Y94" s="143"/>
      <c r="Z94" s="143">
        <f>2+3</f>
        <v>5</v>
      </c>
      <c r="AA94" s="143"/>
      <c r="AB94" s="143">
        <f>3</f>
        <v>3</v>
      </c>
      <c r="AC94" s="143"/>
      <c r="AD94" s="143"/>
      <c r="AE94" s="143"/>
      <c r="AF94" s="143"/>
      <c r="AG94" s="143"/>
      <c r="AH94" s="143"/>
    </row>
    <row r="95" spans="1:34" ht="16.5">
      <c r="A95" s="226"/>
      <c r="B95" s="141" t="s">
        <v>722</v>
      </c>
      <c r="C95" s="140">
        <f t="shared" si="1"/>
        <v>145</v>
      </c>
      <c r="D95" s="140"/>
      <c r="E95" s="140"/>
      <c r="F95" s="143"/>
      <c r="G95" s="143"/>
      <c r="H95" s="143"/>
      <c r="I95" s="143">
        <f>1+1</f>
        <v>2</v>
      </c>
      <c r="J95" s="143"/>
      <c r="K95" s="143"/>
      <c r="L95" s="143"/>
      <c r="M95" s="143"/>
      <c r="N95" s="143"/>
      <c r="O95" s="143">
        <v>9</v>
      </c>
      <c r="P95" s="143"/>
      <c r="Q95" s="143"/>
      <c r="R95" s="143"/>
      <c r="S95" s="143"/>
      <c r="T95" s="143">
        <f>11+1</f>
        <v>12</v>
      </c>
      <c r="U95" s="143">
        <f>35+15+2+27</f>
        <v>79</v>
      </c>
      <c r="V95" s="143">
        <f>1+9+1+8+7+6+1</f>
        <v>33</v>
      </c>
      <c r="W95" s="143"/>
      <c r="X95" s="143"/>
      <c r="Y95" s="143"/>
      <c r="Z95" s="143">
        <f>3+4</f>
        <v>7</v>
      </c>
      <c r="AA95" s="143"/>
      <c r="AB95" s="143">
        <f>3</f>
        <v>3</v>
      </c>
      <c r="AC95" s="143"/>
      <c r="AD95" s="143"/>
      <c r="AE95" s="143"/>
      <c r="AF95" s="143"/>
      <c r="AG95" s="143"/>
      <c r="AH95" s="143"/>
    </row>
    <row r="96" spans="1:34" ht="16.5">
      <c r="A96" s="221" t="s">
        <v>396</v>
      </c>
      <c r="B96" s="144" t="s">
        <v>720</v>
      </c>
      <c r="C96" s="144">
        <f t="shared" si="1"/>
        <v>0</v>
      </c>
      <c r="D96" s="144"/>
      <c r="E96" s="144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45"/>
      <c r="AF96" s="145"/>
      <c r="AG96" s="145"/>
      <c r="AH96" s="145"/>
    </row>
    <row r="97" spans="1:34" ht="16.5">
      <c r="A97" s="222"/>
      <c r="B97" s="144" t="s">
        <v>721</v>
      </c>
      <c r="C97" s="144">
        <f t="shared" si="1"/>
        <v>25</v>
      </c>
      <c r="D97" s="144"/>
      <c r="E97" s="144"/>
      <c r="F97" s="145"/>
      <c r="G97" s="145"/>
      <c r="H97" s="145"/>
      <c r="I97" s="145"/>
      <c r="J97" s="145"/>
      <c r="K97" s="145">
        <v>1</v>
      </c>
      <c r="L97" s="145"/>
      <c r="M97" s="145"/>
      <c r="N97" s="145"/>
      <c r="O97" s="145">
        <v>1</v>
      </c>
      <c r="P97" s="145"/>
      <c r="Q97" s="145"/>
      <c r="R97" s="145"/>
      <c r="S97" s="145"/>
      <c r="T97" s="145"/>
      <c r="U97" s="145"/>
      <c r="V97" s="145">
        <v>20</v>
      </c>
      <c r="W97" s="145"/>
      <c r="X97" s="145"/>
      <c r="Y97" s="145">
        <v>1</v>
      </c>
      <c r="Z97" s="145"/>
      <c r="AA97" s="145"/>
      <c r="AB97" s="145"/>
      <c r="AC97" s="145"/>
      <c r="AD97" s="145">
        <v>2</v>
      </c>
      <c r="AE97" s="145"/>
      <c r="AF97" s="145"/>
      <c r="AG97" s="145"/>
      <c r="AH97" s="145"/>
    </row>
    <row r="98" spans="1:34" ht="16.5">
      <c r="A98" s="223"/>
      <c r="B98" s="144" t="s">
        <v>722</v>
      </c>
      <c r="C98" s="144">
        <f t="shared" si="1"/>
        <v>34</v>
      </c>
      <c r="D98" s="144"/>
      <c r="E98" s="144"/>
      <c r="F98" s="145"/>
      <c r="G98" s="145"/>
      <c r="H98" s="145"/>
      <c r="I98" s="145"/>
      <c r="J98" s="145"/>
      <c r="K98" s="145">
        <v>1</v>
      </c>
      <c r="L98" s="145"/>
      <c r="M98" s="145"/>
      <c r="N98" s="145"/>
      <c r="O98" s="145">
        <v>1</v>
      </c>
      <c r="P98" s="145"/>
      <c r="Q98" s="145"/>
      <c r="R98" s="145"/>
      <c r="S98" s="145"/>
      <c r="T98" s="145"/>
      <c r="U98" s="145"/>
      <c r="V98" s="145">
        <v>29</v>
      </c>
      <c r="W98" s="145"/>
      <c r="X98" s="145"/>
      <c r="Y98" s="145">
        <v>1</v>
      </c>
      <c r="Z98" s="145"/>
      <c r="AA98" s="145"/>
      <c r="AB98" s="145"/>
      <c r="AC98" s="145"/>
      <c r="AD98" s="145">
        <v>2</v>
      </c>
      <c r="AE98" s="145"/>
      <c r="AF98" s="145"/>
      <c r="AG98" s="145"/>
      <c r="AH98" s="145"/>
    </row>
    <row r="99" spans="1:34" ht="16.5">
      <c r="A99" s="224" t="s">
        <v>397</v>
      </c>
      <c r="B99" s="141" t="s">
        <v>720</v>
      </c>
      <c r="C99" s="140">
        <f t="shared" si="1"/>
        <v>2</v>
      </c>
      <c r="D99" s="140">
        <v>2</v>
      </c>
      <c r="E99" s="140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  <c r="AA99" s="143"/>
      <c r="AB99" s="143"/>
      <c r="AC99" s="143"/>
      <c r="AD99" s="143"/>
      <c r="AE99" s="143"/>
      <c r="AF99" s="143"/>
      <c r="AG99" s="143"/>
      <c r="AH99" s="143"/>
    </row>
    <row r="100" spans="1:34" ht="16.5">
      <c r="A100" s="225"/>
      <c r="B100" s="141" t="s">
        <v>721</v>
      </c>
      <c r="C100" s="140">
        <f t="shared" si="1"/>
        <v>10</v>
      </c>
      <c r="D100" s="140">
        <f>2+2+2</f>
        <v>6</v>
      </c>
      <c r="E100" s="140">
        <f>1+1</f>
        <v>2</v>
      </c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>
        <f>2</f>
        <v>2</v>
      </c>
      <c r="R100" s="143"/>
      <c r="S100" s="143"/>
      <c r="T100" s="143"/>
      <c r="U100" s="143"/>
      <c r="V100" s="143"/>
      <c r="W100" s="143"/>
      <c r="X100" s="143"/>
      <c r="Y100" s="143"/>
      <c r="Z100" s="143"/>
      <c r="AA100" s="143"/>
      <c r="AB100" s="143"/>
      <c r="AC100" s="143"/>
      <c r="AD100" s="143"/>
      <c r="AE100" s="143"/>
      <c r="AF100" s="143"/>
      <c r="AG100" s="143"/>
      <c r="AH100" s="143"/>
    </row>
    <row r="101" spans="1:34" ht="16.5">
      <c r="A101" s="226"/>
      <c r="B101" s="141" t="s">
        <v>722</v>
      </c>
      <c r="C101" s="140">
        <f t="shared" si="1"/>
        <v>21</v>
      </c>
      <c r="D101" s="140">
        <f>7*2+3</f>
        <v>17</v>
      </c>
      <c r="E101" s="140">
        <f>1*2</f>
        <v>2</v>
      </c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>
        <f>2</f>
        <v>2</v>
      </c>
      <c r="R101" s="143"/>
      <c r="S101" s="143"/>
      <c r="T101" s="143"/>
      <c r="U101" s="143"/>
      <c r="V101" s="143"/>
      <c r="W101" s="143"/>
      <c r="X101" s="143"/>
      <c r="Y101" s="143"/>
      <c r="Z101" s="143"/>
      <c r="AA101" s="143"/>
      <c r="AB101" s="143"/>
      <c r="AC101" s="143"/>
      <c r="AD101" s="143"/>
      <c r="AE101" s="143"/>
      <c r="AF101" s="143"/>
      <c r="AG101" s="143"/>
      <c r="AH101" s="143"/>
    </row>
    <row r="102" spans="1:34" ht="16.5">
      <c r="A102" s="221" t="s">
        <v>157</v>
      </c>
      <c r="B102" s="144" t="s">
        <v>720</v>
      </c>
      <c r="C102" s="144">
        <f t="shared" si="1"/>
        <v>5</v>
      </c>
      <c r="D102" s="144"/>
      <c r="E102" s="144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>
        <f>2+1</f>
        <v>3</v>
      </c>
      <c r="R102" s="145"/>
      <c r="S102" s="145"/>
      <c r="T102" s="145"/>
      <c r="U102" s="145">
        <v>2</v>
      </c>
      <c r="V102" s="145"/>
      <c r="W102" s="145"/>
      <c r="X102" s="145"/>
      <c r="Y102" s="145"/>
      <c r="Z102" s="145"/>
      <c r="AA102" s="145"/>
      <c r="AB102" s="145"/>
      <c r="AC102" s="145"/>
      <c r="AD102" s="145"/>
      <c r="AE102" s="145"/>
      <c r="AF102" s="145"/>
      <c r="AG102" s="145"/>
      <c r="AH102" s="145"/>
    </row>
    <row r="103" spans="1:34" ht="16.5">
      <c r="A103" s="222"/>
      <c r="B103" s="144" t="s">
        <v>721</v>
      </c>
      <c r="C103" s="144">
        <f t="shared" si="1"/>
        <v>80</v>
      </c>
      <c r="D103" s="144"/>
      <c r="E103" s="144"/>
      <c r="F103" s="145"/>
      <c r="G103" s="145"/>
      <c r="H103" s="145"/>
      <c r="I103" s="145"/>
      <c r="J103" s="145"/>
      <c r="K103" s="145"/>
      <c r="L103" s="145"/>
      <c r="M103" s="145"/>
      <c r="N103" s="145">
        <f>1</f>
        <v>1</v>
      </c>
      <c r="O103" s="145"/>
      <c r="P103" s="145"/>
      <c r="Q103" s="145">
        <f>15+7</f>
        <v>22</v>
      </c>
      <c r="R103" s="145">
        <v>18</v>
      </c>
      <c r="S103" s="145">
        <v>11</v>
      </c>
      <c r="T103" s="145"/>
      <c r="U103" s="145">
        <f>9</f>
        <v>9</v>
      </c>
      <c r="V103" s="145">
        <f>19</f>
        <v>19</v>
      </c>
      <c r="W103" s="145"/>
      <c r="X103" s="145"/>
      <c r="Y103" s="145"/>
      <c r="Z103" s="145"/>
      <c r="AA103" s="145"/>
      <c r="AB103" s="145"/>
      <c r="AC103" s="145"/>
      <c r="AD103" s="145"/>
      <c r="AE103" s="145"/>
      <c r="AF103" s="145"/>
      <c r="AG103" s="145"/>
      <c r="AH103" s="145"/>
    </row>
    <row r="104" spans="1:34" ht="16.5">
      <c r="A104" s="223"/>
      <c r="B104" s="144" t="s">
        <v>722</v>
      </c>
      <c r="C104" s="144">
        <f t="shared" si="1"/>
        <v>171</v>
      </c>
      <c r="D104" s="144"/>
      <c r="E104" s="144"/>
      <c r="F104" s="145"/>
      <c r="G104" s="145"/>
      <c r="H104" s="145"/>
      <c r="I104" s="145"/>
      <c r="J104" s="145"/>
      <c r="K104" s="145"/>
      <c r="L104" s="145"/>
      <c r="M104" s="145"/>
      <c r="N104" s="145">
        <f>1</f>
        <v>1</v>
      </c>
      <c r="O104" s="145"/>
      <c r="P104" s="145"/>
      <c r="Q104" s="145">
        <f>37+19</f>
        <v>56</v>
      </c>
      <c r="R104" s="145">
        <v>34</v>
      </c>
      <c r="S104" s="145">
        <v>23</v>
      </c>
      <c r="T104" s="145"/>
      <c r="U104" s="145">
        <f>31</f>
        <v>31</v>
      </c>
      <c r="V104" s="145">
        <f>26</f>
        <v>26</v>
      </c>
      <c r="W104" s="145"/>
      <c r="X104" s="145"/>
      <c r="Y104" s="145"/>
      <c r="Z104" s="145"/>
      <c r="AA104" s="145"/>
      <c r="AB104" s="145"/>
      <c r="AC104" s="145"/>
      <c r="AD104" s="145"/>
      <c r="AE104" s="145"/>
      <c r="AF104" s="145"/>
      <c r="AG104" s="145"/>
      <c r="AH104" s="145"/>
    </row>
    <row r="105" spans="1:34" ht="16.5">
      <c r="A105" s="224" t="s">
        <v>402</v>
      </c>
      <c r="B105" s="141" t="s">
        <v>720</v>
      </c>
      <c r="C105" s="140">
        <f t="shared" si="1"/>
        <v>0</v>
      </c>
      <c r="D105" s="140"/>
      <c r="E105" s="140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  <c r="AA105" s="143"/>
      <c r="AB105" s="143"/>
      <c r="AC105" s="143"/>
      <c r="AD105" s="143"/>
      <c r="AE105" s="143"/>
      <c r="AF105" s="143"/>
      <c r="AG105" s="143"/>
      <c r="AH105" s="143"/>
    </row>
    <row r="106" spans="1:34" ht="16.5">
      <c r="A106" s="225"/>
      <c r="B106" s="141" t="s">
        <v>721</v>
      </c>
      <c r="C106" s="140">
        <f t="shared" si="1"/>
        <v>21</v>
      </c>
      <c r="D106" s="140"/>
      <c r="E106" s="140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>
        <f>12</f>
        <v>12</v>
      </c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>
        <v>9</v>
      </c>
    </row>
    <row r="107" spans="1:34" ht="16.5">
      <c r="A107" s="226"/>
      <c r="B107" s="141" t="s">
        <v>722</v>
      </c>
      <c r="C107" s="140">
        <f t="shared" si="1"/>
        <v>53</v>
      </c>
      <c r="D107" s="140"/>
      <c r="E107" s="140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>
        <f>11+2*4</f>
        <v>19</v>
      </c>
      <c r="R107" s="143"/>
      <c r="S107" s="143"/>
      <c r="T107" s="143"/>
      <c r="U107" s="143"/>
      <c r="V107" s="143"/>
      <c r="W107" s="143"/>
      <c r="X107" s="143"/>
      <c r="Y107" s="143"/>
      <c r="Z107" s="143"/>
      <c r="AA107" s="143"/>
      <c r="AB107" s="143"/>
      <c r="AC107" s="143"/>
      <c r="AD107" s="143"/>
      <c r="AE107" s="143"/>
      <c r="AF107" s="143"/>
      <c r="AG107" s="143">
        <v>8</v>
      </c>
      <c r="AH107" s="143">
        <v>26</v>
      </c>
    </row>
    <row r="108" spans="1:34" ht="16.5">
      <c r="A108" s="221" t="s">
        <v>403</v>
      </c>
      <c r="B108" s="144" t="s">
        <v>720</v>
      </c>
      <c r="C108" s="144">
        <f t="shared" si="1"/>
        <v>0</v>
      </c>
      <c r="D108" s="144"/>
      <c r="E108" s="144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  <c r="AB108" s="145"/>
      <c r="AC108" s="145"/>
      <c r="AD108" s="145"/>
      <c r="AE108" s="145"/>
      <c r="AF108" s="145"/>
      <c r="AG108" s="145"/>
      <c r="AH108" s="145"/>
    </row>
    <row r="109" spans="1:34" ht="16.5">
      <c r="A109" s="222"/>
      <c r="B109" s="144" t="s">
        <v>721</v>
      </c>
      <c r="C109" s="144">
        <f t="shared" si="1"/>
        <v>32</v>
      </c>
      <c r="D109" s="144"/>
      <c r="E109" s="144"/>
      <c r="F109" s="145"/>
      <c r="G109" s="145"/>
      <c r="H109" s="145">
        <f>3</f>
        <v>3</v>
      </c>
      <c r="I109" s="145">
        <f>3</f>
        <v>3</v>
      </c>
      <c r="J109" s="145"/>
      <c r="K109" s="145"/>
      <c r="L109" s="145"/>
      <c r="M109" s="145"/>
      <c r="N109" s="145"/>
      <c r="O109" s="145">
        <f>3*4</f>
        <v>12</v>
      </c>
      <c r="P109" s="145"/>
      <c r="Q109" s="145">
        <f>8</f>
        <v>8</v>
      </c>
      <c r="R109" s="145"/>
      <c r="S109" s="145"/>
      <c r="T109" s="145"/>
      <c r="U109" s="145"/>
      <c r="V109" s="145"/>
      <c r="W109" s="145"/>
      <c r="X109" s="145"/>
      <c r="Y109" s="145">
        <f>3</f>
        <v>3</v>
      </c>
      <c r="Z109" s="145">
        <f>3</f>
        <v>3</v>
      </c>
      <c r="AA109" s="145"/>
      <c r="AB109" s="145"/>
      <c r="AC109" s="145"/>
      <c r="AD109" s="145"/>
      <c r="AE109" s="145"/>
      <c r="AF109" s="145"/>
      <c r="AG109" s="145"/>
      <c r="AH109" s="145"/>
    </row>
    <row r="110" spans="1:34" ht="16.5">
      <c r="A110" s="223"/>
      <c r="B110" s="144" t="s">
        <v>722</v>
      </c>
      <c r="C110" s="144">
        <f t="shared" si="1"/>
        <v>67</v>
      </c>
      <c r="D110" s="144"/>
      <c r="E110" s="144"/>
      <c r="F110" s="145"/>
      <c r="G110" s="145"/>
      <c r="H110" s="145">
        <f t="shared" ref="H110:I110" si="2">6+1</f>
        <v>7</v>
      </c>
      <c r="I110" s="145">
        <f t="shared" si="2"/>
        <v>7</v>
      </c>
      <c r="J110" s="145"/>
      <c r="K110" s="145"/>
      <c r="L110" s="145"/>
      <c r="M110" s="145"/>
      <c r="N110" s="145"/>
      <c r="O110" s="145">
        <f>6*4+1*4</f>
        <v>28</v>
      </c>
      <c r="P110" s="145"/>
      <c r="Q110" s="145">
        <f>11</f>
        <v>11</v>
      </c>
      <c r="R110" s="145"/>
      <c r="S110" s="145"/>
      <c r="T110" s="145"/>
      <c r="U110" s="145"/>
      <c r="V110" s="145"/>
      <c r="W110" s="145"/>
      <c r="X110" s="145"/>
      <c r="Y110" s="145">
        <f>6+1</f>
        <v>7</v>
      </c>
      <c r="Z110" s="145">
        <f>6+1</f>
        <v>7</v>
      </c>
      <c r="AA110" s="145"/>
      <c r="AB110" s="145"/>
      <c r="AC110" s="145"/>
      <c r="AD110" s="145"/>
      <c r="AE110" s="145"/>
      <c r="AF110" s="145"/>
      <c r="AG110" s="145"/>
      <c r="AH110" s="145"/>
    </row>
    <row r="111" spans="1:34" ht="16.5">
      <c r="A111" s="224" t="s">
        <v>404</v>
      </c>
      <c r="B111" s="141" t="s">
        <v>720</v>
      </c>
      <c r="C111" s="140">
        <f t="shared" si="1"/>
        <v>4</v>
      </c>
      <c r="D111" s="140"/>
      <c r="E111" s="140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>
        <v>4</v>
      </c>
      <c r="AG111" s="143"/>
      <c r="AH111" s="143"/>
    </row>
    <row r="112" spans="1:34" ht="16.5">
      <c r="A112" s="225"/>
      <c r="B112" s="141" t="s">
        <v>721</v>
      </c>
      <c r="C112" s="140">
        <f t="shared" si="1"/>
        <v>21</v>
      </c>
      <c r="D112" s="140"/>
      <c r="E112" s="140"/>
      <c r="F112" s="143"/>
      <c r="G112" s="143"/>
      <c r="H112" s="143"/>
      <c r="I112" s="143"/>
      <c r="J112" s="143"/>
      <c r="K112" s="143"/>
      <c r="L112" s="143"/>
      <c r="M112" s="143"/>
      <c r="N112" s="143">
        <v>1</v>
      </c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  <c r="AA112" s="143"/>
      <c r="AB112" s="143"/>
      <c r="AC112" s="143"/>
      <c r="AD112" s="143"/>
      <c r="AE112" s="143"/>
      <c r="AF112" s="143">
        <f>20</f>
        <v>20</v>
      </c>
      <c r="AG112" s="143"/>
      <c r="AH112" s="143"/>
    </row>
    <row r="113" spans="1:34" ht="16.5">
      <c r="A113" s="226"/>
      <c r="B113" s="141" t="s">
        <v>722</v>
      </c>
      <c r="C113" s="140">
        <f t="shared" si="1"/>
        <v>98</v>
      </c>
      <c r="D113" s="140"/>
      <c r="E113" s="140"/>
      <c r="F113" s="143"/>
      <c r="G113" s="143"/>
      <c r="H113" s="143"/>
      <c r="I113" s="143"/>
      <c r="J113" s="143"/>
      <c r="K113" s="143"/>
      <c r="L113" s="143"/>
      <c r="M113" s="143"/>
      <c r="N113" s="143">
        <v>1</v>
      </c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  <c r="AA113" s="143"/>
      <c r="AB113" s="143"/>
      <c r="AC113" s="143"/>
      <c r="AD113" s="143"/>
      <c r="AE113" s="143"/>
      <c r="AF113" s="143">
        <f>2+3+3+2+3+2+1+2+2+3+17*4+6</f>
        <v>97</v>
      </c>
      <c r="AG113" s="143"/>
      <c r="AH113" s="143"/>
    </row>
    <row r="114" spans="1:34" ht="16.5">
      <c r="A114" s="221" t="s">
        <v>163</v>
      </c>
      <c r="B114" s="144" t="s">
        <v>720</v>
      </c>
      <c r="C114" s="144">
        <f t="shared" si="1"/>
        <v>1</v>
      </c>
      <c r="D114" s="144"/>
      <c r="E114" s="144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  <c r="AC114" s="145"/>
      <c r="AD114" s="145"/>
      <c r="AE114" s="145"/>
      <c r="AF114" s="145">
        <v>1</v>
      </c>
      <c r="AG114" s="145"/>
      <c r="AH114" s="145"/>
    </row>
    <row r="115" spans="1:34" ht="16.5">
      <c r="A115" s="222"/>
      <c r="B115" s="144" t="s">
        <v>721</v>
      </c>
      <c r="C115" s="144">
        <f t="shared" si="1"/>
        <v>10</v>
      </c>
      <c r="D115" s="144"/>
      <c r="E115" s="144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>
        <v>3</v>
      </c>
      <c r="X115" s="145"/>
      <c r="Y115" s="145"/>
      <c r="Z115" s="145"/>
      <c r="AA115" s="145"/>
      <c r="AB115" s="145"/>
      <c r="AC115" s="145"/>
      <c r="AD115" s="145"/>
      <c r="AE115" s="145"/>
      <c r="AF115" s="145">
        <v>7</v>
      </c>
      <c r="AG115" s="145"/>
      <c r="AH115" s="145"/>
    </row>
    <row r="116" spans="1:34" ht="16.5">
      <c r="A116" s="223"/>
      <c r="B116" s="144" t="s">
        <v>722</v>
      </c>
      <c r="C116" s="144">
        <f t="shared" si="1"/>
        <v>18</v>
      </c>
      <c r="D116" s="144"/>
      <c r="E116" s="144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>
        <v>4</v>
      </c>
      <c r="X116" s="145"/>
      <c r="Y116" s="145"/>
      <c r="Z116" s="145"/>
      <c r="AA116" s="145"/>
      <c r="AB116" s="145"/>
      <c r="AC116" s="145"/>
      <c r="AD116" s="145"/>
      <c r="AE116" s="145"/>
      <c r="AF116" s="145">
        <v>14</v>
      </c>
      <c r="AG116" s="145"/>
      <c r="AH116" s="145"/>
    </row>
    <row r="117" spans="1:34" ht="16.5">
      <c r="A117" s="224" t="s">
        <v>520</v>
      </c>
      <c r="B117" s="141" t="s">
        <v>720</v>
      </c>
      <c r="C117" s="140">
        <f t="shared" si="1"/>
        <v>1</v>
      </c>
      <c r="D117" s="140"/>
      <c r="E117" s="140"/>
      <c r="F117" s="143">
        <v>1</v>
      </c>
      <c r="G117" s="143"/>
      <c r="H117" s="143"/>
      <c r="I117" s="143"/>
      <c r="J117" s="143"/>
      <c r="K117" s="143"/>
      <c r="L117" s="143"/>
      <c r="M117" s="143"/>
      <c r="N117" s="143"/>
      <c r="O117" s="143"/>
      <c r="P117" s="143"/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  <c r="AH117" s="143"/>
    </row>
    <row r="118" spans="1:34" ht="16.5">
      <c r="A118" s="225"/>
      <c r="B118" s="141" t="s">
        <v>721</v>
      </c>
      <c r="C118" s="140">
        <f t="shared" si="1"/>
        <v>22</v>
      </c>
      <c r="D118" s="140"/>
      <c r="E118" s="140"/>
      <c r="F118" s="143">
        <f>16+2*3</f>
        <v>22</v>
      </c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  <c r="AA118" s="143"/>
      <c r="AB118" s="143"/>
      <c r="AC118" s="143"/>
      <c r="AD118" s="143"/>
      <c r="AE118" s="143"/>
      <c r="AF118" s="143"/>
      <c r="AG118" s="143"/>
      <c r="AH118" s="143"/>
    </row>
    <row r="119" spans="1:34" ht="16.5">
      <c r="A119" s="226"/>
      <c r="B119" s="141" t="s">
        <v>722</v>
      </c>
      <c r="C119" s="140">
        <f t="shared" si="1"/>
        <v>36</v>
      </c>
      <c r="D119" s="140"/>
      <c r="E119" s="140"/>
      <c r="F119" s="143">
        <f>21+6+3*3</f>
        <v>36</v>
      </c>
      <c r="G119" s="143"/>
      <c r="H119" s="143"/>
      <c r="I119" s="143"/>
      <c r="J119" s="143"/>
      <c r="K119" s="143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  <c r="AA119" s="143"/>
      <c r="AB119" s="143"/>
      <c r="AC119" s="143"/>
      <c r="AD119" s="143"/>
      <c r="AE119" s="143"/>
      <c r="AF119" s="143"/>
      <c r="AG119" s="143"/>
      <c r="AH119" s="143"/>
    </row>
    <row r="120" spans="1:34" ht="16.5">
      <c r="A120" s="221" t="s">
        <v>521</v>
      </c>
      <c r="B120" s="144" t="s">
        <v>720</v>
      </c>
      <c r="C120" s="144">
        <f t="shared" si="1"/>
        <v>6</v>
      </c>
      <c r="D120" s="144">
        <f>2*3</f>
        <v>6</v>
      </c>
      <c r="E120" s="144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  <c r="AA120" s="145"/>
      <c r="AB120" s="145"/>
      <c r="AC120" s="145"/>
      <c r="AD120" s="145"/>
      <c r="AE120" s="145"/>
      <c r="AF120" s="145"/>
      <c r="AG120" s="145"/>
      <c r="AH120" s="145"/>
    </row>
    <row r="121" spans="1:34" ht="16.5">
      <c r="A121" s="222"/>
      <c r="B121" s="144" t="s">
        <v>721</v>
      </c>
      <c r="C121" s="144">
        <f t="shared" si="1"/>
        <v>12</v>
      </c>
      <c r="D121" s="144">
        <f>4*3</f>
        <v>12</v>
      </c>
      <c r="E121" s="144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  <c r="AA121" s="145"/>
      <c r="AB121" s="145"/>
      <c r="AC121" s="145"/>
      <c r="AD121" s="145"/>
      <c r="AE121" s="145"/>
      <c r="AF121" s="145"/>
      <c r="AG121" s="145"/>
      <c r="AH121" s="145"/>
    </row>
    <row r="122" spans="1:34" ht="16.5">
      <c r="A122" s="223"/>
      <c r="B122" s="144" t="s">
        <v>722</v>
      </c>
      <c r="C122" s="144">
        <f t="shared" si="1"/>
        <v>51</v>
      </c>
      <c r="D122" s="144">
        <f>7*3+10*3</f>
        <v>51</v>
      </c>
      <c r="E122" s="144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  <c r="AA122" s="145"/>
      <c r="AB122" s="145"/>
      <c r="AC122" s="145"/>
      <c r="AD122" s="145"/>
      <c r="AE122" s="145"/>
      <c r="AF122" s="145"/>
      <c r="AG122" s="145"/>
      <c r="AH122" s="145"/>
    </row>
    <row r="123" spans="1:34" ht="16.5">
      <c r="A123" s="224" t="s">
        <v>407</v>
      </c>
      <c r="B123" s="141" t="s">
        <v>720</v>
      </c>
      <c r="C123" s="140">
        <f t="shared" si="1"/>
        <v>0</v>
      </c>
      <c r="D123" s="140"/>
      <c r="E123" s="140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  <c r="V123" s="143"/>
      <c r="W123" s="143"/>
      <c r="X123" s="143"/>
      <c r="Y123" s="143"/>
      <c r="Z123" s="143"/>
      <c r="AA123" s="143"/>
      <c r="AB123" s="143"/>
      <c r="AC123" s="143"/>
      <c r="AD123" s="143"/>
      <c r="AE123" s="143"/>
      <c r="AF123" s="143"/>
      <c r="AG123" s="143"/>
      <c r="AH123" s="143"/>
    </row>
    <row r="124" spans="1:34" ht="16.5">
      <c r="A124" s="225"/>
      <c r="B124" s="141" t="s">
        <v>721</v>
      </c>
      <c r="C124" s="140">
        <f t="shared" si="1"/>
        <v>50</v>
      </c>
      <c r="D124" s="140"/>
      <c r="E124" s="140"/>
      <c r="F124" s="143"/>
      <c r="G124" s="143"/>
      <c r="H124" s="143"/>
      <c r="I124" s="143"/>
      <c r="J124" s="143">
        <v>5</v>
      </c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  <c r="V124" s="143"/>
      <c r="W124" s="143"/>
      <c r="X124" s="143"/>
      <c r="Y124" s="143"/>
      <c r="Z124" s="143"/>
      <c r="AA124" s="143">
        <v>1</v>
      </c>
      <c r="AB124" s="143"/>
      <c r="AC124" s="143"/>
      <c r="AD124" s="143"/>
      <c r="AE124" s="143"/>
      <c r="AF124" s="143">
        <f>2+2+2+11*3+5</f>
        <v>44</v>
      </c>
      <c r="AG124" s="143"/>
      <c r="AH124" s="143"/>
    </row>
    <row r="125" spans="1:34" ht="16.5">
      <c r="A125" s="226"/>
      <c r="B125" s="141" t="s">
        <v>722</v>
      </c>
      <c r="C125" s="140">
        <f t="shared" si="1"/>
        <v>148</v>
      </c>
      <c r="D125" s="140"/>
      <c r="E125" s="140"/>
      <c r="F125" s="143"/>
      <c r="G125" s="143"/>
      <c r="H125" s="143"/>
      <c r="I125" s="143"/>
      <c r="J125" s="143">
        <v>6</v>
      </c>
      <c r="K125" s="143"/>
      <c r="L125" s="143"/>
      <c r="M125" s="143"/>
      <c r="N125" s="143"/>
      <c r="O125" s="143"/>
      <c r="P125" s="143"/>
      <c r="Q125" s="143"/>
      <c r="R125" s="143"/>
      <c r="S125" s="143"/>
      <c r="T125" s="143"/>
      <c r="U125" s="143"/>
      <c r="V125" s="143"/>
      <c r="W125" s="143"/>
      <c r="X125" s="143"/>
      <c r="Y125" s="143"/>
      <c r="Z125" s="143"/>
      <c r="AA125" s="143">
        <v>1</v>
      </c>
      <c r="AB125" s="143"/>
      <c r="AC125" s="143"/>
      <c r="AD125" s="143"/>
      <c r="AE125" s="143"/>
      <c r="AF125" s="143">
        <f>27+2+4+2+9+7+1+4+1+6+2+4+3+1+2+6+4+11*4+2+6+4</f>
        <v>141</v>
      </c>
      <c r="AG125" s="143"/>
      <c r="AH125" s="143"/>
    </row>
    <row r="126" spans="1:34" ht="16.5">
      <c r="A126" s="221" t="s">
        <v>408</v>
      </c>
      <c r="B126" s="144" t="s">
        <v>720</v>
      </c>
      <c r="C126" s="144">
        <f t="shared" si="1"/>
        <v>24</v>
      </c>
      <c r="D126" s="144"/>
      <c r="E126" s="144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  <c r="AA126" s="145"/>
      <c r="AB126" s="145"/>
      <c r="AC126" s="145"/>
      <c r="AD126" s="145"/>
      <c r="AE126" s="145"/>
      <c r="AF126" s="145">
        <v>24</v>
      </c>
      <c r="AG126" s="145"/>
      <c r="AH126" s="145"/>
    </row>
    <row r="127" spans="1:34" ht="16.5">
      <c r="A127" s="222"/>
      <c r="B127" s="144" t="s">
        <v>721</v>
      </c>
      <c r="C127" s="144">
        <f t="shared" si="1"/>
        <v>194</v>
      </c>
      <c r="D127" s="144"/>
      <c r="E127" s="144"/>
      <c r="F127" s="145">
        <v>1</v>
      </c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  <c r="AA127" s="145"/>
      <c r="AB127" s="145"/>
      <c r="AC127" s="145"/>
      <c r="AD127" s="145"/>
      <c r="AE127" s="145"/>
      <c r="AF127" s="145">
        <f>1+1+3+2+15*10+15*2+3*2</f>
        <v>193</v>
      </c>
      <c r="AG127" s="145"/>
      <c r="AH127" s="145"/>
    </row>
    <row r="128" spans="1:34" ht="16.5">
      <c r="A128" s="223"/>
      <c r="B128" s="144" t="s">
        <v>722</v>
      </c>
      <c r="C128" s="144">
        <f t="shared" si="1"/>
        <v>641</v>
      </c>
      <c r="D128" s="144"/>
      <c r="E128" s="144"/>
      <c r="F128" s="145">
        <v>1</v>
      </c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  <c r="AA128" s="145"/>
      <c r="AB128" s="145"/>
      <c r="AC128" s="145"/>
      <c r="AD128" s="145"/>
      <c r="AE128" s="145"/>
      <c r="AF128" s="145">
        <f>1+1+3+1+2+27+2+2+30*10+4+3+2+3+1+1+7+1+2+4+2+4+1+1+2+2+2+3+1+5+4+3+3+2+1+2+3+2+3+2+2+4+3+3+3+1+5+4+3+3+2+1+1+7+3+3+4+2+4+4+2+4+2+1+13+3+3+4+2+3+5+3+3+3+3+9+10+8+2+1+2+34+35+4*2</f>
        <v>640</v>
      </c>
      <c r="AG128" s="145"/>
      <c r="AH128" s="145"/>
    </row>
  </sheetData>
  <mergeCells count="57">
    <mergeCell ref="A96:A98"/>
    <mergeCell ref="A93:A95"/>
    <mergeCell ref="A90:A92"/>
    <mergeCell ref="AF1:AF2"/>
    <mergeCell ref="G1:I1"/>
    <mergeCell ref="N1:P1"/>
    <mergeCell ref="Q1:S1"/>
    <mergeCell ref="T1:V1"/>
    <mergeCell ref="W1:Z1"/>
    <mergeCell ref="AA1:AC1"/>
    <mergeCell ref="AD1:AE1"/>
    <mergeCell ref="A87:A89"/>
    <mergeCell ref="A84:A86"/>
    <mergeCell ref="A81:A83"/>
    <mergeCell ref="A78:A80"/>
    <mergeCell ref="A75:A77"/>
    <mergeCell ref="A111:A113"/>
    <mergeCell ref="A108:A110"/>
    <mergeCell ref="A105:A107"/>
    <mergeCell ref="A102:A104"/>
    <mergeCell ref="A99:A101"/>
    <mergeCell ref="A126:A128"/>
    <mergeCell ref="A123:A125"/>
    <mergeCell ref="A120:A122"/>
    <mergeCell ref="A117:A119"/>
    <mergeCell ref="A114:A116"/>
    <mergeCell ref="A57:A59"/>
    <mergeCell ref="A51:A53"/>
    <mergeCell ref="A48:A50"/>
    <mergeCell ref="A72:A74"/>
    <mergeCell ref="A69:A71"/>
    <mergeCell ref="A66:A68"/>
    <mergeCell ref="A63:A65"/>
    <mergeCell ref="A60:A62"/>
    <mergeCell ref="A54:A56"/>
    <mergeCell ref="A18:A20"/>
    <mergeCell ref="A15:A17"/>
    <mergeCell ref="A12:A14"/>
    <mergeCell ref="A1:A2"/>
    <mergeCell ref="C1:C2"/>
    <mergeCell ref="B1:B2"/>
    <mergeCell ref="AH1:AH2"/>
    <mergeCell ref="A42:A44"/>
    <mergeCell ref="A45:A47"/>
    <mergeCell ref="J1:M1"/>
    <mergeCell ref="A9:A11"/>
    <mergeCell ref="A6:A8"/>
    <mergeCell ref="A3:A5"/>
    <mergeCell ref="A39:A41"/>
    <mergeCell ref="A36:A38"/>
    <mergeCell ref="A33:A35"/>
    <mergeCell ref="A30:A32"/>
    <mergeCell ref="A27:A29"/>
    <mergeCell ref="AG1:AG2"/>
    <mergeCell ref="D1:E1"/>
    <mergeCell ref="A24:A26"/>
    <mergeCell ref="A21:A23"/>
  </mergeCells>
  <phoneticPr fontId="16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9"/>
  <sheetViews>
    <sheetView zoomScale="70" zoomScaleNormal="7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AI39" sqref="AI39"/>
    </sheetView>
  </sheetViews>
  <sheetFormatPr defaultRowHeight="15"/>
  <cols>
    <col min="1" max="1" width="14" customWidth="1"/>
    <col min="2" max="2" width="12.42578125" customWidth="1"/>
    <col min="3" max="5" width="9.42578125" customWidth="1"/>
    <col min="33" max="33" width="9.7109375" customWidth="1"/>
  </cols>
  <sheetData>
    <row r="1" spans="1:39" ht="16.5">
      <c r="A1" s="220" t="s">
        <v>703</v>
      </c>
      <c r="B1" s="230" t="s">
        <v>723</v>
      </c>
      <c r="C1" s="220" t="s">
        <v>708</v>
      </c>
      <c r="D1" s="227" t="s">
        <v>724</v>
      </c>
      <c r="E1" s="229"/>
      <c r="F1" s="148" t="s">
        <v>704</v>
      </c>
      <c r="G1" s="220" t="s">
        <v>709</v>
      </c>
      <c r="H1" s="220"/>
      <c r="I1" s="220"/>
      <c r="J1" s="227" t="s">
        <v>711</v>
      </c>
      <c r="K1" s="228"/>
      <c r="L1" s="228"/>
      <c r="M1" s="229"/>
      <c r="N1" s="220" t="s">
        <v>712</v>
      </c>
      <c r="O1" s="220"/>
      <c r="P1" s="220"/>
      <c r="Q1" s="220" t="s">
        <v>713</v>
      </c>
      <c r="R1" s="220"/>
      <c r="S1" s="220"/>
      <c r="T1" s="220" t="s">
        <v>714</v>
      </c>
      <c r="U1" s="220"/>
      <c r="V1" s="220"/>
      <c r="W1" s="220" t="s">
        <v>715</v>
      </c>
      <c r="X1" s="220"/>
      <c r="Y1" s="220"/>
      <c r="Z1" s="220"/>
      <c r="AA1" s="220" t="s">
        <v>717</v>
      </c>
      <c r="AB1" s="220"/>
      <c r="AC1" s="220"/>
      <c r="AD1" s="220" t="s">
        <v>718</v>
      </c>
      <c r="AE1" s="220"/>
      <c r="AF1" s="220" t="s">
        <v>707</v>
      </c>
      <c r="AG1" s="220" t="s">
        <v>725</v>
      </c>
      <c r="AH1" s="220" t="s">
        <v>726</v>
      </c>
    </row>
    <row r="2" spans="1:39" ht="16.5">
      <c r="A2" s="220"/>
      <c r="B2" s="231"/>
      <c r="C2" s="220"/>
      <c r="D2" s="148" t="s">
        <v>705</v>
      </c>
      <c r="E2" s="148" t="s">
        <v>706</v>
      </c>
      <c r="F2" s="148" t="s">
        <v>705</v>
      </c>
      <c r="G2" s="148" t="s">
        <v>705</v>
      </c>
      <c r="H2" s="148" t="s">
        <v>706</v>
      </c>
      <c r="I2" s="148" t="s">
        <v>710</v>
      </c>
      <c r="J2" s="148" t="s">
        <v>705</v>
      </c>
      <c r="K2" s="148" t="s">
        <v>706</v>
      </c>
      <c r="L2" s="148" t="s">
        <v>710</v>
      </c>
      <c r="M2" s="148" t="s">
        <v>719</v>
      </c>
      <c r="N2" s="148" t="s">
        <v>705</v>
      </c>
      <c r="O2" s="148" t="s">
        <v>706</v>
      </c>
      <c r="P2" s="148" t="s">
        <v>710</v>
      </c>
      <c r="Q2" s="148" t="s">
        <v>705</v>
      </c>
      <c r="R2" s="148" t="s">
        <v>706</v>
      </c>
      <c r="S2" s="148" t="s">
        <v>710</v>
      </c>
      <c r="T2" s="148" t="s">
        <v>705</v>
      </c>
      <c r="U2" s="148" t="s">
        <v>706</v>
      </c>
      <c r="V2" s="148" t="s">
        <v>710</v>
      </c>
      <c r="W2" s="148" t="s">
        <v>705</v>
      </c>
      <c r="X2" s="148" t="s">
        <v>706</v>
      </c>
      <c r="Y2" s="148" t="s">
        <v>710</v>
      </c>
      <c r="Z2" s="148" t="s">
        <v>716</v>
      </c>
      <c r="AA2" s="148" t="s">
        <v>705</v>
      </c>
      <c r="AB2" s="148" t="s">
        <v>706</v>
      </c>
      <c r="AC2" s="148" t="s">
        <v>710</v>
      </c>
      <c r="AD2" s="148" t="s">
        <v>705</v>
      </c>
      <c r="AE2" s="148" t="s">
        <v>719</v>
      </c>
      <c r="AF2" s="220"/>
      <c r="AG2" s="220"/>
      <c r="AH2" s="220"/>
    </row>
    <row r="3" spans="1:39" ht="16.5">
      <c r="A3" s="221" t="s">
        <v>735</v>
      </c>
      <c r="B3" s="144" t="s">
        <v>720</v>
      </c>
      <c r="C3" s="144">
        <f t="shared" ref="C3:C16" si="0">SUM(D3:AH3)</f>
        <v>4</v>
      </c>
      <c r="D3" s="144"/>
      <c r="E3" s="144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>
        <v>3</v>
      </c>
      <c r="U3" s="145">
        <v>1</v>
      </c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</row>
    <row r="4" spans="1:39" ht="16.5">
      <c r="A4" s="222"/>
      <c r="B4" s="144" t="s">
        <v>721</v>
      </c>
      <c r="C4" s="144">
        <f t="shared" si="0"/>
        <v>30</v>
      </c>
      <c r="D4" s="144"/>
      <c r="E4" s="144"/>
      <c r="F4" s="145"/>
      <c r="G4" s="145"/>
      <c r="H4" s="145"/>
      <c r="I4" s="145"/>
      <c r="J4" s="145"/>
      <c r="K4" s="145"/>
      <c r="L4" s="145">
        <f>1</f>
        <v>1</v>
      </c>
      <c r="M4" s="145"/>
      <c r="N4" s="145"/>
      <c r="O4" s="145"/>
      <c r="P4" s="145"/>
      <c r="Q4" s="145"/>
      <c r="R4" s="145"/>
      <c r="S4" s="145"/>
      <c r="T4" s="145"/>
      <c r="U4" s="145">
        <f>5</f>
        <v>5</v>
      </c>
      <c r="V4" s="145">
        <f>5+5+8+3</f>
        <v>21</v>
      </c>
      <c r="W4" s="145"/>
      <c r="X4" s="145"/>
      <c r="Y4" s="145"/>
      <c r="Z4" s="145"/>
      <c r="AA4" s="145"/>
      <c r="AB4" s="145"/>
      <c r="AC4" s="145"/>
      <c r="AD4" s="145">
        <f>3</f>
        <v>3</v>
      </c>
      <c r="AE4" s="145"/>
      <c r="AF4" s="145"/>
      <c r="AG4" s="145"/>
      <c r="AH4" s="145"/>
    </row>
    <row r="5" spans="1:39" ht="16.5">
      <c r="A5" s="223"/>
      <c r="B5" s="144" t="s">
        <v>722</v>
      </c>
      <c r="C5" s="144">
        <f t="shared" si="0"/>
        <v>66</v>
      </c>
      <c r="D5" s="144"/>
      <c r="E5" s="144"/>
      <c r="F5" s="145"/>
      <c r="G5" s="145"/>
      <c r="H5" s="145"/>
      <c r="I5" s="145"/>
      <c r="J5" s="145"/>
      <c r="K5" s="145"/>
      <c r="L5" s="145">
        <f>1</f>
        <v>1</v>
      </c>
      <c r="M5" s="145"/>
      <c r="N5" s="145"/>
      <c r="O5" s="145"/>
      <c r="P5" s="145"/>
      <c r="Q5" s="145"/>
      <c r="R5" s="145"/>
      <c r="S5" s="145"/>
      <c r="T5" s="145">
        <f>6+11</f>
        <v>17</v>
      </c>
      <c r="U5" s="145">
        <f>11</f>
        <v>11</v>
      </c>
      <c r="V5" s="145">
        <f>6+6+12+7</f>
        <v>31</v>
      </c>
      <c r="W5" s="145"/>
      <c r="X5" s="145"/>
      <c r="Y5" s="145"/>
      <c r="Z5" s="145"/>
      <c r="AA5" s="145"/>
      <c r="AB5" s="145"/>
      <c r="AC5" s="145"/>
      <c r="AD5" s="145">
        <f>6</f>
        <v>6</v>
      </c>
      <c r="AE5" s="145"/>
      <c r="AF5" s="145"/>
      <c r="AG5" s="145"/>
      <c r="AH5" s="145"/>
    </row>
    <row r="6" spans="1:39" s="152" customFormat="1" ht="16.5">
      <c r="A6" s="149"/>
      <c r="B6" s="150"/>
      <c r="C6" s="150"/>
      <c r="D6" s="150"/>
      <c r="E6" s="150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>
        <f>SUM(T3:T5)</f>
        <v>20</v>
      </c>
      <c r="U6" s="151">
        <f t="shared" ref="U6:V6" si="1">SUM(U3:U5)</f>
        <v>17</v>
      </c>
      <c r="V6" s="151">
        <f t="shared" si="1"/>
        <v>52</v>
      </c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K6" s="152">
        <v>20</v>
      </c>
      <c r="AL6" s="152">
        <f>17+52</f>
        <v>69</v>
      </c>
      <c r="AM6" s="152">
        <f>SUM(AK6:AL6)</f>
        <v>89</v>
      </c>
    </row>
    <row r="7" spans="1:39" ht="16.5">
      <c r="A7" s="224" t="s">
        <v>731</v>
      </c>
      <c r="B7" s="146" t="s">
        <v>720</v>
      </c>
      <c r="C7" s="147">
        <f t="shared" si="0"/>
        <v>4</v>
      </c>
      <c r="D7" s="147"/>
      <c r="E7" s="147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>
        <v>3</v>
      </c>
      <c r="U7" s="143">
        <v>1</v>
      </c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K7">
        <f>AK6/AM6</f>
        <v>0.2247191011235955</v>
      </c>
      <c r="AL7">
        <f>AL6/AM6</f>
        <v>0.7752808988764045</v>
      </c>
    </row>
    <row r="8" spans="1:39" ht="16.5">
      <c r="A8" s="225"/>
      <c r="B8" s="146" t="s">
        <v>721</v>
      </c>
      <c r="C8" s="147">
        <f t="shared" si="0"/>
        <v>34</v>
      </c>
      <c r="D8" s="147"/>
      <c r="E8" s="147"/>
      <c r="F8" s="143"/>
      <c r="G8" s="143"/>
      <c r="H8" s="143"/>
      <c r="I8" s="143"/>
      <c r="J8" s="143"/>
      <c r="K8" s="143"/>
      <c r="L8" s="143"/>
      <c r="M8" s="143">
        <f>2</f>
        <v>2</v>
      </c>
      <c r="N8" s="143"/>
      <c r="O8" s="143"/>
      <c r="P8" s="143">
        <f>1</f>
        <v>1</v>
      </c>
      <c r="Q8" s="143"/>
      <c r="R8" s="143"/>
      <c r="S8" s="143"/>
      <c r="T8" s="143">
        <f>2</f>
        <v>2</v>
      </c>
      <c r="U8" s="143">
        <f>6</f>
        <v>6</v>
      </c>
      <c r="V8" s="143">
        <f>2+5+5+11</f>
        <v>23</v>
      </c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</row>
    <row r="9" spans="1:39" ht="16.5">
      <c r="A9" s="226"/>
      <c r="B9" s="146" t="s">
        <v>722</v>
      </c>
      <c r="C9" s="147">
        <f t="shared" si="0"/>
        <v>64</v>
      </c>
      <c r="D9" s="147"/>
      <c r="E9" s="147"/>
      <c r="F9" s="143"/>
      <c r="G9" s="143"/>
      <c r="H9" s="143"/>
      <c r="I9" s="143"/>
      <c r="J9" s="143"/>
      <c r="K9" s="143"/>
      <c r="L9" s="143"/>
      <c r="M9" s="143">
        <f>4</f>
        <v>4</v>
      </c>
      <c r="N9" s="143"/>
      <c r="O9" s="143"/>
      <c r="P9" s="143">
        <f>1</f>
        <v>1</v>
      </c>
      <c r="Q9" s="143"/>
      <c r="R9" s="143"/>
      <c r="S9" s="143"/>
      <c r="T9" s="143">
        <f>10+11+1-4</f>
        <v>18</v>
      </c>
      <c r="U9" s="143">
        <f>12</f>
        <v>12</v>
      </c>
      <c r="V9" s="143">
        <f>4+6+6+13</f>
        <v>29</v>
      </c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</row>
    <row r="10" spans="1:39" s="152" customFormat="1" ht="16.5">
      <c r="A10" s="149"/>
      <c r="B10" s="150"/>
      <c r="C10" s="150"/>
      <c r="D10" s="150"/>
      <c r="E10" s="150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>
        <f>SUM(T7:T9)</f>
        <v>23</v>
      </c>
      <c r="U10" s="151">
        <f t="shared" ref="U10:V10" si="2">SUM(U7:U9)</f>
        <v>19</v>
      </c>
      <c r="V10" s="151">
        <f t="shared" si="2"/>
        <v>52</v>
      </c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K10" s="152">
        <v>23</v>
      </c>
      <c r="AL10" s="152">
        <f>19+52</f>
        <v>71</v>
      </c>
      <c r="AM10" s="152">
        <f>SUM(AK10:AL10)</f>
        <v>94</v>
      </c>
    </row>
    <row r="11" spans="1:39" ht="16.5">
      <c r="A11" s="221" t="s">
        <v>733</v>
      </c>
      <c r="B11" s="144" t="s">
        <v>720</v>
      </c>
      <c r="C11" s="144">
        <f t="shared" si="0"/>
        <v>7</v>
      </c>
      <c r="D11" s="144"/>
      <c r="E11" s="144"/>
      <c r="F11" s="145"/>
      <c r="G11" s="145">
        <f>1+1+1+1+1</f>
        <v>5</v>
      </c>
      <c r="H11" s="145">
        <f>1+1</f>
        <v>2</v>
      </c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K11">
        <f>AK10/AM10</f>
        <v>0.24468085106382978</v>
      </c>
      <c r="AL11">
        <f>AL10/AM10</f>
        <v>0.75531914893617025</v>
      </c>
    </row>
    <row r="12" spans="1:39" ht="16.5">
      <c r="A12" s="222"/>
      <c r="B12" s="144" t="s">
        <v>721</v>
      </c>
      <c r="C12" s="144">
        <f t="shared" si="0"/>
        <v>42</v>
      </c>
      <c r="D12" s="144"/>
      <c r="E12" s="144"/>
      <c r="F12" s="145"/>
      <c r="G12" s="145">
        <f>2+3+1</f>
        <v>6</v>
      </c>
      <c r="H12" s="145">
        <f>1+1+2+4+1</f>
        <v>9</v>
      </c>
      <c r="I12" s="145">
        <f>6+6+1+6</f>
        <v>19</v>
      </c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>
        <f>8</f>
        <v>8</v>
      </c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</row>
    <row r="13" spans="1:39" ht="16.5">
      <c r="A13" s="223"/>
      <c r="B13" s="144" t="s">
        <v>722</v>
      </c>
      <c r="C13" s="144">
        <f t="shared" si="0"/>
        <v>105</v>
      </c>
      <c r="D13" s="144"/>
      <c r="E13" s="144"/>
      <c r="F13" s="145"/>
      <c r="G13" s="145">
        <f>10+13+5+10+11-8</f>
        <v>41</v>
      </c>
      <c r="H13" s="145">
        <f>5+2+6+9+2</f>
        <v>24</v>
      </c>
      <c r="I13" s="145">
        <f>8+8+1+8</f>
        <v>25</v>
      </c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>
        <f>15</f>
        <v>15</v>
      </c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</row>
    <row r="14" spans="1:39" ht="16.5">
      <c r="A14" s="224" t="s">
        <v>734</v>
      </c>
      <c r="B14" s="146" t="s">
        <v>720</v>
      </c>
      <c r="C14" s="147">
        <f t="shared" si="0"/>
        <v>7</v>
      </c>
      <c r="D14" s="147"/>
      <c r="E14" s="147"/>
      <c r="F14" s="143"/>
      <c r="G14" s="143">
        <f>1+1+1+1+1</f>
        <v>5</v>
      </c>
      <c r="H14" s="143">
        <f>1+1</f>
        <v>2</v>
      </c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</row>
    <row r="15" spans="1:39" ht="16.5">
      <c r="A15" s="225"/>
      <c r="B15" s="146" t="s">
        <v>721</v>
      </c>
      <c r="C15" s="147">
        <f t="shared" si="0"/>
        <v>43</v>
      </c>
      <c r="D15" s="147"/>
      <c r="E15" s="147"/>
      <c r="F15" s="143"/>
      <c r="G15" s="143">
        <f>2+3+1</f>
        <v>6</v>
      </c>
      <c r="H15" s="143">
        <f>2+1+2+4+1</f>
        <v>10</v>
      </c>
      <c r="I15" s="143">
        <f>6+6+1+6</f>
        <v>19</v>
      </c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>
        <f>8</f>
        <v>8</v>
      </c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</row>
    <row r="16" spans="1:39" ht="16.5">
      <c r="A16" s="226"/>
      <c r="B16" s="146" t="s">
        <v>722</v>
      </c>
      <c r="C16" s="147">
        <f t="shared" si="0"/>
        <v>104</v>
      </c>
      <c r="D16" s="147"/>
      <c r="E16" s="147"/>
      <c r="F16" s="143"/>
      <c r="G16" s="143">
        <f>10+13+5+10+11-8</f>
        <v>41</v>
      </c>
      <c r="H16" s="143">
        <f>4+2+6+9+2</f>
        <v>23</v>
      </c>
      <c r="I16" s="143">
        <f>8+8+1+8</f>
        <v>25</v>
      </c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>
        <f>15</f>
        <v>15</v>
      </c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</row>
    <row r="17" spans="7:10">
      <c r="G17">
        <f>SUM(G11:G16)</f>
        <v>104</v>
      </c>
      <c r="H17">
        <f t="shared" ref="H17:I17" si="3">SUM(H11:H16)</f>
        <v>70</v>
      </c>
      <c r="I17">
        <f t="shared" si="3"/>
        <v>88</v>
      </c>
      <c r="J17">
        <f>SUM(G17:I17)</f>
        <v>262</v>
      </c>
    </row>
    <row r="18" spans="7:10">
      <c r="G18">
        <f>G17/$J$17</f>
        <v>0.39694656488549618</v>
      </c>
      <c r="H18">
        <f t="shared" ref="H18:J18" si="4">H17/$J$17</f>
        <v>0.26717557251908397</v>
      </c>
      <c r="I18">
        <f t="shared" si="4"/>
        <v>0.33587786259541985</v>
      </c>
      <c r="J18">
        <f t="shared" si="4"/>
        <v>1</v>
      </c>
    </row>
    <row r="19" spans="7:10">
      <c r="G19">
        <v>40</v>
      </c>
      <c r="H19">
        <v>27</v>
      </c>
      <c r="I19">
        <v>33</v>
      </c>
    </row>
  </sheetData>
  <mergeCells count="19">
    <mergeCell ref="AG1:AG2"/>
    <mergeCell ref="AH1:AH2"/>
    <mergeCell ref="N1:P1"/>
    <mergeCell ref="Q1:S1"/>
    <mergeCell ref="T1:V1"/>
    <mergeCell ref="W1:Z1"/>
    <mergeCell ref="AA1:AC1"/>
    <mergeCell ref="AD1:AE1"/>
    <mergeCell ref="A11:A13"/>
    <mergeCell ref="A14:A16"/>
    <mergeCell ref="A3:A5"/>
    <mergeCell ref="A7:A9"/>
    <mergeCell ref="AF1:AF2"/>
    <mergeCell ref="A1:A2"/>
    <mergeCell ref="B1:B2"/>
    <mergeCell ref="C1:C2"/>
    <mergeCell ref="D1:E1"/>
    <mergeCell ref="G1:I1"/>
    <mergeCell ref="J1:M1"/>
  </mergeCells>
  <phoneticPr fontId="16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13AF91B89AB64687405739CD760E5A" ma:contentTypeVersion="11" ma:contentTypeDescription="Create a new document." ma:contentTypeScope="" ma:versionID="9b2fd46485f0d7d24ebae902da76d529">
  <xsd:schema xmlns:xsd="http://www.w3.org/2001/XMLSchema" xmlns:xs="http://www.w3.org/2001/XMLSchema" xmlns:p="http://schemas.microsoft.com/office/2006/metadata/properties" xmlns:ns2="6288cde2-e4af-4292-b2f5-6ae8cb4b0036" xmlns:ns3="24acf4f6-2027-4227-902f-54e7acde40e4" targetNamespace="http://schemas.microsoft.com/office/2006/metadata/properties" ma:root="true" ma:fieldsID="895681cc52f70a8dae205bf9f8a3fbdd" ns2:_="" ns3:_="">
    <xsd:import namespace="6288cde2-e4af-4292-b2f5-6ae8cb4b0036"/>
    <xsd:import namespace="24acf4f6-2027-4227-902f-54e7acde40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88cde2-e4af-4292-b2f5-6ae8cb4b00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acf4f6-2027-4227-902f-54e7acde40e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DBFD7C-7A71-4F17-8B8A-4E4694DCC2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88cde2-e4af-4292-b2f5-6ae8cb4b0036"/>
    <ds:schemaRef ds:uri="24acf4f6-2027-4227-902f-54e7acde40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111CE8-7B85-4427-87FC-DF1AB70FCCBA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24acf4f6-2027-4227-902f-54e7acde40e4"/>
    <ds:schemaRef ds:uri="6288cde2-e4af-4292-b2f5-6ae8cb4b003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98D73A2-7EAA-4103-B191-161E65B38C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Isolatable summary</vt:lpstr>
      <vt:lpstr>Flange Count</vt:lpstr>
      <vt:lpstr>Flange Count v1</vt:lpstr>
      <vt:lpstr>'Isolatable summary'!Print_Area</vt:lpstr>
      <vt:lpstr>'Isolatable summary'!Print_Titles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Lee, Jee-A</dc:creator>
  <cp:keywords/>
  <dc:description/>
  <cp:lastModifiedBy>Kim, Sung-Hoon</cp:lastModifiedBy>
  <cp:revision/>
  <cp:lastPrinted>2020-08-21T13:17:01Z</cp:lastPrinted>
  <dcterms:created xsi:type="dcterms:W3CDTF">2020-01-07T02:07:38Z</dcterms:created>
  <dcterms:modified xsi:type="dcterms:W3CDTF">2020-12-18T05:56:02Z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814718-876d-4e3a-b4a4-03380483440b_Enabled">
    <vt:lpwstr>true</vt:lpwstr>
  </property>
  <property fmtid="{D5CDD505-2E9C-101B-9397-08002B2CF9AE}" pid="3" name="MSIP_Label_03814718-876d-4e3a-b4a4-03380483440b_SetDate">
    <vt:lpwstr>2020-01-07T06:53:28Z</vt:lpwstr>
  </property>
  <property fmtid="{D5CDD505-2E9C-101B-9397-08002B2CF9AE}" pid="4" name="MSIP_Label_03814718-876d-4e3a-b4a4-03380483440b_Method">
    <vt:lpwstr>Privileged</vt:lpwstr>
  </property>
  <property fmtid="{D5CDD505-2E9C-101B-9397-08002B2CF9AE}" pid="5" name="MSIP_Label_03814718-876d-4e3a-b4a4-03380483440b_Name">
    <vt:lpwstr>Non LR Business</vt:lpwstr>
  </property>
  <property fmtid="{D5CDD505-2E9C-101B-9397-08002B2CF9AE}" pid="6" name="MSIP_Label_03814718-876d-4e3a-b4a4-03380483440b_SiteId">
    <vt:lpwstr>4a3454a0-8cf4-4a9c-b1c0-6ce4d1495f82</vt:lpwstr>
  </property>
  <property fmtid="{D5CDD505-2E9C-101B-9397-08002B2CF9AE}" pid="7" name="MSIP_Label_03814718-876d-4e3a-b4a4-03380483440b_ActionId">
    <vt:lpwstr>3dbf5441-a42d-4c6f-9183-0000bb09c547</vt:lpwstr>
  </property>
  <property fmtid="{D5CDD505-2E9C-101B-9397-08002B2CF9AE}" pid="8" name="MSIP_Label_03814718-876d-4e3a-b4a4-03380483440b_ContentBits">
    <vt:lpwstr>0</vt:lpwstr>
  </property>
  <property fmtid="{D5CDD505-2E9C-101B-9397-08002B2CF9AE}" pid="9" name="LR_Classification">
    <vt:lpwstr>Not LR Business</vt:lpwstr>
  </property>
  <property fmtid="{D5CDD505-2E9C-101B-9397-08002B2CF9AE}" pid="10" name="ContentTypeId">
    <vt:lpwstr>0x0101004613AF91B89AB64687405739CD760E5A</vt:lpwstr>
  </property>
</Properties>
</file>