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Грешки g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15 cm
</t>
      </text>
    </comment>
    <comment authorId="0" ref="C3">
      <text>
        <t xml:space="preserve">20 cm
</t>
      </text>
    </comment>
    <comment authorId="0" ref="I4">
      <text>
        <t xml:space="preserve">инструментална грешка</t>
      </text>
    </comment>
    <comment authorId="0" ref="L4">
      <text>
        <t xml:space="preserve">ins: 3 знака след запетаята, в sec.</t>
      </text>
    </comment>
    <comment authorId="0" ref="C5">
      <text>
        <t xml:space="preserve">инструментална грешка = 0.005 * 10^(-3) kg
</t>
      </text>
    </comment>
    <comment authorId="0" ref="C6">
      <text>
        <t xml:space="preserve">инструментална грешка = 0.005 * 10^(-3) kg
</t>
      </text>
    </comment>
  </commentList>
</comments>
</file>

<file path=xl/sharedStrings.xml><?xml version="1.0" encoding="utf-8"?>
<sst xmlns="http://schemas.openxmlformats.org/spreadsheetml/2006/main" count="64" uniqueCount="51">
  <si>
    <t>задача 1</t>
  </si>
  <si>
    <t>задача 2</t>
  </si>
  <si>
    <t>L, [m]</t>
  </si>
  <si>
    <t>N</t>
  </si>
  <si>
    <t>t_i, [s]</t>
  </si>
  <si>
    <t>a_i, [m/s]</t>
  </si>
  <si>
    <t>theoretical vals</t>
  </si>
  <si>
    <t>S_1, [m]</t>
  </si>
  <si>
    <t>m_\tau, [kg]</t>
  </si>
  <si>
    <t>for chart</t>
  </si>
  <si>
    <t>S_2, [m]</t>
  </si>
  <si>
    <t>"1/m"</t>
  </si>
  <si>
    <t>g</t>
  </si>
  <si>
    <t>m_{\Delta o \pi}</t>
  </si>
  <si>
    <t>(t_i-t_{1-5})^2\cdot10^{-3}</t>
  </si>
  <si>
    <t>\bar{t_1}</t>
  </si>
  <si>
    <t>\bar{a_1}</t>
  </si>
  <si>
    <t>\bar{t}</t>
  </si>
  <si>
    <t>g_{1-5}</t>
  </si>
  <si>
    <t>\bar{t_2}</t>
  </si>
  <si>
    <t>\bar{a_2}</t>
  </si>
  <si>
    <t>(t_i-t_{6-10})^2\cdot10^{-3}</t>
  </si>
  <si>
    <t>m_пръстен, [kg]</t>
  </si>
  <si>
    <t>m_тяло, [kg]</t>
  </si>
  <si>
    <t>g, [m/s^2]</t>
  </si>
  <si>
    <t>g_{6-10}</t>
  </si>
  <si>
    <t>(t_i-t_{11-15})^2\cdot10^{-3}</t>
  </si>
  <si>
    <t>S_1</t>
  </si>
  <si>
    <t>S_2</t>
  </si>
  <si>
    <t>m_T, [kg]</t>
  </si>
  <si>
    <t>\Delta S</t>
  </si>
  <si>
    <t>\Delta t</t>
  </si>
  <si>
    <t>\Delta m_T, [kg]</t>
  </si>
  <si>
    <t>2\Delta m_T+\Delta m_j</t>
  </si>
  <si>
    <t>\Delta S_1</t>
  </si>
  <si>
    <t>\Delta m_j, [kg]</t>
  </si>
  <si>
    <t>\Delta S_2</t>
  </si>
  <si>
    <t>2*(\Delta S_2/S_2) + (\Delta S_1/S_1)</t>
  </si>
  <si>
    <t>m_j</t>
  </si>
  <si>
    <t>t_j</t>
  </si>
  <si>
    <t>2m_T + m_j</t>
  </si>
  <si>
    <t>(2\Delta m_T+\Delta m_j) / (2m_T + m_j)</t>
  </si>
  <si>
    <t>\Delta m_j / m_j</t>
  </si>
  <si>
    <t>\Deltat_2/t_2</t>
  </si>
  <si>
    <t>sigma t_j</t>
  </si>
  <si>
    <t xml:space="preserve">2*\Delta t / t_j </t>
  </si>
  <si>
    <t>big term</t>
  </si>
  <si>
    <t>*g</t>
  </si>
  <si>
    <t>П12</t>
  </si>
  <si>
    <t>П2</t>
  </si>
  <si>
    <t>П3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</si>
</sst>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164" xfId="0" applyAlignment="1" applyFont="1" applyNumberFormat="1">
      <alignment horizontal="right" readingOrder="0"/>
    </xf>
    <xf borderId="0" fillId="0" fontId="1" numFmtId="0" xfId="0" applyFont="1"/>
    <xf borderId="0" fillId="0" fontId="1" numFmtId="0" xfId="0" applyFont="1"/>
    <xf borderId="0" fillId="0" fontId="1" numFmtId="164" xfId="0" applyFont="1" applyNumberFormat="1"/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12.38"/>
    <col customWidth="1" min="3" max="3" width="7.5"/>
    <col customWidth="1" min="4" max="4" width="14.0"/>
    <col customWidth="1" min="10" max="10" width="23.88"/>
  </cols>
  <sheetData>
    <row r="1">
      <c r="A1" s="1" t="s">
        <v>0</v>
      </c>
      <c r="H1" s="2" t="s">
        <v>1</v>
      </c>
    </row>
    <row r="2">
      <c r="A2" s="1" t="s">
        <v>2</v>
      </c>
      <c r="B2" s="1" t="s">
        <v>3</v>
      </c>
      <c r="C2" s="3" t="s">
        <v>4</v>
      </c>
      <c r="D2" s="3" t="s">
        <v>5</v>
      </c>
      <c r="F2" s="4" t="s">
        <v>6</v>
      </c>
      <c r="H2" s="4" t="s">
        <v>7</v>
      </c>
      <c r="I2" s="4">
        <v>0.15</v>
      </c>
      <c r="J2" s="5" t="s">
        <v>8</v>
      </c>
      <c r="K2" s="4">
        <f>59.68*POW(10,-3)</f>
        <v>0.05968</v>
      </c>
      <c r="N2" s="4" t="s">
        <v>9</v>
      </c>
    </row>
    <row r="3">
      <c r="A3" s="3">
        <v>0.18</v>
      </c>
      <c r="B3" s="3">
        <v>1.0</v>
      </c>
      <c r="C3" s="6">
        <v>0.589</v>
      </c>
      <c r="D3" s="6">
        <f t="shared" ref="D3:D12" si="1">2*A3/C3^2</f>
        <v>1.037700226</v>
      </c>
      <c r="F3" s="7">
        <f>C22*(C20/(2*C21+C20))</f>
        <v>0.8730315982</v>
      </c>
      <c r="H3" s="4" t="s">
        <v>10</v>
      </c>
      <c r="I3" s="4">
        <v>0.2</v>
      </c>
      <c r="N3" s="4" t="s">
        <v>11</v>
      </c>
      <c r="O3" s="4" t="s">
        <v>12</v>
      </c>
    </row>
    <row r="4">
      <c r="A4" s="3">
        <v>0.18</v>
      </c>
      <c r="B4" s="3">
        <v>2.0</v>
      </c>
      <c r="C4" s="6">
        <v>0.518</v>
      </c>
      <c r="D4" s="6">
        <f t="shared" si="1"/>
        <v>1.341661573</v>
      </c>
      <c r="N4" s="7">
        <f>1/I6</f>
        <v>67.65899865</v>
      </c>
      <c r="O4" s="7">
        <f>L13</f>
        <v>8.42450097</v>
      </c>
    </row>
    <row r="5">
      <c r="A5" s="3">
        <v>0.18</v>
      </c>
      <c r="B5" s="3">
        <v>3.0</v>
      </c>
      <c r="C5" s="6">
        <v>0.556</v>
      </c>
      <c r="D5" s="6">
        <f t="shared" si="1"/>
        <v>1.164535997</v>
      </c>
      <c r="N5" s="7">
        <f>1/I15</f>
        <v>123.4567901</v>
      </c>
      <c r="O5" s="7">
        <f>L22</f>
        <v>8.528335539</v>
      </c>
    </row>
    <row r="6">
      <c r="A6" s="3">
        <v>0.18</v>
      </c>
      <c r="B6" s="3">
        <v>4.0</v>
      </c>
      <c r="C6" s="6">
        <v>0.57</v>
      </c>
      <c r="D6" s="6">
        <f t="shared" si="1"/>
        <v>1.108033241</v>
      </c>
      <c r="H6" s="4" t="s">
        <v>13</v>
      </c>
      <c r="I6" s="7">
        <f>14.78*POW(10,-3)</f>
        <v>0.01478</v>
      </c>
      <c r="N6" s="7">
        <f>1/I24</f>
        <v>98.32841691</v>
      </c>
      <c r="O6" s="7">
        <f>L31</f>
        <v>8.239036816</v>
      </c>
    </row>
    <row r="7">
      <c r="A7" s="3">
        <v>0.18</v>
      </c>
      <c r="B7" s="3">
        <v>5.0</v>
      </c>
      <c r="C7" s="6">
        <v>0.524</v>
      </c>
      <c r="D7" s="6">
        <f t="shared" si="1"/>
        <v>1.311112406</v>
      </c>
      <c r="H7" s="4" t="s">
        <v>3</v>
      </c>
      <c r="I7" s="4" t="s">
        <v>4</v>
      </c>
      <c r="J7" s="4" t="s">
        <v>14</v>
      </c>
      <c r="K7" s="8"/>
    </row>
    <row r="8">
      <c r="A8" s="3">
        <v>0.25</v>
      </c>
      <c r="B8" s="3">
        <v>6.0</v>
      </c>
      <c r="C8" s="6">
        <v>0.656</v>
      </c>
      <c r="D8" s="6">
        <f t="shared" si="1"/>
        <v>1.161882808</v>
      </c>
      <c r="H8" s="4">
        <v>1.0</v>
      </c>
      <c r="I8" s="4">
        <v>0.38</v>
      </c>
      <c r="J8" s="7">
        <f t="shared" ref="J8:J12" si="2">ROUND((I8-$I$13)^2*1000,3)</f>
        <v>0.001</v>
      </c>
    </row>
    <row r="9">
      <c r="A9" s="3">
        <v>0.25</v>
      </c>
      <c r="B9" s="3">
        <v>7.0</v>
      </c>
      <c r="C9" s="6">
        <v>0.693</v>
      </c>
      <c r="D9" s="6">
        <f t="shared" si="1"/>
        <v>1.041126582</v>
      </c>
      <c r="H9" s="4">
        <v>2.0</v>
      </c>
      <c r="I9" s="4">
        <v>0.383</v>
      </c>
      <c r="J9" s="7">
        <f t="shared" si="2"/>
        <v>0.016</v>
      </c>
    </row>
    <row r="10">
      <c r="A10" s="3">
        <v>0.25</v>
      </c>
      <c r="B10" s="3">
        <v>8.0</v>
      </c>
      <c r="C10" s="6">
        <v>0.648</v>
      </c>
      <c r="D10" s="6">
        <f t="shared" si="1"/>
        <v>1.190748362</v>
      </c>
      <c r="H10" s="4">
        <v>3.0</v>
      </c>
      <c r="I10" s="4">
        <v>0.381</v>
      </c>
      <c r="J10" s="7">
        <f t="shared" si="2"/>
        <v>0.004</v>
      </c>
    </row>
    <row r="11">
      <c r="A11" s="3">
        <v>0.25</v>
      </c>
      <c r="B11" s="3">
        <v>9.0</v>
      </c>
      <c r="C11" s="6">
        <v>0.641</v>
      </c>
      <c r="D11" s="6">
        <f t="shared" si="1"/>
        <v>1.21689735</v>
      </c>
      <c r="H11" s="4">
        <v>4.0</v>
      </c>
      <c r="I11" s="4">
        <v>0.377</v>
      </c>
      <c r="J11" s="7">
        <f t="shared" si="2"/>
        <v>0.004</v>
      </c>
    </row>
    <row r="12">
      <c r="A12" s="3">
        <v>0.25</v>
      </c>
      <c r="B12" s="3">
        <v>10.0</v>
      </c>
      <c r="C12" s="6">
        <v>0.658</v>
      </c>
      <c r="D12" s="6">
        <f t="shared" si="1"/>
        <v>1.154830425</v>
      </c>
      <c r="H12" s="4">
        <v>5.0</v>
      </c>
      <c r="I12" s="4">
        <v>0.376</v>
      </c>
      <c r="J12" s="7">
        <f t="shared" si="2"/>
        <v>0.009</v>
      </c>
    </row>
    <row r="13">
      <c r="B13" s="4" t="s">
        <v>15</v>
      </c>
      <c r="C13" s="9">
        <f t="shared" ref="C13:D13" si="3">AVERAGE(C3:C7)</f>
        <v>0.5514</v>
      </c>
      <c r="D13" s="9">
        <f t="shared" si="3"/>
        <v>1.192608689</v>
      </c>
      <c r="E13" s="4" t="s">
        <v>16</v>
      </c>
      <c r="H13" s="4" t="s">
        <v>17</v>
      </c>
      <c r="I13" s="7">
        <f>ROUND(AVERAGE(I8:I12),3)</f>
        <v>0.379</v>
      </c>
      <c r="J13" s="7">
        <f>SUM(J8:J12)*10^(-3)</f>
        <v>0.000034</v>
      </c>
      <c r="K13" s="4" t="s">
        <v>18</v>
      </c>
      <c r="L13" s="7">
        <f>(2*K2+I6)*I3^2/(2*I6*I2*I13^2)</f>
        <v>8.42450097</v>
      </c>
    </row>
    <row r="14">
      <c r="B14" s="4" t="s">
        <v>19</v>
      </c>
      <c r="C14" s="9">
        <f t="shared" ref="C14:D14" si="4">AVERAGE(C8:C12)</f>
        <v>0.6592</v>
      </c>
      <c r="D14" s="9">
        <f t="shared" si="4"/>
        <v>1.153097105</v>
      </c>
      <c r="E14" s="4" t="s">
        <v>20</v>
      </c>
    </row>
    <row r="15">
      <c r="D15" s="9">
        <f>AVERAGE(D3:D12)</f>
        <v>1.172852897</v>
      </c>
      <c r="H15" s="4" t="s">
        <v>13</v>
      </c>
      <c r="I15" s="7">
        <f>8.1*POW(10,-3)</f>
        <v>0.0081</v>
      </c>
    </row>
    <row r="16">
      <c r="H16" s="4" t="s">
        <v>3</v>
      </c>
      <c r="I16" s="4" t="s">
        <v>4</v>
      </c>
      <c r="J16" s="4" t="s">
        <v>21</v>
      </c>
    </row>
    <row r="17">
      <c r="H17" s="4">
        <v>6.0</v>
      </c>
      <c r="I17" s="4">
        <v>0.499</v>
      </c>
      <c r="J17" s="7">
        <f t="shared" ref="J17:J21" si="5">ROUND((I17-$I$22)^2*1000,3)</f>
        <v>0.009</v>
      </c>
    </row>
    <row r="18">
      <c r="H18" s="4">
        <v>7.0</v>
      </c>
      <c r="I18" s="4">
        <v>0.489</v>
      </c>
      <c r="J18" s="7">
        <f t="shared" si="5"/>
        <v>0.049</v>
      </c>
    </row>
    <row r="19">
      <c r="H19" s="4">
        <v>8.0</v>
      </c>
      <c r="I19" s="4">
        <v>0.498</v>
      </c>
      <c r="J19" s="7">
        <f t="shared" si="5"/>
        <v>0.004</v>
      </c>
    </row>
    <row r="20">
      <c r="B20" s="4" t="s">
        <v>22</v>
      </c>
      <c r="C20" s="4">
        <f>11.66*10^(-3)</f>
        <v>0.01166</v>
      </c>
      <c r="H20" s="4">
        <v>9.0</v>
      </c>
      <c r="I20" s="4">
        <v>0.494</v>
      </c>
      <c r="J20" s="7">
        <f t="shared" si="5"/>
        <v>0.004</v>
      </c>
    </row>
    <row r="21">
      <c r="B21" s="4" t="s">
        <v>23</v>
      </c>
      <c r="C21" s="4">
        <f>59.68*10^(-3)</f>
        <v>0.05968</v>
      </c>
      <c r="H21" s="4">
        <v>10.0</v>
      </c>
      <c r="I21" s="4">
        <v>0.502</v>
      </c>
      <c r="J21" s="7">
        <f t="shared" si="5"/>
        <v>0.036</v>
      </c>
    </row>
    <row r="22">
      <c r="B22" s="4" t="s">
        <v>24</v>
      </c>
      <c r="C22" s="4">
        <v>9.81</v>
      </c>
      <c r="H22" s="4" t="s">
        <v>17</v>
      </c>
      <c r="I22" s="7">
        <f>ROUND(AVERAGE(I17:I21),3)</f>
        <v>0.496</v>
      </c>
      <c r="J22" s="7">
        <f>SUM(J17:J21)*10^(-3)</f>
        <v>0.000102</v>
      </c>
      <c r="K22" s="4" t="s">
        <v>25</v>
      </c>
      <c r="L22" s="7">
        <f>(2*$K$2+I15)*$I$3^2/(2*I15*$I$2*I22^2)</f>
        <v>8.528335539</v>
      </c>
    </row>
    <row r="24">
      <c r="H24" s="4" t="s">
        <v>13</v>
      </c>
      <c r="I24" s="7">
        <f>10.17*POW(10,-3)</f>
        <v>0.01017</v>
      </c>
      <c r="J24" s="4"/>
    </row>
    <row r="25">
      <c r="H25" s="4" t="s">
        <v>3</v>
      </c>
      <c r="I25" s="4" t="s">
        <v>4</v>
      </c>
      <c r="J25" s="4" t="s">
        <v>26</v>
      </c>
    </row>
    <row r="26">
      <c r="H26" s="4">
        <v>11.0</v>
      </c>
      <c r="I26" s="4">
        <v>0.448</v>
      </c>
      <c r="J26" s="7">
        <f t="shared" ref="J26:J30" si="6">ROUND((I26-$I$31)^2*1000,3)</f>
        <v>0.036</v>
      </c>
    </row>
    <row r="27">
      <c r="H27" s="4">
        <v>12.0</v>
      </c>
      <c r="I27" s="4">
        <v>0.444</v>
      </c>
      <c r="J27" s="7">
        <f t="shared" si="6"/>
        <v>0.1</v>
      </c>
    </row>
    <row r="28">
      <c r="H28" s="4">
        <v>13.0</v>
      </c>
      <c r="I28" s="4">
        <v>0.456</v>
      </c>
      <c r="J28" s="7">
        <f t="shared" si="6"/>
        <v>0.004</v>
      </c>
    </row>
    <row r="29">
      <c r="H29" s="4">
        <v>14.0</v>
      </c>
      <c r="I29" s="4">
        <v>0.458</v>
      </c>
      <c r="J29" s="7">
        <f t="shared" si="6"/>
        <v>0.016</v>
      </c>
    </row>
    <row r="30">
      <c r="H30" s="4">
        <v>15.0</v>
      </c>
      <c r="I30" s="4">
        <v>0.464</v>
      </c>
      <c r="J30" s="7">
        <f t="shared" si="6"/>
        <v>0.1</v>
      </c>
    </row>
    <row r="31">
      <c r="H31" s="4" t="s">
        <v>17</v>
      </c>
      <c r="I31" s="7">
        <f>ROUND(AVERAGE(I26:I30),3)</f>
        <v>0.454</v>
      </c>
      <c r="J31" s="7">
        <f>SUM(J26:J30)*10^(-3)</f>
        <v>0.000256</v>
      </c>
      <c r="K31" s="4" t="s">
        <v>18</v>
      </c>
      <c r="L31" s="7">
        <f>(2*$K$2+I24)*$I$3^2/(2*I24*$I$2*I31^2)</f>
        <v>8.239036816</v>
      </c>
    </row>
  </sheetData>
  <mergeCells count="2">
    <mergeCell ref="A1:D1"/>
    <mergeCell ref="H1:P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6" width="22.5"/>
    <col customWidth="1" min="7" max="7" width="21.63"/>
    <col customWidth="1" min="8" max="8" width="21.13"/>
    <col customWidth="1" min="9" max="9" width="21.0"/>
  </cols>
  <sheetData>
    <row r="2">
      <c r="B2" s="4" t="s">
        <v>27</v>
      </c>
      <c r="C2" s="7">
        <f>15*10^(-2)</f>
        <v>0.15</v>
      </c>
    </row>
    <row r="3">
      <c r="B3" s="4" t="s">
        <v>28</v>
      </c>
      <c r="C3" s="7">
        <f>20*10^(-2)</f>
        <v>0.2</v>
      </c>
    </row>
    <row r="4">
      <c r="B4" s="4" t="s">
        <v>29</v>
      </c>
      <c r="C4" s="4">
        <f>Sheet1!K2</f>
        <v>0.05968</v>
      </c>
      <c r="H4" s="4" t="s">
        <v>30</v>
      </c>
      <c r="I4" s="4">
        <f> 0.005*10^(-2)</f>
        <v>0.00005</v>
      </c>
      <c r="K4" s="4" t="s">
        <v>31</v>
      </c>
      <c r="L4" s="4">
        <v>5.0E-4</v>
      </c>
    </row>
    <row r="5">
      <c r="B5" s="4" t="s">
        <v>32</v>
      </c>
      <c r="C5" s="4">
        <f t="shared" ref="C5:C6" si="1">0.005*10^(-3)</f>
        <v>0.000005</v>
      </c>
      <c r="E5" s="4"/>
      <c r="F5" s="4" t="s">
        <v>33</v>
      </c>
      <c r="G5" s="7">
        <f>2*C5+C6</f>
        <v>0.000015</v>
      </c>
      <c r="H5" s="4" t="s">
        <v>34</v>
      </c>
      <c r="I5" s="7">
        <f t="shared" ref="I5:I6" si="2">$I$4/C2</f>
        <v>0.0003333333333</v>
      </c>
    </row>
    <row r="6">
      <c r="B6" s="4" t="s">
        <v>35</v>
      </c>
      <c r="C6" s="4">
        <f t="shared" si="1"/>
        <v>0.000005</v>
      </c>
      <c r="D6" s="4"/>
      <c r="H6" s="4" t="s">
        <v>36</v>
      </c>
      <c r="I6" s="7">
        <f t="shared" si="2"/>
        <v>0.00025</v>
      </c>
    </row>
    <row r="7">
      <c r="B7" s="4"/>
      <c r="C7" s="4"/>
      <c r="D7" s="4"/>
      <c r="H7" s="10" t="s">
        <v>37</v>
      </c>
      <c r="I7" s="7">
        <f>2*I4/I6+I4/I5</f>
        <v>0.55</v>
      </c>
    </row>
    <row r="8">
      <c r="A8" s="11"/>
      <c r="B8" s="11"/>
      <c r="C8" s="10"/>
      <c r="D8" s="10"/>
      <c r="E8" s="11"/>
      <c r="F8" s="11"/>
      <c r="G8" s="10"/>
      <c r="H8" s="10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>
      <c r="A9" s="11"/>
      <c r="B9" s="11"/>
      <c r="C9" s="10" t="s">
        <v>38</v>
      </c>
      <c r="D9" s="10" t="s">
        <v>12</v>
      </c>
      <c r="E9" s="10" t="s">
        <v>39</v>
      </c>
      <c r="F9" s="11"/>
      <c r="G9" s="10" t="s">
        <v>40</v>
      </c>
      <c r="H9" s="10" t="s">
        <v>41</v>
      </c>
      <c r="J9" s="10" t="s">
        <v>42</v>
      </c>
      <c r="K9" s="10" t="s">
        <v>43</v>
      </c>
      <c r="L9" s="4" t="s">
        <v>44</v>
      </c>
      <c r="M9" s="10" t="s">
        <v>31</v>
      </c>
      <c r="N9" s="10" t="s">
        <v>45</v>
      </c>
      <c r="O9" s="11"/>
      <c r="P9" s="10" t="s">
        <v>46</v>
      </c>
      <c r="Q9" s="10" t="s">
        <v>47</v>
      </c>
      <c r="R9" s="11"/>
      <c r="S9" s="11"/>
      <c r="T9" s="11"/>
      <c r="U9" s="11"/>
      <c r="V9" s="11"/>
      <c r="W9" s="11"/>
      <c r="X9" s="11"/>
      <c r="Y9" s="11"/>
      <c r="Z9" s="11"/>
      <c r="AA9" s="11"/>
    </row>
    <row r="10">
      <c r="B10" s="4" t="s">
        <v>48</v>
      </c>
      <c r="C10" s="7">
        <f>Sheet1!I24</f>
        <v>0.01017</v>
      </c>
      <c r="D10" s="7">
        <f>Sheet1!L31</f>
        <v>8.239036816</v>
      </c>
      <c r="E10" s="7">
        <f>Sheet1!I31</f>
        <v>0.454</v>
      </c>
      <c r="G10" s="7">
        <f t="shared" ref="G10:G12" si="3">2*$C$4+C10</f>
        <v>0.12953</v>
      </c>
      <c r="H10" s="7">
        <f t="shared" ref="H10:H12" si="4">$G$5/G10</f>
        <v>0.0001158032888</v>
      </c>
      <c r="J10" s="7">
        <f t="shared" ref="J10:J12" si="5">$C$6/C10</f>
        <v>0.0004916420846</v>
      </c>
      <c r="L10" s="7">
        <f>Sheet1!J31/4</f>
        <v>0.000064</v>
      </c>
      <c r="M10" s="7">
        <f t="shared" ref="M10:M12" si="6">SQRT(L10+$L$4^2)</f>
        <v>0.008015609771</v>
      </c>
      <c r="N10" s="7">
        <f t="shared" ref="N10:N12" si="7">2*M10/E10</f>
        <v>0.03531105626</v>
      </c>
      <c r="P10" s="7">
        <f t="shared" ref="P10:P12" si="8">H10+$I$7+J10+N10</f>
        <v>0.5859185016</v>
      </c>
      <c r="Q10" s="7">
        <f t="shared" ref="Q10:Q12" si="9">D10*P10*0.6</f>
        <v>2.896442464</v>
      </c>
    </row>
    <row r="11">
      <c r="B11" s="4" t="s">
        <v>49</v>
      </c>
      <c r="C11" s="7">
        <f>Sheet1!I15</f>
        <v>0.0081</v>
      </c>
      <c r="D11" s="7">
        <f>Sheet1!L22</f>
        <v>8.528335539</v>
      </c>
      <c r="E11" s="7">
        <f>Sheet1!I22</f>
        <v>0.496</v>
      </c>
      <c r="G11" s="7">
        <f t="shared" si="3"/>
        <v>0.12746</v>
      </c>
      <c r="H11" s="7">
        <f t="shared" si="4"/>
        <v>0.0001176839793</v>
      </c>
      <c r="J11" s="7">
        <f t="shared" si="5"/>
        <v>0.0006172839506</v>
      </c>
      <c r="L11" s="7">
        <f>Sheet1!J22/4</f>
        <v>0.0000255</v>
      </c>
      <c r="M11" s="7">
        <f t="shared" si="6"/>
        <v>0.005074445783</v>
      </c>
      <c r="N11" s="7">
        <f t="shared" si="7"/>
        <v>0.02046147493</v>
      </c>
      <c r="P11" s="7">
        <f t="shared" si="8"/>
        <v>0.5711964429</v>
      </c>
      <c r="Q11" s="7">
        <f t="shared" si="9"/>
        <v>2.922812954</v>
      </c>
    </row>
    <row r="12">
      <c r="B12" s="4" t="s">
        <v>50</v>
      </c>
      <c r="C12" s="7">
        <f>Sheet1!I6</f>
        <v>0.01478</v>
      </c>
      <c r="D12" s="7">
        <f>Sheet1!L13</f>
        <v>8.42450097</v>
      </c>
      <c r="E12" s="7">
        <f>Sheet1!I13</f>
        <v>0.379</v>
      </c>
      <c r="G12" s="7">
        <f t="shared" si="3"/>
        <v>0.13414</v>
      </c>
      <c r="H12" s="7">
        <f t="shared" si="4"/>
        <v>0.000111823468</v>
      </c>
      <c r="J12" s="7">
        <f t="shared" si="5"/>
        <v>0.0003382949932</v>
      </c>
      <c r="L12" s="7">
        <f>Sheet1!J13/4</f>
        <v>0.0000085</v>
      </c>
      <c r="M12" s="7">
        <f t="shared" si="6"/>
        <v>0.002958039892</v>
      </c>
      <c r="N12" s="7">
        <f t="shared" si="7"/>
        <v>0.01560970919</v>
      </c>
      <c r="P12" s="7">
        <f t="shared" si="8"/>
        <v>0.5660598277</v>
      </c>
      <c r="Q12" s="7">
        <f t="shared" si="9"/>
        <v>2.86126294</v>
      </c>
    </row>
  </sheetData>
  <drawing r:id="rId2"/>
  <legacyDrawing r:id="rId3"/>
</worksheet>
</file>