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 визуализация в документ" sheetId="1" r:id="rId4"/>
    <sheet state="visible" name="За сметки" sheetId="2" r:id="rId5"/>
    <sheet state="visible" name="Absolute errors - E" sheetId="3" r:id="rId6"/>
    <sheet state="visible" name="Усукване" sheetId="4" r:id="rId7"/>
    <sheet state="visible" name="Усукване за визуализация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Общата добавена маса е равна на кумулативната стойност, вкл. текущия ред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Общата добавена маса е равна на кумулативната стойност, вкл. текущия ред</t>
      </text>
    </comment>
    <comment authorId="0" ref="E5">
      <text>
        <t xml:space="preserve">Разменени</t>
      </text>
    </comment>
    <comment authorId="0" ref="E6">
      <text>
        <t xml:space="preserve">Разменени</t>
      </text>
    </comment>
    <comment authorId="0" ref="E7">
      <text>
        <t xml:space="preserve">Разменени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4">
      <text>
        <t xml:space="preserve">126 g -&gt; 0.5 г инструментална</t>
      </text>
    </comment>
    <comment authorId="0" ref="P15">
      <text>
        <t xml:space="preserve">Само инструментална. l_0 = 0.46m
</t>
      </text>
    </comment>
  </commentList>
</comments>
</file>

<file path=xl/sharedStrings.xml><?xml version="1.0" encoding="utf-8"?>
<sst xmlns="http://schemas.openxmlformats.org/spreadsheetml/2006/main" count="212" uniqueCount="122">
  <si>
    <t>Добавяне на тежести</t>
  </si>
  <si>
    <t>N</t>
  </si>
  <si>
    <t>Добавена маса \Delta m_i, [g]</t>
  </si>
  <si>
    <t>Обща маса върху пластината m_i, [g]</t>
  </si>
  <si>
    <t>Измерен h_i, [mm]</t>
  </si>
  <si>
    <t>\Delta h_i, [mm]</t>
  </si>
  <si>
    <t>\bar{}</t>
  </si>
  <si>
    <t>Премахване на тежести</t>
  </si>
  <si>
    <t>Премахната маса \Delta m_i', [kg]</t>
  </si>
  <si>
    <t>Обща маса върху пластината, [kg]</t>
  </si>
  <si>
    <t>Измерен h_i', [m]</t>
  </si>
  <si>
    <t>\Delta h_i', [m]</t>
  </si>
  <si>
    <t>-</t>
  </si>
  <si>
    <t>Измерване на дебелината а</t>
  </si>
  <si>
    <t>a_i, [mm]</t>
  </si>
  <si>
    <t>b_i, [mm]</t>
  </si>
  <si>
    <t>\bar{a}</t>
  </si>
  <si>
    <t>\bar{b}</t>
  </si>
  <si>
    <t>l_0, [m]</t>
  </si>
  <si>
    <t>g, [m/s^2]</t>
  </si>
  <si>
    <t>l_0^3/(4*a^3*b)</t>
  </si>
  <si>
    <t>Добавена маса \Delta m_i, [kg]</t>
  </si>
  <si>
    <t>Обща маса върху пластината m_i, [kg]</t>
  </si>
  <si>
    <t>Измерен h_i, [m]</t>
  </si>
  <si>
    <t>\Delta h_i, [m]</t>
  </si>
  <si>
    <t>l_0^3 term * G</t>
  </si>
  <si>
    <t>E_i</t>
  </si>
  <si>
    <t>E_i * 10^12</t>
  </si>
  <si>
    <t>\bar{E}</t>
  </si>
  <si>
    <t>\bar{E}'</t>
  </si>
  <si>
    <t>a_i, [m]</t>
  </si>
  <si>
    <t>b_i, [m]</t>
  </si>
  <si>
    <t>\Delta E</t>
  </si>
  <si>
    <t>\Delta E_i</t>
  </si>
  <si>
    <t>\Delta m</t>
  </si>
  <si>
    <t>\Delta m_i, [kg]</t>
  </si>
  <si>
    <t>(m_i - \bar{m})^2</t>
  </si>
  <si>
    <t>sigma_m</t>
  </si>
  <si>
    <t>\Delta_ins</t>
  </si>
  <si>
    <t xml:space="preserve">\Delta m </t>
  </si>
  <si>
    <t>\Delta m / m</t>
  </si>
  <si>
    <t>G</t>
  </si>
  <si>
    <t>\Delta G / G</t>
  </si>
  <si>
    <t>\Delta m_ins</t>
  </si>
  <si>
    <t>\Delta g / g</t>
  </si>
  <si>
    <t>\bar{m}</t>
  </si>
  <si>
    <t>sum</t>
  </si>
  <si>
    <t>\Delta h_0 _ ins</t>
  </si>
  <si>
    <t>\Delta h</t>
  </si>
  <si>
    <t>\Delta \Delta h</t>
  </si>
  <si>
    <t>m_i, [kg]</t>
  </si>
  <si>
    <t>\Delta l_0 / l_0</t>
  </si>
  <si>
    <t>\Delta a / a</t>
  </si>
  <si>
    <t>(a_i - a)^2</t>
  </si>
  <si>
    <t>sigma_a</t>
  </si>
  <si>
    <t>\Delta_a</t>
  </si>
  <si>
    <t>\Delta b / b</t>
  </si>
  <si>
    <t>(b_i - b)^2</t>
  </si>
  <si>
    <t>sigma_b</t>
  </si>
  <si>
    <t>\Delta_b</t>
  </si>
  <si>
    <t>bar{b}</t>
  </si>
  <si>
    <t>\Delta (\Delta h) / (\Delta h)</t>
  </si>
  <si>
    <t>\Delta (\Delta h) = \Delta h_0 + \Delta h</t>
  </si>
  <si>
    <t>\Delta h_0</t>
  </si>
  <si>
    <t>h_i, [m]</t>
  </si>
  <si>
    <t>(h_i - \bar{\Delta h})^2</t>
  </si>
  <si>
    <t>sigma_h</t>
  </si>
  <si>
    <t>\Delta (\Delta h )</t>
  </si>
  <si>
    <t>\bar{\Delta h}</t>
  </si>
  <si>
    <t>3\Delta l_0 / l_0</t>
  </si>
  <si>
    <t>3 \Delta a / a</t>
  </si>
  <si>
    <t>E</t>
  </si>
  <si>
    <t>\Delta E'</t>
  </si>
  <si>
    <t>(a_i - \bar{a})^2 \cdot 10^(6)</t>
  </si>
  <si>
    <t>(b_i - \bar{b})^2 \cdot 10^(6)</t>
  </si>
  <si>
    <t>sum/3</t>
  </si>
  <si>
    <t>\Delta(a,b)_ins, [m]</t>
  </si>
  <si>
    <t>\Delta l_0</t>
  </si>
  <si>
    <t>\Delta a</t>
  </si>
  <si>
    <t>\Delta b</t>
  </si>
  <si>
    <t>\Delta h_0 / h_0</t>
  </si>
  <si>
    <t>\Delta g</t>
  </si>
  <si>
    <t>\Delta g/ g</t>
  </si>
  <si>
    <t>3* \Delta l_0 / l_0</t>
  </si>
  <si>
    <t>Adding</t>
  </si>
  <si>
    <t>E, [N/m^2]</t>
  </si>
  <si>
    <t>\Delta m/m</t>
  </si>
  <si>
    <t>\Delta h / h</t>
  </si>
  <si>
    <t>\Delta h /h + \Delta h_0 / h_0</t>
  </si>
  <si>
    <t>\Delta E \cdot 10^(-12)</t>
  </si>
  <si>
    <t>Removing</t>
  </si>
  <si>
    <t>l, [m]</t>
  </si>
  <si>
    <t>r, [m]</t>
  </si>
  <si>
    <t>R, [m]</t>
  </si>
  <si>
    <t>\varphi_i</t>
  </si>
  <si>
    <t>\varphi_i'</t>
  </si>
  <si>
    <t>m_i', [kg]</t>
  </si>
  <si>
    <t>\Delta \varphi</t>
  </si>
  <si>
    <t>\Delta \varphi '</t>
  </si>
  <si>
    <t>\Delta \varphi_i, [deg]</t>
  </si>
  <si>
    <t>\Delta \varphi_o, [rad]</t>
  </si>
  <si>
    <t>m_{i1}, [kg]</t>
  </si>
  <si>
    <t>m_{i2}, [kg]</t>
  </si>
  <si>
    <t>\varphi_{i1}</t>
  </si>
  <si>
    <t>\varphi_{i2}</t>
  </si>
  <si>
    <t>\Phi \cdot 10^(-9)</t>
  </si>
  <si>
    <t>\Delta \Phi</t>
  </si>
  <si>
    <t>Absolute error</t>
  </si>
  <si>
    <t>\Delta m_i / m_i</t>
  </si>
  <si>
    <t>\Delta M* / M*</t>
  </si>
  <si>
    <t>\Delta \phi / \phi</t>
  </si>
  <si>
    <t>\Delta R* / R*</t>
  </si>
  <si>
    <t>\Delta R*</t>
  </si>
  <si>
    <t xml:space="preserve">\Delta l </t>
  </si>
  <si>
    <t>\Delta l / l</t>
  </si>
  <si>
    <t>\Delta r</t>
  </si>
  <si>
    <t>4\Delta R / R</t>
  </si>
  <si>
    <t>\Delta \phi</t>
  </si>
  <si>
    <t>Дирекционен момент</t>
  </si>
  <si>
    <t>\Phi</t>
  </si>
  <si>
    <t>D</t>
  </si>
  <si>
    <t>\Delta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</si>
</sst>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/>
    <font>
      <color theme="1"/>
      <name val="Arial"/>
    </font>
    <font>
      <sz val="14.0"/>
      <color theme="1"/>
      <name val="Arial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Border="1" applyFont="1"/>
    <xf borderId="15" fillId="0" fontId="1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7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 shrinkToFit="0" vertical="center" wrapText="1"/>
    </xf>
    <xf borderId="21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21" fillId="0" fontId="1" numFmtId="0" xfId="0" applyBorder="1" applyFont="1"/>
    <xf borderId="0" fillId="0" fontId="1" numFmtId="0" xfId="0" applyFont="1"/>
    <xf borderId="12" fillId="0" fontId="1" numFmtId="0" xfId="0" applyAlignment="1" applyBorder="1" applyFont="1">
      <alignment readingOrder="0" shrinkToFit="0" wrapText="1"/>
    </xf>
    <xf borderId="22" fillId="0" fontId="2" numFmtId="0" xfId="0" applyAlignment="1" applyBorder="1" applyFont="1">
      <alignment horizontal="center" readingOrder="0" vertical="center"/>
    </xf>
    <xf borderId="23" fillId="0" fontId="3" numFmtId="0" xfId="0" applyBorder="1" applyFont="1"/>
    <xf borderId="24" fillId="0" fontId="3" numFmtId="0" xfId="0" applyBorder="1" applyFont="1"/>
    <xf borderId="12" fillId="0" fontId="4" numFmtId="0" xfId="0" applyAlignment="1" applyBorder="1" applyFont="1">
      <alignment vertical="bottom"/>
    </xf>
    <xf borderId="12" fillId="0" fontId="4" numFmtId="0" xfId="0" applyAlignment="1" applyBorder="1" applyFont="1">
      <alignment horizontal="right" vertical="bottom"/>
    </xf>
    <xf borderId="12" fillId="0" fontId="4" numFmtId="0" xfId="0" applyAlignment="1" applyBorder="1" applyFont="1">
      <alignment readingOrder="0" vertical="bottom"/>
    </xf>
    <xf borderId="12" fillId="0" fontId="4" numFmtId="0" xfId="0" applyAlignment="1" applyBorder="1" applyFont="1">
      <alignment readingOrder="0" shrinkToFit="0" vertical="bottom" wrapText="1"/>
    </xf>
    <xf borderId="12" fillId="0" fontId="4" numFmtId="0" xfId="0" applyAlignment="1" applyBorder="1" applyFont="1">
      <alignment horizontal="right" readingOrder="0" vertical="bottom"/>
    </xf>
    <xf borderId="0" fillId="3" fontId="5" numFmtId="0" xfId="0" applyAlignment="1" applyFill="1" applyFont="1">
      <alignment horizontal="center" readingOrder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4" fontId="6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13"/>
    <col customWidth="1" min="11" max="11" width="16.5"/>
    <col customWidth="1" min="12" max="12" width="22.0"/>
  </cols>
  <sheetData>
    <row r="2">
      <c r="B2" s="1" t="s">
        <v>0</v>
      </c>
    </row>
    <row r="3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/>
      <c r="H3" s="3"/>
      <c r="L3" s="2"/>
    </row>
    <row r="4">
      <c r="B4" s="1">
        <v>0.0</v>
      </c>
      <c r="C4" s="1">
        <v>0.0</v>
      </c>
      <c r="D4" s="1">
        <v>0.0</v>
      </c>
      <c r="E4" s="1">
        <f> 18.96</f>
        <v>18.96</v>
      </c>
      <c r="F4" s="1">
        <v>0.0</v>
      </c>
    </row>
    <row r="5">
      <c r="B5" s="1">
        <v>1.0</v>
      </c>
      <c r="C5" s="1">
        <f>100.89</f>
        <v>100.89</v>
      </c>
      <c r="D5" s="1">
        <f t="shared" ref="D5:D8" si="1">D4+C5</f>
        <v>100.89</v>
      </c>
      <c r="E5" s="1">
        <f> 17.1</f>
        <v>17.1</v>
      </c>
      <c r="F5" s="4">
        <f t="shared" ref="F5:F8" si="2">($E$4-E5)</f>
        <v>1.86</v>
      </c>
    </row>
    <row r="6">
      <c r="B6" s="1">
        <v>2.0</v>
      </c>
      <c r="C6" s="1">
        <f>99.95</f>
        <v>99.95</v>
      </c>
      <c r="D6" s="1">
        <f t="shared" si="1"/>
        <v>200.84</v>
      </c>
      <c r="E6" s="1">
        <f> 15.714</f>
        <v>15.714</v>
      </c>
      <c r="F6" s="4">
        <f t="shared" si="2"/>
        <v>3.246</v>
      </c>
    </row>
    <row r="7">
      <c r="B7" s="1">
        <v>3.0</v>
      </c>
      <c r="C7" s="1">
        <f>102.46</f>
        <v>102.46</v>
      </c>
      <c r="D7" s="1">
        <f t="shared" si="1"/>
        <v>303.3</v>
      </c>
      <c r="E7" s="1">
        <f> 14.164</f>
        <v>14.164</v>
      </c>
      <c r="F7" s="4">
        <f t="shared" si="2"/>
        <v>4.796</v>
      </c>
    </row>
    <row r="8">
      <c r="B8" s="1">
        <v>4.0</v>
      </c>
      <c r="C8" s="1">
        <f>102.25</f>
        <v>102.25</v>
      </c>
      <c r="D8" s="1">
        <f t="shared" si="1"/>
        <v>405.55</v>
      </c>
      <c r="E8" s="1">
        <f> 12.591</f>
        <v>12.591</v>
      </c>
      <c r="F8" s="4">
        <f t="shared" si="2"/>
        <v>6.369</v>
      </c>
    </row>
    <row r="9">
      <c r="B9" s="1" t="s">
        <v>6</v>
      </c>
      <c r="C9" s="1">
        <f>AVERAGE(C3:C8)</f>
        <v>81.11</v>
      </c>
      <c r="D9" s="1">
        <f t="shared" ref="D9:F9" si="3">AVERAGE(D4:D8)</f>
        <v>202.116</v>
      </c>
      <c r="E9" s="1">
        <f t="shared" si="3"/>
        <v>15.7058</v>
      </c>
      <c r="F9" s="1">
        <f t="shared" si="3"/>
        <v>3.2542</v>
      </c>
    </row>
    <row r="10">
      <c r="B10" s="1" t="s">
        <v>7</v>
      </c>
    </row>
    <row r="11">
      <c r="B11" s="1" t="s">
        <v>1</v>
      </c>
      <c r="C11" s="2" t="s">
        <v>8</v>
      </c>
      <c r="D11" s="2" t="s">
        <v>9</v>
      </c>
      <c r="E11" s="2" t="s">
        <v>10</v>
      </c>
      <c r="F11" s="2" t="s">
        <v>11</v>
      </c>
    </row>
    <row r="12">
      <c r="B12" s="1">
        <v>0.0</v>
      </c>
      <c r="C12" s="1">
        <v>0.0</v>
      </c>
      <c r="D12" s="1">
        <f t="shared" ref="D12:E12" si="4">D8</f>
        <v>405.55</v>
      </c>
      <c r="E12" s="1">
        <f t="shared" si="4"/>
        <v>12.591</v>
      </c>
      <c r="F12" s="1" t="s">
        <v>12</v>
      </c>
    </row>
    <row r="13">
      <c r="B13" s="1">
        <v>1.0</v>
      </c>
      <c r="C13" s="4">
        <f>C8</f>
        <v>102.25</v>
      </c>
      <c r="D13" s="1">
        <f>D8-C13</f>
        <v>303.3</v>
      </c>
      <c r="E13" s="1">
        <f> 14.146</f>
        <v>14.146</v>
      </c>
      <c r="F13" s="4">
        <f t="shared" ref="F13:F16" si="5">$E$4-E13</f>
        <v>4.814</v>
      </c>
    </row>
    <row r="14">
      <c r="B14" s="1">
        <v>2.0</v>
      </c>
      <c r="C14" s="4">
        <f>C7</f>
        <v>102.46</v>
      </c>
      <c r="D14" s="4">
        <f t="shared" ref="D14:D16" si="6">D13-C14</f>
        <v>200.84</v>
      </c>
      <c r="E14" s="1">
        <f> 15.684</f>
        <v>15.684</v>
      </c>
      <c r="F14" s="4">
        <f t="shared" si="5"/>
        <v>3.276</v>
      </c>
    </row>
    <row r="15">
      <c r="B15" s="1">
        <v>3.0</v>
      </c>
      <c r="C15" s="4">
        <f>C6</f>
        <v>99.95</v>
      </c>
      <c r="D15" s="4">
        <f t="shared" si="6"/>
        <v>100.89</v>
      </c>
      <c r="E15" s="1">
        <f>17.05</f>
        <v>17.05</v>
      </c>
      <c r="F15" s="4">
        <f t="shared" si="5"/>
        <v>1.91</v>
      </c>
    </row>
    <row r="16">
      <c r="B16" s="1">
        <v>4.0</v>
      </c>
      <c r="C16" s="4">
        <f>C5</f>
        <v>100.89</v>
      </c>
      <c r="D16" s="4">
        <f t="shared" si="6"/>
        <v>0</v>
      </c>
      <c r="E16" s="1">
        <f> 18.88</f>
        <v>18.88</v>
      </c>
      <c r="F16" s="4">
        <f t="shared" si="5"/>
        <v>0.08</v>
      </c>
    </row>
    <row r="17">
      <c r="B17" s="1" t="s">
        <v>6</v>
      </c>
      <c r="C17" s="1">
        <f t="shared" ref="C17:E17" si="7">AVERAGE(C11:C16)</f>
        <v>81.11</v>
      </c>
      <c r="D17" s="1">
        <f t="shared" si="7"/>
        <v>202.116</v>
      </c>
      <c r="E17" s="1">
        <f t="shared" si="7"/>
        <v>15.6702</v>
      </c>
      <c r="F17" s="1">
        <f>AVERAGE(F12:F16)</f>
        <v>2.52</v>
      </c>
    </row>
    <row r="20">
      <c r="B20" s="1" t="s">
        <v>13</v>
      </c>
    </row>
    <row r="21">
      <c r="B21" s="1" t="s">
        <v>1</v>
      </c>
      <c r="C21" s="1" t="s">
        <v>14</v>
      </c>
      <c r="D21" s="1" t="s">
        <v>15</v>
      </c>
    </row>
    <row r="22">
      <c r="B22" s="1">
        <v>1.0</v>
      </c>
      <c r="C22" s="1">
        <f> 0.148</f>
        <v>0.148</v>
      </c>
      <c r="D22" s="1">
        <f>2.42</f>
        <v>2.42</v>
      </c>
    </row>
    <row r="23">
      <c r="B23" s="1">
        <v>2.0</v>
      </c>
      <c r="C23" s="1">
        <f t="shared" ref="C23:C24" si="8">0.13</f>
        <v>0.13</v>
      </c>
      <c r="D23" s="1">
        <f>2.461</f>
        <v>2.461</v>
      </c>
    </row>
    <row r="24">
      <c r="B24" s="1">
        <v>3.0</v>
      </c>
      <c r="C24" s="1">
        <f t="shared" si="8"/>
        <v>0.13</v>
      </c>
      <c r="D24" s="1">
        <f>2.431</f>
        <v>2.431</v>
      </c>
    </row>
    <row r="25">
      <c r="B25" s="1">
        <v>4.0</v>
      </c>
      <c r="C25" s="1">
        <f>0.16</f>
        <v>0.16</v>
      </c>
      <c r="D25" s="1">
        <f>2.443</f>
        <v>2.443</v>
      </c>
    </row>
    <row r="26">
      <c r="B26" s="1" t="s">
        <v>16</v>
      </c>
      <c r="C26" s="4">
        <f t="shared" ref="C26:D26" si="9">AVERAGE(C22:C25)</f>
        <v>0.142</v>
      </c>
      <c r="D26" s="4">
        <f t="shared" si="9"/>
        <v>2.43875</v>
      </c>
      <c r="E26" s="1" t="s">
        <v>17</v>
      </c>
    </row>
    <row r="28">
      <c r="B28" s="1" t="s">
        <v>18</v>
      </c>
      <c r="C28" s="1">
        <v>0.46</v>
      </c>
    </row>
    <row r="29">
      <c r="B29" s="1" t="s">
        <v>19</v>
      </c>
      <c r="C29" s="1">
        <v>9.8</v>
      </c>
    </row>
    <row r="30">
      <c r="B30" s="1" t="s">
        <v>20</v>
      </c>
      <c r="C30" s="4">
        <f>C28^3/(4*C26^3*D26)</f>
        <v>3.484826721</v>
      </c>
    </row>
  </sheetData>
  <mergeCells count="3">
    <mergeCell ref="B2:F2"/>
    <mergeCell ref="B10:F10"/>
    <mergeCell ref="B20:D2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16.38"/>
    <col customWidth="1" min="5" max="5" width="13.88"/>
    <col customWidth="1" min="11" max="11" width="15.63"/>
    <col customWidth="1" min="12" max="12" width="15.38"/>
  </cols>
  <sheetData>
    <row r="2">
      <c r="B2" s="1" t="s">
        <v>0</v>
      </c>
    </row>
    <row r="3">
      <c r="B3" s="1" t="s">
        <v>1</v>
      </c>
      <c r="C3" s="2" t="s">
        <v>21</v>
      </c>
      <c r="D3" s="2" t="s">
        <v>22</v>
      </c>
      <c r="E3" s="2" t="s">
        <v>23</v>
      </c>
      <c r="F3" s="2" t="s">
        <v>24</v>
      </c>
      <c r="G3" s="3"/>
      <c r="H3" s="3"/>
      <c r="K3" s="1" t="s">
        <v>25</v>
      </c>
      <c r="L3" s="2" t="s">
        <v>26</v>
      </c>
      <c r="M3" s="1" t="s">
        <v>27</v>
      </c>
    </row>
    <row r="4">
      <c r="B4" s="1">
        <v>0.0</v>
      </c>
      <c r="C4" s="1">
        <v>0.0</v>
      </c>
      <c r="D4" s="1">
        <v>0.0</v>
      </c>
      <c r="E4" s="1">
        <f> 'За визуализация в документ'!E4*10^(-3)</f>
        <v>0.01896</v>
      </c>
      <c r="F4" s="1">
        <f>'За визуализация в документ'!F4*10^(-3)</f>
        <v>0</v>
      </c>
      <c r="K4" s="4">
        <f t="shared" ref="K4:K8" si="1">$C$30*D4</f>
        <v>0</v>
      </c>
      <c r="L4" s="1" t="s">
        <v>12</v>
      </c>
    </row>
    <row r="5">
      <c r="B5" s="1">
        <v>1.0</v>
      </c>
      <c r="C5" s="1">
        <f>'За визуализация в документ'!C5*10^(-3)</f>
        <v>0.10089</v>
      </c>
      <c r="D5" s="1">
        <f t="shared" ref="D5:D8" si="2">D4+C5</f>
        <v>0.10089</v>
      </c>
      <c r="E5" s="1">
        <f> 'За визуализация в документ'!E5*10^(-3)</f>
        <v>0.0171</v>
      </c>
      <c r="F5" s="1">
        <f>'За визуализация в документ'!F5*10^(-3)</f>
        <v>0.00186</v>
      </c>
      <c r="K5" s="4">
        <f t="shared" si="1"/>
        <v>351584167872</v>
      </c>
      <c r="L5" s="4">
        <f t="shared" ref="L5:L8" si="3">K5/F5</f>
        <v>189023746167576</v>
      </c>
      <c r="M5" s="4">
        <f t="shared" ref="M5:M8" si="4">L5/10^12</f>
        <v>189.0237462</v>
      </c>
    </row>
    <row r="6">
      <c r="B6" s="1">
        <v>2.0</v>
      </c>
      <c r="C6" s="1">
        <f>'За визуализация в документ'!C6*10^(-3)</f>
        <v>0.09995</v>
      </c>
      <c r="D6" s="1">
        <f t="shared" si="2"/>
        <v>0.20084</v>
      </c>
      <c r="E6" s="1">
        <f> 'За визуализация в документ'!E6*10^(-3)</f>
        <v>0.015714</v>
      </c>
      <c r="F6" s="1">
        <f>'За визуализация в документ'!F6*10^(-3)</f>
        <v>0.003246</v>
      </c>
      <c r="K6" s="4">
        <f t="shared" si="1"/>
        <v>699892598626</v>
      </c>
      <c r="L6" s="4">
        <f t="shared" si="3"/>
        <v>215616943507620</v>
      </c>
      <c r="M6" s="4">
        <f t="shared" si="4"/>
        <v>215.6169435</v>
      </c>
    </row>
    <row r="7">
      <c r="B7" s="1">
        <v>3.0</v>
      </c>
      <c r="C7" s="1">
        <f>'За визуализация в документ'!C7*10^(-3)</f>
        <v>0.10246</v>
      </c>
      <c r="D7" s="1">
        <f t="shared" si="2"/>
        <v>0.3033</v>
      </c>
      <c r="E7" s="1">
        <f> 'За визуализация в документ'!E7*10^(-3)</f>
        <v>0.014164</v>
      </c>
      <c r="F7" s="1">
        <f>'За визуализация в документ'!F7*10^(-3)</f>
        <v>0.004796</v>
      </c>
      <c r="K7" s="4">
        <f t="shared" si="1"/>
        <v>1056947944449</v>
      </c>
      <c r="L7" s="4">
        <f t="shared" si="3"/>
        <v>220381139376405</v>
      </c>
      <c r="M7" s="4">
        <f t="shared" si="4"/>
        <v>220.3811394</v>
      </c>
    </row>
    <row r="8">
      <c r="B8" s="1">
        <v>4.0</v>
      </c>
      <c r="C8" s="1">
        <f>'За визуализация в документ'!C8*10^(-3)</f>
        <v>0.10225</v>
      </c>
      <c r="D8" s="1">
        <f t="shared" si="2"/>
        <v>0.40555</v>
      </c>
      <c r="E8" s="1">
        <f> 'За визуализация в документ'!E8*10^(-3)</f>
        <v>0.012591</v>
      </c>
      <c r="F8" s="1">
        <f>'За визуализация в документ'!F8*10^(-3)</f>
        <v>0.006369</v>
      </c>
      <c r="K8" s="4">
        <f t="shared" si="1"/>
        <v>1413271476661</v>
      </c>
      <c r="L8" s="4">
        <f t="shared" si="3"/>
        <v>221898489034598</v>
      </c>
      <c r="M8" s="4">
        <f t="shared" si="4"/>
        <v>221.898489</v>
      </c>
    </row>
    <row r="9">
      <c r="B9" s="1" t="str">
        <f>'За визуализация в документ'!B9</f>
        <v>\bar{}</v>
      </c>
      <c r="C9" s="1">
        <f>'За визуализация в документ'!C9*10^(-3)</f>
        <v>0.08111</v>
      </c>
      <c r="D9" s="1">
        <f>'За визуализация в документ'!D9*10^(-3)</f>
        <v>0.202116</v>
      </c>
      <c r="E9" s="1">
        <f>'За визуализация в документ'!E9*10^(-3)</f>
        <v>0.0157058</v>
      </c>
      <c r="F9" s="1">
        <f>'За визуализация в документ'!F9*10^(-3)</f>
        <v>0.0032542</v>
      </c>
      <c r="L9" s="1"/>
    </row>
    <row r="10">
      <c r="B10" s="1" t="s">
        <v>7</v>
      </c>
      <c r="L10" s="1" t="s">
        <v>28</v>
      </c>
      <c r="M10" s="4">
        <f>AVERAGE(M5:M8)</f>
        <v>211.7300795</v>
      </c>
    </row>
    <row r="11">
      <c r="B11" s="1" t="s">
        <v>1</v>
      </c>
      <c r="C11" s="2" t="s">
        <v>8</v>
      </c>
      <c r="D11" s="2" t="s">
        <v>9</v>
      </c>
      <c r="E11" s="2" t="s">
        <v>10</v>
      </c>
      <c r="F11" s="2" t="s">
        <v>11</v>
      </c>
    </row>
    <row r="12">
      <c r="B12" s="1">
        <v>0.0</v>
      </c>
      <c r="C12" s="1">
        <f>'За визуализация в документ'!C12*10^(-3)</f>
        <v>0</v>
      </c>
      <c r="D12" s="1">
        <f t="shared" ref="D12:E12" si="5">D8</f>
        <v>0.40555</v>
      </c>
      <c r="E12" s="1">
        <f t="shared" si="5"/>
        <v>0.012591</v>
      </c>
      <c r="F12" s="1" t="str">
        <f>'За визуализация в документ'!F12</f>
        <v>-</v>
      </c>
    </row>
    <row r="13">
      <c r="B13" s="1">
        <v>1.0</v>
      </c>
      <c r="C13" s="4">
        <f>C8</f>
        <v>0.10225</v>
      </c>
      <c r="D13" s="1">
        <f>D8-C13</f>
        <v>0.3033</v>
      </c>
      <c r="E13" s="1">
        <f> 'За визуализация в документ'!E13*10^(-3)</f>
        <v>0.014146</v>
      </c>
      <c r="F13" s="1">
        <f>'За визуализация в документ'!F13*10^(-3)</f>
        <v>0.004814</v>
      </c>
      <c r="K13" s="4">
        <f t="shared" ref="K13:K16" si="6">$C$30*D13</f>
        <v>1056947944449</v>
      </c>
      <c r="L13" s="4">
        <f t="shared" ref="L13:L16" si="7">K13/F13</f>
        <v>219557113512513</v>
      </c>
      <c r="M13" s="4">
        <f t="shared" ref="M13:M15" si="8">L13/10^12</f>
        <v>219.5571135</v>
      </c>
    </row>
    <row r="14">
      <c r="B14" s="1">
        <v>2.0</v>
      </c>
      <c r="C14" s="4">
        <f>C7</f>
        <v>0.10246</v>
      </c>
      <c r="D14" s="4">
        <f t="shared" ref="D14:D16" si="9">D13-C14</f>
        <v>0.20084</v>
      </c>
      <c r="E14" s="1">
        <f> 'За визуализация в документ'!E14*10^(-3)</f>
        <v>0.015684</v>
      </c>
      <c r="F14" s="1">
        <f>'За визуализация в документ'!F14*10^(-3)</f>
        <v>0.003276</v>
      </c>
      <c r="K14" s="4">
        <f t="shared" si="6"/>
        <v>699892598626</v>
      </c>
      <c r="L14" s="4">
        <f t="shared" si="7"/>
        <v>213642429372935</v>
      </c>
      <c r="M14" s="4">
        <f t="shared" si="8"/>
        <v>213.6424294</v>
      </c>
    </row>
    <row r="15">
      <c r="B15" s="1">
        <v>3.0</v>
      </c>
      <c r="C15" s="4">
        <f>C6</f>
        <v>0.09995</v>
      </c>
      <c r="D15" s="4">
        <f t="shared" si="9"/>
        <v>0.10089</v>
      </c>
      <c r="E15" s="1">
        <f> 'За визуализация в документ'!E15*10^(-3)</f>
        <v>0.01705</v>
      </c>
      <c r="F15" s="1">
        <f>'За визуализация в документ'!F15*10^(-3)</f>
        <v>0.00191</v>
      </c>
      <c r="K15" s="4">
        <f t="shared" si="6"/>
        <v>351584167872</v>
      </c>
      <c r="L15" s="4">
        <f t="shared" si="7"/>
        <v>184075480561094</v>
      </c>
      <c r="M15" s="4">
        <f t="shared" si="8"/>
        <v>184.0754806</v>
      </c>
    </row>
    <row r="16">
      <c r="B16" s="1">
        <v>4.0</v>
      </c>
      <c r="C16" s="4">
        <f>C5</f>
        <v>0.10089</v>
      </c>
      <c r="D16" s="4">
        <f t="shared" si="9"/>
        <v>0</v>
      </c>
      <c r="E16" s="1">
        <f> 'За визуализация в документ'!E16*10^(-3)</f>
        <v>0.01888</v>
      </c>
      <c r="F16" s="1">
        <f>'За визуализация в документ'!F16*10^(-3)</f>
        <v>0.00008</v>
      </c>
      <c r="K16" s="4">
        <f t="shared" si="6"/>
        <v>0</v>
      </c>
      <c r="L16" s="4">
        <f t="shared" si="7"/>
        <v>0</v>
      </c>
      <c r="M16" s="1">
        <v>0.0</v>
      </c>
    </row>
    <row r="17">
      <c r="B17" s="1" t="str">
        <f> 'За визуализация в документ'!B17</f>
        <v>\bar{}</v>
      </c>
      <c r="C17" s="1">
        <f> 'За визуализация в документ'!C17*10^(-3)</f>
        <v>0.08111</v>
      </c>
      <c r="D17" s="1">
        <f> 'За визуализация в документ'!D17*10^(-3)</f>
        <v>0.202116</v>
      </c>
      <c r="E17" s="1">
        <f> 'За визуализация в документ'!E17*10^(-3)</f>
        <v>0.0156702</v>
      </c>
      <c r="F17" s="1">
        <f>'За визуализация в документ'!F17*10^(-3)</f>
        <v>0.00252</v>
      </c>
      <c r="L17" s="1" t="s">
        <v>29</v>
      </c>
      <c r="M17" s="4">
        <f>AVERAGE(M13:M15)</f>
        <v>205.7583411</v>
      </c>
    </row>
    <row r="20">
      <c r="B20" s="1" t="s">
        <v>13</v>
      </c>
    </row>
    <row r="21">
      <c r="B21" s="1" t="s">
        <v>1</v>
      </c>
      <c r="C21" s="1" t="s">
        <v>30</v>
      </c>
      <c r="D21" s="1" t="s">
        <v>31</v>
      </c>
    </row>
    <row r="22">
      <c r="B22" s="1">
        <v>1.0</v>
      </c>
      <c r="C22" s="1">
        <f> 'За визуализация в документ'!C22*10^(-3)</f>
        <v>0.000148</v>
      </c>
      <c r="D22" s="1">
        <f>10^(-3)*'За визуализация в документ'!D22</f>
        <v>0.00242</v>
      </c>
    </row>
    <row r="23">
      <c r="B23" s="1">
        <v>2.0</v>
      </c>
      <c r="C23" s="1">
        <f> 'За визуализация в документ'!C23*10^(-3)</f>
        <v>0.00013</v>
      </c>
      <c r="D23" s="1">
        <f>10^(-3)*'За визуализация в документ'!D23</f>
        <v>0.002461</v>
      </c>
    </row>
    <row r="24">
      <c r="B24" s="1">
        <v>3.0</v>
      </c>
      <c r="C24" s="1">
        <f> 'За визуализация в документ'!C24*10^(-3)</f>
        <v>0.00013</v>
      </c>
      <c r="D24" s="1">
        <f>10^(-3)*'За визуализация в документ'!D24</f>
        <v>0.002431</v>
      </c>
    </row>
    <row r="25">
      <c r="B25" s="1">
        <v>4.0</v>
      </c>
      <c r="C25" s="1">
        <f> 'За визуализация в документ'!C25*10^(-3)</f>
        <v>0.00016</v>
      </c>
      <c r="D25" s="1">
        <f>10^(-3)*'За визуализация в документ'!D25</f>
        <v>0.002443</v>
      </c>
    </row>
    <row r="26">
      <c r="B26" s="1" t="s">
        <v>16</v>
      </c>
      <c r="C26" s="4">
        <f t="shared" ref="C26:D26" si="10">AVERAGE(C22:C25)</f>
        <v>0.000142</v>
      </c>
      <c r="D26" s="4">
        <f t="shared" si="10"/>
        <v>0.00243875</v>
      </c>
      <c r="E26" s="1" t="s">
        <v>17</v>
      </c>
    </row>
    <row r="28">
      <c r="B28" s="1" t="s">
        <v>18</v>
      </c>
      <c r="C28" s="1">
        <v>0.46</v>
      </c>
    </row>
    <row r="29">
      <c r="B29" s="1" t="s">
        <v>19</v>
      </c>
      <c r="C29" s="1">
        <v>9.8</v>
      </c>
    </row>
    <row r="30">
      <c r="B30" s="1" t="s">
        <v>20</v>
      </c>
      <c r="C30" s="4">
        <f>C28^3/(4*C26^3*D26)</f>
        <v>3484826720901</v>
      </c>
    </row>
    <row r="3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Q32" s="5" t="s">
        <v>33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</row>
    <row r="33">
      <c r="B33" s="8" t="s">
        <v>34</v>
      </c>
      <c r="C33" s="9" t="s">
        <v>35</v>
      </c>
      <c r="D33" s="10" t="s">
        <v>36</v>
      </c>
      <c r="E33" s="11"/>
      <c r="F33" s="12" t="s">
        <v>37</v>
      </c>
      <c r="G33" s="10" t="s">
        <v>38</v>
      </c>
      <c r="H33" s="10" t="s">
        <v>39</v>
      </c>
      <c r="I33" s="10" t="s">
        <v>40</v>
      </c>
      <c r="Q33" s="8" t="s">
        <v>34</v>
      </c>
      <c r="R33" s="13" t="s">
        <v>35</v>
      </c>
      <c r="S33" s="1" t="s">
        <v>40</v>
      </c>
      <c r="T33" s="1" t="s">
        <v>41</v>
      </c>
      <c r="U33" s="1" t="s">
        <v>42</v>
      </c>
      <c r="W33" s="1" t="s">
        <v>43</v>
      </c>
      <c r="Y33" s="14" t="s">
        <v>44</v>
      </c>
      <c r="Z33" s="12" t="s">
        <v>38</v>
      </c>
      <c r="AA33" s="10" t="s">
        <v>44</v>
      </c>
      <c r="AB33" s="15"/>
    </row>
    <row r="34">
      <c r="B34" s="16"/>
      <c r="C34" s="17">
        <f t="shared" ref="C34:C40" si="11">C4</f>
        <v>0</v>
      </c>
      <c r="D34" s="18">
        <f t="shared" ref="D34:D38" si="12">(C34-$C$39)^2</f>
        <v>0.0065788321</v>
      </c>
      <c r="F34" s="1">
        <f>D39/4</f>
        <v>0.00205693705</v>
      </c>
      <c r="G34" s="19">
        <v>5.0E-6</v>
      </c>
      <c r="H34" s="18">
        <f>SQRT(G34^2+F34)</f>
        <v>0.04535346817</v>
      </c>
      <c r="I34" s="18">
        <f>H34/C39</f>
        <v>0.559160007</v>
      </c>
      <c r="Q34" s="16"/>
      <c r="R34" s="20">
        <f t="shared" ref="R34:R40" si="13">D4</f>
        <v>0</v>
      </c>
      <c r="S34" s="1">
        <v>0.0</v>
      </c>
      <c r="T34" s="4">
        <f t="shared" ref="T34:T39" si="14">R34*$C$29</f>
        <v>0</v>
      </c>
      <c r="U34" s="4">
        <f t="shared" ref="U34:U39" si="15">S34+$AA$34</f>
        <v>0.005102040816</v>
      </c>
      <c r="W34" s="1">
        <v>5.0E-6</v>
      </c>
      <c r="Y34" s="21"/>
      <c r="Z34" s="1">
        <v>0.05</v>
      </c>
      <c r="AA34" s="18">
        <f>Z34/$C$29</f>
        <v>0.005102040816</v>
      </c>
      <c r="AB34" s="22"/>
    </row>
    <row r="35">
      <c r="B35" s="16"/>
      <c r="C35" s="17">
        <f t="shared" si="11"/>
        <v>0.10089</v>
      </c>
      <c r="D35" s="18">
        <f t="shared" si="12"/>
        <v>0.0003912484</v>
      </c>
      <c r="F35" s="1"/>
      <c r="G35" s="1"/>
      <c r="H35" s="1"/>
      <c r="I35" s="23"/>
      <c r="Q35" s="16"/>
      <c r="R35" s="20">
        <f t="shared" si="13"/>
        <v>0.10089</v>
      </c>
      <c r="S35" s="4">
        <f t="shared" ref="S35:S39" si="16">$W$34/R35</f>
        <v>0.00004955892556</v>
      </c>
      <c r="T35" s="4">
        <f t="shared" si="14"/>
        <v>0.988722</v>
      </c>
      <c r="U35" s="4">
        <f t="shared" si="15"/>
        <v>0.005151599742</v>
      </c>
      <c r="Y35" s="24"/>
      <c r="Z35" s="25"/>
      <c r="AA35" s="26"/>
      <c r="AB35" s="27"/>
    </row>
    <row r="36">
      <c r="B36" s="16"/>
      <c r="C36" s="17">
        <f t="shared" si="11"/>
        <v>0.09995</v>
      </c>
      <c r="D36" s="18">
        <f t="shared" si="12"/>
        <v>0.0003549456</v>
      </c>
      <c r="F36" s="1"/>
      <c r="G36" s="1"/>
      <c r="H36" s="1"/>
      <c r="I36" s="23"/>
      <c r="Q36" s="16"/>
      <c r="R36" s="20">
        <f t="shared" si="13"/>
        <v>0.20084</v>
      </c>
      <c r="S36" s="4">
        <f t="shared" si="16"/>
        <v>0.00002489543916</v>
      </c>
      <c r="T36" s="4">
        <f t="shared" si="14"/>
        <v>1.968232</v>
      </c>
      <c r="U36" s="4">
        <f t="shared" si="15"/>
        <v>0.005126936255</v>
      </c>
    </row>
    <row r="37">
      <c r="B37" s="16"/>
      <c r="C37" s="17">
        <f t="shared" si="11"/>
        <v>0.10246</v>
      </c>
      <c r="D37" s="18">
        <f t="shared" si="12"/>
        <v>0.0004558225</v>
      </c>
      <c r="F37" s="1"/>
      <c r="G37" s="1"/>
      <c r="H37" s="1"/>
      <c r="I37" s="23"/>
      <c r="Q37" s="16"/>
      <c r="R37" s="20">
        <f t="shared" si="13"/>
        <v>0.3033</v>
      </c>
      <c r="S37" s="4">
        <f t="shared" si="16"/>
        <v>0.00001648532806</v>
      </c>
      <c r="T37" s="4">
        <f t="shared" si="14"/>
        <v>2.97234</v>
      </c>
      <c r="U37" s="4">
        <f t="shared" si="15"/>
        <v>0.005118526144</v>
      </c>
    </row>
    <row r="38">
      <c r="B38" s="16"/>
      <c r="C38" s="17">
        <f t="shared" si="11"/>
        <v>0.10225</v>
      </c>
      <c r="D38" s="18">
        <f t="shared" si="12"/>
        <v>0.0004468996</v>
      </c>
      <c r="F38" s="1"/>
      <c r="G38" s="1"/>
      <c r="H38" s="1"/>
      <c r="I38" s="23"/>
      <c r="Q38" s="16"/>
      <c r="R38" s="20">
        <f t="shared" si="13"/>
        <v>0.40555</v>
      </c>
      <c r="S38" s="4">
        <f t="shared" si="16"/>
        <v>0.00001232893601</v>
      </c>
      <c r="T38" s="4">
        <f t="shared" si="14"/>
        <v>3.97439</v>
      </c>
      <c r="U38" s="4">
        <f t="shared" si="15"/>
        <v>0.005114369752</v>
      </c>
    </row>
    <row r="39">
      <c r="B39" s="16" t="s">
        <v>45</v>
      </c>
      <c r="C39" s="17">
        <f t="shared" si="11"/>
        <v>0.08111</v>
      </c>
      <c r="D39" s="18">
        <f>SUM(D34:D38)</f>
        <v>0.0082277482</v>
      </c>
      <c r="F39" s="1"/>
      <c r="G39" s="1"/>
      <c r="H39" s="1"/>
      <c r="I39" s="23"/>
      <c r="Q39" s="28" t="s">
        <v>45</v>
      </c>
      <c r="R39" s="29">
        <f t="shared" si="13"/>
        <v>0.202116</v>
      </c>
      <c r="S39" s="4">
        <f t="shared" si="16"/>
        <v>0.00002473826911</v>
      </c>
      <c r="T39" s="4">
        <f t="shared" si="14"/>
        <v>1.9807368</v>
      </c>
      <c r="U39" s="4">
        <f t="shared" si="15"/>
        <v>0.005126779085</v>
      </c>
    </row>
    <row r="40">
      <c r="B40" s="30"/>
      <c r="C40" s="17" t="str">
        <f t="shared" si="11"/>
        <v/>
      </c>
      <c r="D40" s="19" t="s">
        <v>46</v>
      </c>
      <c r="F40" s="1"/>
      <c r="G40" s="1"/>
      <c r="H40" s="1"/>
      <c r="I40" s="23"/>
      <c r="Q40" s="1"/>
      <c r="R40" s="2" t="str">
        <f t="shared" si="13"/>
        <v/>
      </c>
      <c r="S40" s="1"/>
    </row>
    <row r="41">
      <c r="B41" s="31"/>
      <c r="C41" s="32"/>
      <c r="D41" s="33"/>
      <c r="E41" s="26"/>
      <c r="F41" s="33"/>
      <c r="G41" s="33"/>
      <c r="H41" s="33"/>
      <c r="I41" s="34"/>
      <c r="R41" s="2"/>
      <c r="S41" s="1"/>
      <c r="X41" s="1" t="s">
        <v>47</v>
      </c>
      <c r="Y41" s="1" t="s">
        <v>48</v>
      </c>
      <c r="Z41" s="1" t="s">
        <v>49</v>
      </c>
    </row>
    <row r="42">
      <c r="B42" s="1"/>
      <c r="C42" s="2"/>
      <c r="D42" s="1"/>
      <c r="F42" s="1"/>
      <c r="G42" s="1"/>
      <c r="H42" s="1"/>
      <c r="I42" s="1"/>
    </row>
    <row r="43">
      <c r="B43" s="8" t="s">
        <v>34</v>
      </c>
      <c r="C43" s="9" t="s">
        <v>50</v>
      </c>
      <c r="D43" s="10" t="s">
        <v>36</v>
      </c>
      <c r="E43" s="11"/>
      <c r="F43" s="12" t="s">
        <v>37</v>
      </c>
      <c r="G43" s="10" t="s">
        <v>38</v>
      </c>
      <c r="H43" s="10" t="s">
        <v>39</v>
      </c>
      <c r="I43" s="10" t="s">
        <v>40</v>
      </c>
      <c r="J43" s="15"/>
    </row>
    <row r="44">
      <c r="B44" s="35"/>
      <c r="C44" s="19">
        <f t="shared" ref="C44:C49" si="17">D4</f>
        <v>0</v>
      </c>
      <c r="D44" s="18">
        <f t="shared" ref="D44:D48" si="18">(C44-$C$49)^2</f>
        <v>0.04085087746</v>
      </c>
      <c r="F44" s="4">
        <f>D49/(4*5)</f>
        <v>0.005136140146</v>
      </c>
      <c r="G44" s="19">
        <v>5.0E-6</v>
      </c>
      <c r="H44" s="18">
        <f>SQRT(G44^2+F44)</f>
        <v>0.07166686941</v>
      </c>
      <c r="I44" s="18">
        <f>H44/D9</f>
        <v>0.3545828604</v>
      </c>
      <c r="J44" s="22"/>
    </row>
    <row r="45">
      <c r="B45" s="35"/>
      <c r="C45" s="19">
        <f t="shared" si="17"/>
        <v>0.10089</v>
      </c>
      <c r="D45" s="18">
        <f t="shared" si="18"/>
        <v>0.01024670308</v>
      </c>
      <c r="J45" s="22"/>
    </row>
    <row r="46">
      <c r="B46" s="35"/>
      <c r="C46" s="19">
        <f t="shared" si="17"/>
        <v>0.20084</v>
      </c>
      <c r="D46" s="18">
        <f t="shared" si="18"/>
        <v>0.000001628176</v>
      </c>
      <c r="J46" s="22"/>
    </row>
    <row r="47">
      <c r="B47" s="35"/>
      <c r="C47" s="19">
        <f t="shared" si="17"/>
        <v>0.3033</v>
      </c>
      <c r="D47" s="18">
        <f t="shared" si="18"/>
        <v>0.01023820186</v>
      </c>
      <c r="J47" s="22"/>
    </row>
    <row r="48">
      <c r="B48" s="35"/>
      <c r="C48" s="19">
        <f t="shared" si="17"/>
        <v>0.40555</v>
      </c>
      <c r="D48" s="18">
        <f t="shared" si="18"/>
        <v>0.04138539236</v>
      </c>
      <c r="J48" s="22"/>
    </row>
    <row r="49">
      <c r="B49" s="30" t="s">
        <v>45</v>
      </c>
      <c r="C49" s="19">
        <f t="shared" si="17"/>
        <v>0.202116</v>
      </c>
      <c r="D49" s="18">
        <f>SUM(D44:D48)</f>
        <v>0.1027228029</v>
      </c>
      <c r="J49" s="22"/>
    </row>
    <row r="50">
      <c r="B50" s="35"/>
      <c r="C50" s="18"/>
      <c r="D50" s="19" t="s">
        <v>46</v>
      </c>
      <c r="J50" s="22"/>
    </row>
    <row r="51">
      <c r="B51" s="24"/>
      <c r="C51" s="26"/>
      <c r="D51" s="26"/>
      <c r="E51" s="26"/>
      <c r="F51" s="26"/>
      <c r="G51" s="26"/>
      <c r="H51" s="26"/>
      <c r="I51" s="26"/>
      <c r="J51" s="27"/>
    </row>
    <row r="52">
      <c r="B52" s="1"/>
      <c r="C52" s="1"/>
      <c r="D52" s="1"/>
      <c r="F52" s="36"/>
      <c r="G52" s="36"/>
      <c r="I52" s="36"/>
    </row>
    <row r="53">
      <c r="B53" s="14" t="s">
        <v>44</v>
      </c>
      <c r="C53" s="12" t="s">
        <v>38</v>
      </c>
      <c r="D53" s="10" t="s">
        <v>44</v>
      </c>
      <c r="E53" s="15"/>
      <c r="F53" s="36"/>
      <c r="I53" s="36"/>
    </row>
    <row r="54">
      <c r="B54" s="21"/>
      <c r="C54" s="1">
        <v>0.05</v>
      </c>
      <c r="D54" s="18">
        <f>C54/$C$29</f>
        <v>0.005102040816</v>
      </c>
      <c r="E54" s="22"/>
      <c r="F54" s="36"/>
    </row>
    <row r="55">
      <c r="B55" s="24"/>
      <c r="C55" s="25"/>
      <c r="D55" s="26"/>
      <c r="E55" s="27"/>
    </row>
    <row r="56">
      <c r="C56" s="36"/>
    </row>
    <row r="57">
      <c r="B57" s="1" t="s">
        <v>51</v>
      </c>
      <c r="C57" s="1" t="s">
        <v>38</v>
      </c>
      <c r="D57" s="19" t="s">
        <v>51</v>
      </c>
    </row>
    <row r="58">
      <c r="C58" s="1">
        <v>0.005</v>
      </c>
      <c r="D58" s="18">
        <f>C58/C28</f>
        <v>0.01086956522</v>
      </c>
    </row>
    <row r="59">
      <c r="B59" s="36"/>
      <c r="C59" s="36"/>
    </row>
    <row r="60">
      <c r="B60" s="14" t="s">
        <v>52</v>
      </c>
      <c r="C60" s="11" t="str">
        <f t="shared" ref="C60:D60" si="19">B21</f>
        <v>N</v>
      </c>
      <c r="D60" s="11" t="str">
        <f t="shared" si="19"/>
        <v>a_i, [m]</v>
      </c>
      <c r="E60" s="12" t="s">
        <v>53</v>
      </c>
      <c r="F60" s="11"/>
      <c r="G60" s="12" t="s">
        <v>54</v>
      </c>
      <c r="H60" s="12" t="s">
        <v>38</v>
      </c>
      <c r="I60" s="12" t="s">
        <v>55</v>
      </c>
      <c r="J60" s="11"/>
      <c r="K60" s="12" t="s">
        <v>52</v>
      </c>
      <c r="L60" s="15"/>
    </row>
    <row r="61">
      <c r="B61" s="21"/>
      <c r="C61" s="4">
        <f t="shared" ref="C61:D61" si="20">B22</f>
        <v>1</v>
      </c>
      <c r="D61" s="4">
        <f t="shared" si="20"/>
        <v>0.000148</v>
      </c>
      <c r="E61" s="4">
        <f t="shared" ref="E61:E64" si="22">(D61-$D$65)^2</f>
        <v>0</v>
      </c>
      <c r="G61" s="4">
        <f>E65/4</f>
        <v>0.000000000162</v>
      </c>
      <c r="H61" s="1">
        <v>5.0E-7</v>
      </c>
      <c r="I61" s="4">
        <f>G61+H61^2</f>
        <v>0.00000000016225</v>
      </c>
      <c r="K61" s="4">
        <f>I61/D65</f>
        <v>0.000001142605634</v>
      </c>
      <c r="L61" s="22"/>
    </row>
    <row r="62">
      <c r="B62" s="21"/>
      <c r="C62" s="4">
        <f t="shared" ref="C62:D62" si="21">B23</f>
        <v>2</v>
      </c>
      <c r="D62" s="4">
        <f t="shared" si="21"/>
        <v>0.00013</v>
      </c>
      <c r="E62" s="4">
        <f t="shared" si="22"/>
        <v>0.000000000144</v>
      </c>
      <c r="L62" s="22"/>
    </row>
    <row r="63">
      <c r="B63" s="21"/>
      <c r="C63" s="4">
        <f t="shared" ref="C63:D63" si="23">B24</f>
        <v>3</v>
      </c>
      <c r="D63" s="4">
        <f t="shared" si="23"/>
        <v>0.00013</v>
      </c>
      <c r="E63" s="4">
        <f t="shared" si="22"/>
        <v>0.000000000144</v>
      </c>
      <c r="L63" s="22"/>
    </row>
    <row r="64">
      <c r="B64" s="21"/>
      <c r="C64" s="4">
        <f t="shared" ref="C64:D64" si="24">B25</f>
        <v>4</v>
      </c>
      <c r="D64" s="4">
        <f t="shared" si="24"/>
        <v>0.00016</v>
      </c>
      <c r="E64" s="4">
        <f t="shared" si="22"/>
        <v>0.000000000324</v>
      </c>
      <c r="L64" s="22"/>
    </row>
    <row r="65">
      <c r="B65" s="21"/>
      <c r="C65" s="4" t="str">
        <f t="shared" ref="C65:D65" si="25">B26</f>
        <v>\bar{a}</v>
      </c>
      <c r="D65" s="4">
        <f t="shared" si="25"/>
        <v>0.000142</v>
      </c>
      <c r="E65" s="4">
        <f>SUM(E61:E64)</f>
        <v>0.000000000648</v>
      </c>
      <c r="L65" s="22"/>
    </row>
    <row r="66">
      <c r="B66" s="21"/>
      <c r="E66" s="1" t="s">
        <v>46</v>
      </c>
      <c r="L66" s="22"/>
    </row>
    <row r="67">
      <c r="B67" s="24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>
      <c r="B68" s="36"/>
      <c r="C68" s="36"/>
      <c r="D68" s="36"/>
    </row>
    <row r="69">
      <c r="B69" s="14" t="s">
        <v>56</v>
      </c>
      <c r="C69" s="11" t="str">
        <f t="shared" ref="C69:C73" si="26">B21</f>
        <v>N</v>
      </c>
      <c r="D69" s="11" t="str">
        <f t="shared" ref="D69:D74" si="27">D21</f>
        <v>b_i, [m]</v>
      </c>
      <c r="E69" s="12" t="s">
        <v>57</v>
      </c>
      <c r="F69" s="11"/>
      <c r="G69" s="12" t="s">
        <v>58</v>
      </c>
      <c r="H69" s="12" t="s">
        <v>38</v>
      </c>
      <c r="I69" s="12" t="s">
        <v>59</v>
      </c>
      <c r="J69" s="11"/>
      <c r="K69" s="12" t="s">
        <v>56</v>
      </c>
      <c r="L69" s="15"/>
    </row>
    <row r="70">
      <c r="B70" s="21"/>
      <c r="C70" s="4">
        <f t="shared" si="26"/>
        <v>1</v>
      </c>
      <c r="D70" s="4">
        <f t="shared" si="27"/>
        <v>0.00242</v>
      </c>
      <c r="E70" s="4">
        <f t="shared" ref="E70:E73" si="28">(D70-$D$74)^2</f>
        <v>0.0000000003515625</v>
      </c>
      <c r="G70" s="4">
        <f>E74/4</f>
        <v>0.0000000002311875</v>
      </c>
      <c r="H70" s="1">
        <v>5.0E-7</v>
      </c>
      <c r="I70" s="4">
        <f>G70+H70^2</f>
        <v>0.0000000002314375</v>
      </c>
      <c r="K70" s="4">
        <f>I70/D74</f>
        <v>0.00000009490005126</v>
      </c>
      <c r="L70" s="22"/>
    </row>
    <row r="71">
      <c r="B71" s="21"/>
      <c r="C71" s="4">
        <f t="shared" si="26"/>
        <v>2</v>
      </c>
      <c r="D71" s="4">
        <f t="shared" si="27"/>
        <v>0.002461</v>
      </c>
      <c r="E71" s="4">
        <f t="shared" si="28"/>
        <v>0.0000000004950625</v>
      </c>
      <c r="L71" s="22"/>
    </row>
    <row r="72">
      <c r="B72" s="21"/>
      <c r="C72" s="4">
        <f t="shared" si="26"/>
        <v>3</v>
      </c>
      <c r="D72" s="4">
        <f t="shared" si="27"/>
        <v>0.002431</v>
      </c>
      <c r="E72" s="4">
        <f t="shared" si="28"/>
        <v>0</v>
      </c>
      <c r="L72" s="22"/>
    </row>
    <row r="73">
      <c r="B73" s="21"/>
      <c r="C73" s="4">
        <f t="shared" si="26"/>
        <v>4</v>
      </c>
      <c r="D73" s="4">
        <f t="shared" si="27"/>
        <v>0.002443</v>
      </c>
      <c r="E73" s="4">
        <f t="shared" si="28"/>
        <v>0</v>
      </c>
      <c r="L73" s="22"/>
    </row>
    <row r="74">
      <c r="B74" s="21"/>
      <c r="C74" s="1" t="s">
        <v>60</v>
      </c>
      <c r="D74" s="4">
        <f t="shared" si="27"/>
        <v>0.00243875</v>
      </c>
      <c r="E74" s="4">
        <f>SUM(E70:E73)</f>
        <v>0.00000000092475</v>
      </c>
      <c r="L74" s="22"/>
    </row>
    <row r="75">
      <c r="B75" s="21"/>
      <c r="E75" s="1" t="s">
        <v>46</v>
      </c>
      <c r="L75" s="22"/>
    </row>
    <row r="76">
      <c r="B76" s="24"/>
      <c r="C76" s="26"/>
      <c r="D76" s="26"/>
      <c r="E76" s="26"/>
      <c r="F76" s="26"/>
      <c r="G76" s="26"/>
      <c r="H76" s="26"/>
      <c r="I76" s="26"/>
      <c r="J76" s="26"/>
      <c r="K76" s="26"/>
      <c r="L76" s="27"/>
    </row>
    <row r="78">
      <c r="B78" s="1" t="s">
        <v>61</v>
      </c>
    </row>
    <row r="79">
      <c r="B79" s="1" t="s">
        <v>62</v>
      </c>
    </row>
    <row r="81">
      <c r="B81" s="1" t="s">
        <v>63</v>
      </c>
      <c r="C81" s="1" t="s">
        <v>38</v>
      </c>
      <c r="D81" s="19" t="s">
        <v>63</v>
      </c>
    </row>
    <row r="82">
      <c r="C82" s="1">
        <v>5.0E-6</v>
      </c>
      <c r="D82" s="18">
        <f>C82/E4</f>
        <v>0.0002637130802</v>
      </c>
    </row>
    <row r="84">
      <c r="B84" s="1" t="s">
        <v>48</v>
      </c>
      <c r="C84" s="1" t="s">
        <v>64</v>
      </c>
      <c r="D84" s="1" t="s">
        <v>65</v>
      </c>
      <c r="F84" s="1" t="s">
        <v>66</v>
      </c>
      <c r="G84" s="1" t="s">
        <v>38</v>
      </c>
      <c r="H84" s="1" t="s">
        <v>48</v>
      </c>
      <c r="I84" s="1" t="s">
        <v>67</v>
      </c>
    </row>
    <row r="85">
      <c r="C85" s="4">
        <f t="shared" ref="C85:C89" si="29">F5</f>
        <v>0.00186</v>
      </c>
      <c r="D85" s="4">
        <f t="shared" ref="D85:D88" si="30">(C85-$C$89)^2</f>
        <v>0.00000194379364</v>
      </c>
      <c r="F85" s="4">
        <f>D89/(3*4)</f>
        <v>0.000001168582263</v>
      </c>
      <c r="G85" s="1">
        <v>5.0E-6</v>
      </c>
      <c r="H85" s="4">
        <f>SQRT(G85^2+F85)</f>
        <v>0.001081021398</v>
      </c>
      <c r="I85" s="4">
        <f>H85+D82</f>
        <v>0.001344734478</v>
      </c>
    </row>
    <row r="86">
      <c r="C86" s="4">
        <f t="shared" si="29"/>
        <v>0.003246</v>
      </c>
      <c r="D86" s="4">
        <f t="shared" si="30"/>
        <v>0</v>
      </c>
    </row>
    <row r="87">
      <c r="C87" s="4">
        <f t="shared" si="29"/>
        <v>0.004796</v>
      </c>
      <c r="D87" s="4">
        <f t="shared" si="30"/>
        <v>0.00000237714724</v>
      </c>
    </row>
    <row r="88">
      <c r="C88" s="4">
        <f t="shared" si="29"/>
        <v>0.006369</v>
      </c>
      <c r="D88" s="4">
        <f t="shared" si="30"/>
        <v>0.00000970197904</v>
      </c>
    </row>
    <row r="89">
      <c r="B89" s="1" t="s">
        <v>68</v>
      </c>
      <c r="C89" s="4">
        <f t="shared" si="29"/>
        <v>0.0032542</v>
      </c>
      <c r="D89" s="4">
        <f>SUM(D85:D88)</f>
        <v>0.00001402298716</v>
      </c>
    </row>
    <row r="90">
      <c r="D90" s="1" t="s">
        <v>46</v>
      </c>
    </row>
    <row r="94">
      <c r="B94" s="19" t="s">
        <v>42</v>
      </c>
      <c r="C94" s="19" t="s">
        <v>69</v>
      </c>
      <c r="D94" s="19" t="s">
        <v>70</v>
      </c>
      <c r="E94" s="19" t="s">
        <v>56</v>
      </c>
      <c r="F94" s="37" t="s">
        <v>61</v>
      </c>
      <c r="G94" s="19" t="s">
        <v>71</v>
      </c>
      <c r="I94" s="1" t="s">
        <v>46</v>
      </c>
      <c r="J94" s="19" t="s">
        <v>32</v>
      </c>
    </row>
    <row r="95">
      <c r="B95" s="18">
        <f>D54+I44</f>
        <v>0.3596849012</v>
      </c>
      <c r="C95" s="18">
        <f>3*D58</f>
        <v>0.03260869565</v>
      </c>
      <c r="D95" s="19">
        <f>3*K61</f>
        <v>0.000003427816901</v>
      </c>
      <c r="E95" s="18">
        <f>K70</f>
        <v>0.00000009490005126</v>
      </c>
      <c r="F95" s="18">
        <f>I85/C89</f>
        <v>0.413230434</v>
      </c>
      <c r="G95" s="18">
        <f>M10</f>
        <v>211.7300795</v>
      </c>
      <c r="I95" s="4">
        <f>B95+C95+D95+E95+F95</f>
        <v>0.8055275536</v>
      </c>
      <c r="J95" s="18">
        <f>G95*I95</f>
        <v>170.554413</v>
      </c>
    </row>
    <row r="97">
      <c r="B97" s="38" t="s">
        <v>72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40"/>
    </row>
  </sheetData>
  <mergeCells count="6">
    <mergeCell ref="B2:F2"/>
    <mergeCell ref="B10:F10"/>
    <mergeCell ref="B20:D20"/>
    <mergeCell ref="B32:N32"/>
    <mergeCell ref="Q32:AC32"/>
    <mergeCell ref="B97:N97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5.25"/>
    <col customWidth="1" min="16" max="16" width="15.88"/>
    <col customWidth="1" min="18" max="18" width="17.38"/>
    <col customWidth="1" min="20" max="20" width="17.38"/>
  </cols>
  <sheetData>
    <row r="3">
      <c r="A3" s="3"/>
      <c r="B3" s="3" t="str">
        <f>'За сметки'!B3</f>
        <v>N</v>
      </c>
      <c r="C3" s="3" t="str">
        <f>'За сметки'!C3</f>
        <v>Добавена маса \Delta m_i, [kg]</v>
      </c>
      <c r="D3" s="3" t="str">
        <f>'За сметки'!D3</f>
        <v>Обща маса върху пластината m_i, [kg]</v>
      </c>
      <c r="E3" s="3" t="str">
        <f>'За сметки'!E3</f>
        <v>Измерен h_i, [m]</v>
      </c>
      <c r="F3" s="3" t="str">
        <f>'За сметки'!F3</f>
        <v>\Delta h_i, [m]</v>
      </c>
      <c r="G3" s="3" t="str">
        <f>'За сметки'!G3</f>
        <v/>
      </c>
      <c r="H3" s="3" t="str">
        <f>'За сметки'!H3</f>
        <v/>
      </c>
      <c r="I3" s="3" t="str">
        <f>'За сметки'!K3</f>
        <v>l_0^3 term * G</v>
      </c>
      <c r="J3" s="3" t="str">
        <f>'За сметки'!L3</f>
        <v>E_i</v>
      </c>
      <c r="K3" s="3" t="str">
        <f>'За сметки'!M3</f>
        <v>E_i * 10^12</v>
      </c>
      <c r="L3" s="3"/>
      <c r="M3" s="3"/>
      <c r="N3" s="3" t="str">
        <f>'За сметки'!B20</f>
        <v>Измерване на дебелината а</v>
      </c>
      <c r="Q3" s="3" t="str">
        <f>'За сметки'!E20</f>
        <v/>
      </c>
      <c r="R3" s="3"/>
      <c r="S3" s="3"/>
      <c r="T3" s="3"/>
      <c r="U3" s="3"/>
      <c r="V3" s="3"/>
      <c r="W3" s="3"/>
      <c r="X3" s="3"/>
    </row>
    <row r="4">
      <c r="B4" s="4">
        <f>'За сметки'!B4</f>
        <v>0</v>
      </c>
      <c r="C4" s="4">
        <f>'За сметки'!C4</f>
        <v>0</v>
      </c>
      <c r="D4" s="4">
        <f>'За сметки'!D4</f>
        <v>0</v>
      </c>
      <c r="E4" s="4">
        <f>'За сметки'!E4</f>
        <v>0.01896</v>
      </c>
      <c r="F4" s="4">
        <f>'За сметки'!F4</f>
        <v>0</v>
      </c>
      <c r="G4" s="4" t="str">
        <f>'За сметки'!G4</f>
        <v/>
      </c>
      <c r="H4" s="4" t="str">
        <f>'За сметки'!H4</f>
        <v/>
      </c>
      <c r="I4" s="4">
        <f>'За сметки'!K4</f>
        <v>0</v>
      </c>
      <c r="J4" s="4" t="str">
        <f>'За сметки'!L4</f>
        <v>-</v>
      </c>
      <c r="K4" s="4" t="str">
        <f>'За сметки'!M4</f>
        <v/>
      </c>
      <c r="N4" s="4" t="str">
        <f>'За сметки'!B21</f>
        <v>N</v>
      </c>
      <c r="O4" s="4" t="str">
        <f>'За сметки'!C21</f>
        <v>a_i, [m]</v>
      </c>
      <c r="P4" s="1" t="s">
        <v>73</v>
      </c>
      <c r="Q4" s="4" t="str">
        <f>'За сметки'!E21</f>
        <v/>
      </c>
      <c r="R4" s="4" t="str">
        <f t="shared" ref="R4:R9" si="1">N4</f>
        <v>N</v>
      </c>
      <c r="S4" s="4" t="str">
        <f>'За сметки'!D21</f>
        <v>b_i, [m]</v>
      </c>
      <c r="T4" s="1" t="s">
        <v>74</v>
      </c>
    </row>
    <row r="5">
      <c r="B5" s="4">
        <f>'За сметки'!B5</f>
        <v>1</v>
      </c>
      <c r="C5" s="4">
        <f>'За сметки'!C5</f>
        <v>0.10089</v>
      </c>
      <c r="D5" s="4">
        <f>'За сметки'!D5</f>
        <v>0.10089</v>
      </c>
      <c r="E5" s="4">
        <f>'За сметки'!E5</f>
        <v>0.0171</v>
      </c>
      <c r="F5" s="4">
        <f>'За сметки'!F5</f>
        <v>0.00186</v>
      </c>
      <c r="G5" s="4" t="str">
        <f>'За сметки'!G5</f>
        <v/>
      </c>
      <c r="H5" s="4" t="str">
        <f>'За сметки'!H5</f>
        <v/>
      </c>
      <c r="I5" s="4">
        <f>'За сметки'!K5</f>
        <v>351584167872</v>
      </c>
      <c r="J5" s="4">
        <f>'За сметки'!L5</f>
        <v>189023746167576</v>
      </c>
      <c r="K5" s="4">
        <f>'За сметки'!M5</f>
        <v>189.0237462</v>
      </c>
      <c r="N5" s="4">
        <f>'За сметки'!B22</f>
        <v>1</v>
      </c>
      <c r="O5" s="4">
        <f>'За сметки'!C22</f>
        <v>0.000148</v>
      </c>
      <c r="P5" s="4">
        <f t="shared" ref="P5:P8" si="2">(O5-$O$9)^2</f>
        <v>0</v>
      </c>
      <c r="Q5" s="4" t="str">
        <f>'За сметки'!E22</f>
        <v/>
      </c>
      <c r="R5" s="4">
        <f t="shared" si="1"/>
        <v>1</v>
      </c>
      <c r="S5" s="4">
        <f>'За сметки'!D22</f>
        <v>0.00242</v>
      </c>
      <c r="T5" s="4">
        <f t="shared" ref="T5:T8" si="3">(S5-$S$9)^2</f>
        <v>0.0000000003515625</v>
      </c>
    </row>
    <row r="6">
      <c r="B6" s="4">
        <f>'За сметки'!B6</f>
        <v>2</v>
      </c>
      <c r="C6" s="4">
        <f>'За сметки'!C6</f>
        <v>0.09995</v>
      </c>
      <c r="D6" s="4">
        <f>'За сметки'!D6</f>
        <v>0.20084</v>
      </c>
      <c r="E6" s="4">
        <f>'За сметки'!E6</f>
        <v>0.015714</v>
      </c>
      <c r="F6" s="4">
        <f>'За сметки'!F6</f>
        <v>0.003246</v>
      </c>
      <c r="G6" s="4" t="str">
        <f>'За сметки'!G6</f>
        <v/>
      </c>
      <c r="H6" s="4" t="str">
        <f>'За сметки'!H6</f>
        <v/>
      </c>
      <c r="I6" s="4">
        <f>'За сметки'!K6</f>
        <v>699892598626</v>
      </c>
      <c r="J6" s="4">
        <f>'За сметки'!L6</f>
        <v>215616943507620</v>
      </c>
      <c r="K6" s="4">
        <f>'За сметки'!M6</f>
        <v>215.6169435</v>
      </c>
      <c r="N6" s="4">
        <f>'За сметки'!B23</f>
        <v>2</v>
      </c>
      <c r="O6" s="4">
        <f>'За сметки'!C23</f>
        <v>0.00013</v>
      </c>
      <c r="P6" s="4">
        <f t="shared" si="2"/>
        <v>0.000000000144</v>
      </c>
      <c r="Q6" s="4" t="str">
        <f>'За сметки'!E23</f>
        <v/>
      </c>
      <c r="R6" s="4">
        <f t="shared" si="1"/>
        <v>2</v>
      </c>
      <c r="S6" s="4">
        <f>'За сметки'!D23</f>
        <v>0.002461</v>
      </c>
      <c r="T6" s="4">
        <f t="shared" si="3"/>
        <v>0.0000000004950625</v>
      </c>
    </row>
    <row r="7">
      <c r="B7" s="4">
        <f>'За сметки'!B7</f>
        <v>3</v>
      </c>
      <c r="C7" s="4">
        <f>'За сметки'!C7</f>
        <v>0.10246</v>
      </c>
      <c r="D7" s="4">
        <f>'За сметки'!D7</f>
        <v>0.3033</v>
      </c>
      <c r="E7" s="4">
        <f>'За сметки'!E7</f>
        <v>0.014164</v>
      </c>
      <c r="F7" s="4">
        <f>'За сметки'!F7</f>
        <v>0.004796</v>
      </c>
      <c r="G7" s="4" t="str">
        <f>'За сметки'!G7</f>
        <v/>
      </c>
      <c r="H7" s="4" t="str">
        <f>'За сметки'!H7</f>
        <v/>
      </c>
      <c r="I7" s="4">
        <f>'За сметки'!K7</f>
        <v>1056947944449</v>
      </c>
      <c r="J7" s="4">
        <f>'За сметки'!L7</f>
        <v>220381139376405</v>
      </c>
      <c r="K7" s="4">
        <f>'За сметки'!M7</f>
        <v>220.3811394</v>
      </c>
      <c r="N7" s="4">
        <f>'За сметки'!B24</f>
        <v>3</v>
      </c>
      <c r="O7" s="4">
        <f>'За сметки'!C24</f>
        <v>0.00013</v>
      </c>
      <c r="P7" s="4">
        <f t="shared" si="2"/>
        <v>0.000000000144</v>
      </c>
      <c r="Q7" s="4" t="str">
        <f>'За сметки'!E24</f>
        <v/>
      </c>
      <c r="R7" s="4">
        <f t="shared" si="1"/>
        <v>3</v>
      </c>
      <c r="S7" s="4">
        <f>'За сметки'!D24</f>
        <v>0.002431</v>
      </c>
      <c r="T7" s="4">
        <f t="shared" si="3"/>
        <v>0</v>
      </c>
    </row>
    <row r="8">
      <c r="B8" s="4">
        <f>'За сметки'!B8</f>
        <v>4</v>
      </c>
      <c r="C8" s="4">
        <f>'За сметки'!C8</f>
        <v>0.10225</v>
      </c>
      <c r="D8" s="4">
        <f>'За сметки'!D8</f>
        <v>0.40555</v>
      </c>
      <c r="E8" s="4">
        <f>'За сметки'!E8</f>
        <v>0.012591</v>
      </c>
      <c r="F8" s="4">
        <f>'За сметки'!F8</f>
        <v>0.006369</v>
      </c>
      <c r="G8" s="4" t="str">
        <f>'За сметки'!G8</f>
        <v/>
      </c>
      <c r="H8" s="4" t="str">
        <f>'За сметки'!H8</f>
        <v/>
      </c>
      <c r="I8" s="4">
        <f>'За сметки'!K8</f>
        <v>1413271476661</v>
      </c>
      <c r="J8" s="4">
        <f>'За сметки'!L8</f>
        <v>221898489034598</v>
      </c>
      <c r="K8" s="4">
        <f>'За сметки'!M8</f>
        <v>221.898489</v>
      </c>
      <c r="N8" s="4">
        <f>'За сметки'!B25</f>
        <v>4</v>
      </c>
      <c r="O8" s="4">
        <f>'За сметки'!C25</f>
        <v>0.00016</v>
      </c>
      <c r="P8" s="4">
        <f t="shared" si="2"/>
        <v>0.000000000324</v>
      </c>
      <c r="Q8" s="4" t="str">
        <f>'За сметки'!E25</f>
        <v/>
      </c>
      <c r="R8" s="4">
        <f t="shared" si="1"/>
        <v>4</v>
      </c>
      <c r="S8" s="4">
        <f>'За сметки'!D25</f>
        <v>0.002443</v>
      </c>
      <c r="T8" s="4">
        <f t="shared" si="3"/>
        <v>0</v>
      </c>
    </row>
    <row r="9">
      <c r="B9" s="4" t="str">
        <f>'За сметки'!B9</f>
        <v>\bar{}</v>
      </c>
      <c r="C9" s="4">
        <f>'За сметки'!C9</f>
        <v>0.08111</v>
      </c>
      <c r="D9" s="4">
        <f>'За сметки'!D9</f>
        <v>0.202116</v>
      </c>
      <c r="E9" s="4">
        <f>'За сметки'!E9</f>
        <v>0.0157058</v>
      </c>
      <c r="F9" s="4">
        <f>'За сметки'!F9</f>
        <v>0.0032542</v>
      </c>
      <c r="G9" s="4" t="str">
        <f>'За сметки'!G9</f>
        <v/>
      </c>
      <c r="H9" s="4" t="str">
        <f>'За сметки'!H9</f>
        <v/>
      </c>
      <c r="I9" s="4" t="str">
        <f>'За сметки'!K9</f>
        <v/>
      </c>
      <c r="J9" s="4" t="str">
        <f>'За сметки'!L9</f>
        <v/>
      </c>
      <c r="K9" s="4" t="str">
        <f>'За сметки'!M9</f>
        <v/>
      </c>
      <c r="N9" s="1" t="s">
        <v>12</v>
      </c>
      <c r="O9" s="4">
        <f>'За сметки'!C26</f>
        <v>0.000142</v>
      </c>
      <c r="P9" s="4">
        <f>SUM(P5:P8)/3</f>
        <v>0.000000000216</v>
      </c>
      <c r="R9" s="4" t="str">
        <f t="shared" si="1"/>
        <v>-</v>
      </c>
      <c r="S9" s="4">
        <f>'За сметки'!D26</f>
        <v>0.00243875</v>
      </c>
      <c r="T9" s="4">
        <f>SUM(T5:T8)/3</f>
        <v>0.00000000030825</v>
      </c>
    </row>
    <row r="10">
      <c r="B10" s="4" t="str">
        <f>'За сметки'!B10</f>
        <v>Премахване на тежести</v>
      </c>
      <c r="C10" s="4" t="str">
        <f>'За сметки'!C10</f>
        <v/>
      </c>
      <c r="D10" s="4" t="str">
        <f>'За сметки'!D10</f>
        <v/>
      </c>
      <c r="E10" s="4" t="str">
        <f>'За сметки'!E10</f>
        <v/>
      </c>
      <c r="F10" s="4" t="str">
        <f>'За сметки'!F10</f>
        <v/>
      </c>
      <c r="G10" s="4" t="str">
        <f>'За сметки'!G10</f>
        <v/>
      </c>
      <c r="H10" s="4" t="str">
        <f>'За сметки'!H10</f>
        <v/>
      </c>
      <c r="I10" s="4" t="str">
        <f>'За сметки'!L10</f>
        <v>\bar{E}</v>
      </c>
      <c r="J10" s="4">
        <f>AVERAGE(J4:J8)</f>
        <v>211730079521550</v>
      </c>
      <c r="K10" s="4">
        <f>'За сметки'!M10</f>
        <v>211.7300795</v>
      </c>
      <c r="N10" s="4" t="str">
        <f>'За сметки'!B27</f>
        <v/>
      </c>
      <c r="O10" s="4" t="str">
        <f>'За сметки'!B26</f>
        <v>\bar{a}</v>
      </c>
      <c r="P10" s="1" t="s">
        <v>75</v>
      </c>
      <c r="Q10" s="4" t="str">
        <f>'За сметки'!E27</f>
        <v/>
      </c>
      <c r="S10" s="4" t="str">
        <f>'За сметки'!E26</f>
        <v>\bar{b}</v>
      </c>
      <c r="T10" s="1" t="s">
        <v>75</v>
      </c>
    </row>
    <row r="11">
      <c r="B11" s="4" t="str">
        <f>'За сметки'!B11</f>
        <v>N</v>
      </c>
      <c r="C11" s="4" t="str">
        <f>'За сметки'!C11</f>
        <v>Премахната маса \Delta m_i', [kg]</v>
      </c>
      <c r="D11" s="4" t="str">
        <f>'За сметки'!D11</f>
        <v>Обща маса върху пластината, [kg]</v>
      </c>
      <c r="E11" s="4" t="str">
        <f>'За сметки'!E11</f>
        <v>Измерен h_i', [m]</v>
      </c>
      <c r="F11" s="4" t="str">
        <f>'За сметки'!F11</f>
        <v>\Delta h_i', [m]</v>
      </c>
      <c r="G11" s="4" t="str">
        <f>'За сметки'!G11</f>
        <v/>
      </c>
      <c r="H11" s="4" t="str">
        <f>'За сметки'!H11</f>
        <v/>
      </c>
      <c r="I11" s="4" t="str">
        <f>'За сметки'!K11</f>
        <v/>
      </c>
      <c r="J11" s="4" t="str">
        <f>'За сметки'!L11</f>
        <v/>
      </c>
      <c r="K11" s="4" t="str">
        <f>'За сметки'!M11</f>
        <v/>
      </c>
      <c r="N11" s="1" t="s">
        <v>76</v>
      </c>
      <c r="O11" s="4">
        <f>0.002*10^(-3)</f>
        <v>0.000002</v>
      </c>
      <c r="P11" s="4" t="str">
        <f>'За сметки'!D28</f>
        <v/>
      </c>
      <c r="Q11" s="4" t="str">
        <f>'За сметки'!E28</f>
        <v/>
      </c>
    </row>
    <row r="12">
      <c r="B12" s="4">
        <f>'За сметки'!B12</f>
        <v>0</v>
      </c>
      <c r="C12" s="4">
        <f>'За сметки'!C12</f>
        <v>0</v>
      </c>
      <c r="D12" s="4">
        <f>'За сметки'!D12</f>
        <v>0.40555</v>
      </c>
      <c r="E12" s="4">
        <f>'За сметки'!E12</f>
        <v>0.012591</v>
      </c>
      <c r="F12" s="4" t="str">
        <f>'За сметки'!F12</f>
        <v>-</v>
      </c>
      <c r="G12" s="4" t="str">
        <f>'За сметки'!G12</f>
        <v/>
      </c>
      <c r="H12" s="4" t="str">
        <f>'За сметки'!H12</f>
        <v/>
      </c>
      <c r="I12" s="4" t="str">
        <f>'За сметки'!K12</f>
        <v/>
      </c>
      <c r="J12" s="4" t="str">
        <f>'За сметки'!L12</f>
        <v/>
      </c>
      <c r="K12" s="4" t="str">
        <f>'За сметки'!M12</f>
        <v/>
      </c>
      <c r="P12" s="4" t="str">
        <f>'За сметки'!D29</f>
        <v/>
      </c>
      <c r="Q12" s="4" t="str">
        <f>'За сметки'!E29</f>
        <v/>
      </c>
    </row>
    <row r="13">
      <c r="B13" s="4">
        <f>'За сметки'!B13</f>
        <v>1</v>
      </c>
      <c r="C13" s="4">
        <f>'За сметки'!C13</f>
        <v>0.10225</v>
      </c>
      <c r="D13" s="4">
        <f>'За сметки'!D13</f>
        <v>0.3033</v>
      </c>
      <c r="E13" s="4">
        <f>'За сметки'!E13</f>
        <v>0.014146</v>
      </c>
      <c r="F13" s="4">
        <f>'За сметки'!F13</f>
        <v>0.004814</v>
      </c>
      <c r="G13" s="4" t="str">
        <f>'За сметки'!G13</f>
        <v/>
      </c>
      <c r="H13" s="4" t="str">
        <f>'За сметки'!H13</f>
        <v/>
      </c>
      <c r="I13" s="4">
        <f>'За сметки'!K13</f>
        <v>1056947944449</v>
      </c>
      <c r="J13" s="4">
        <f>'За сметки'!L13</f>
        <v>219557113512513</v>
      </c>
      <c r="K13" s="4">
        <f>'За сметки'!M13</f>
        <v>219.5571135</v>
      </c>
      <c r="P13" s="4" t="str">
        <f>'За сметки'!D30</f>
        <v/>
      </c>
      <c r="Q13" s="4" t="str">
        <f>'За сметки'!E30</f>
        <v/>
      </c>
    </row>
    <row r="14">
      <c r="B14" s="4">
        <f>'За сметки'!B14</f>
        <v>2</v>
      </c>
      <c r="C14" s="4">
        <f>'За сметки'!C14</f>
        <v>0.10246</v>
      </c>
      <c r="D14" s="4">
        <f>'За сметки'!D14</f>
        <v>0.20084</v>
      </c>
      <c r="E14" s="4">
        <f>'За сметки'!E14</f>
        <v>0.015684</v>
      </c>
      <c r="F14" s="4">
        <f>'За сметки'!F14</f>
        <v>0.003276</v>
      </c>
      <c r="G14" s="4" t="str">
        <f>'За сметки'!G14</f>
        <v/>
      </c>
      <c r="H14" s="4" t="str">
        <f>'За сметки'!H14</f>
        <v/>
      </c>
      <c r="I14" s="4">
        <f>'За сметки'!K14</f>
        <v>699892598626</v>
      </c>
      <c r="J14" s="4">
        <f>'За сметки'!L14</f>
        <v>213642429372935</v>
      </c>
      <c r="K14" s="4">
        <f>'За сметки'!M14</f>
        <v>213.6424294</v>
      </c>
      <c r="O14" s="41" t="s">
        <v>34</v>
      </c>
      <c r="P14" s="42">
        <f>0.005*10^(-3)</f>
        <v>0.000005</v>
      </c>
      <c r="Q14" s="4" t="str">
        <f>'За сметки'!E31</f>
        <v/>
      </c>
      <c r="R14" s="19" t="str">
        <f>'За визуализация в документ'!B28</f>
        <v>l_0, [m]</v>
      </c>
      <c r="S14" s="19">
        <f>'За визуализация в документ'!C28</f>
        <v>0.46</v>
      </c>
    </row>
    <row r="15">
      <c r="B15" s="4">
        <f>'За сметки'!B15</f>
        <v>3</v>
      </c>
      <c r="C15" s="4">
        <f>'За сметки'!C15</f>
        <v>0.09995</v>
      </c>
      <c r="D15" s="4">
        <f>'За сметки'!D15</f>
        <v>0.10089</v>
      </c>
      <c r="E15" s="4">
        <f>'За сметки'!E15</f>
        <v>0.01705</v>
      </c>
      <c r="F15" s="4">
        <f>'За сметки'!F15</f>
        <v>0.00191</v>
      </c>
      <c r="G15" s="4" t="str">
        <f>'За сметки'!G15</f>
        <v/>
      </c>
      <c r="H15" s="4" t="str">
        <f>'За сметки'!H15</f>
        <v/>
      </c>
      <c r="I15" s="4">
        <f>'За сметки'!K15</f>
        <v>351584167872</v>
      </c>
      <c r="J15" s="4">
        <f>'За сметки'!L15</f>
        <v>184075480561094</v>
      </c>
      <c r="K15" s="4">
        <f>'За сметки'!M15</f>
        <v>184.0754806</v>
      </c>
      <c r="O15" s="43" t="s">
        <v>77</v>
      </c>
      <c r="P15" s="42">
        <f>0.005</f>
        <v>0.005</v>
      </c>
      <c r="Q15" s="4" t="str">
        <f>'За сметки'!E32</f>
        <v/>
      </c>
      <c r="R15" s="19" t="str">
        <f>'За визуализация в документ'!B29</f>
        <v>g, [m/s^2]</v>
      </c>
      <c r="S15" s="19">
        <f>'За визуализация в документ'!C29</f>
        <v>9.8</v>
      </c>
    </row>
    <row r="16">
      <c r="B16" s="4">
        <f>'За сметки'!B16</f>
        <v>4</v>
      </c>
      <c r="C16" s="4">
        <f>'За сметки'!C16</f>
        <v>0.10089</v>
      </c>
      <c r="D16" s="4">
        <f>'За сметки'!D16</f>
        <v>0</v>
      </c>
      <c r="E16" s="4">
        <f>'За сметки'!E16</f>
        <v>0.01888</v>
      </c>
      <c r="F16" s="4">
        <f>'За сметки'!F16</f>
        <v>0.00008</v>
      </c>
      <c r="G16" s="4" t="str">
        <f>'За сметки'!G16</f>
        <v/>
      </c>
      <c r="H16" s="4" t="str">
        <f>'За сметки'!H16</f>
        <v/>
      </c>
      <c r="I16" s="4">
        <f>'За сметки'!K16</f>
        <v>0</v>
      </c>
      <c r="J16" s="4">
        <f>'За сметки'!L16</f>
        <v>0</v>
      </c>
      <c r="K16" s="4">
        <f>'За сметки'!M16</f>
        <v>0</v>
      </c>
      <c r="O16" s="43" t="s">
        <v>78</v>
      </c>
      <c r="P16" s="42">
        <f>SQRT(P9+O11^2)</f>
        <v>0.00001483239697</v>
      </c>
    </row>
    <row r="17">
      <c r="B17" s="4" t="str">
        <f>'За сметки'!B17</f>
        <v>\bar{}</v>
      </c>
      <c r="C17" s="4">
        <f>'За сметки'!C17</f>
        <v>0.08111</v>
      </c>
      <c r="D17" s="4">
        <f>'За сметки'!D17</f>
        <v>0.202116</v>
      </c>
      <c r="E17" s="4">
        <f>'За сметки'!E17</f>
        <v>0.0156702</v>
      </c>
      <c r="F17" s="4">
        <f>'За сметки'!F17</f>
        <v>0.00252</v>
      </c>
      <c r="G17" s="4" t="str">
        <f>'За сметки'!G17</f>
        <v/>
      </c>
      <c r="H17" s="4" t="str">
        <f>'За сметки'!H17</f>
        <v/>
      </c>
      <c r="I17" s="4" t="str">
        <f>'За сметки'!K17</f>
        <v/>
      </c>
      <c r="J17" s="4" t="str">
        <f>'За сметки'!L17</f>
        <v>\bar{E}'</v>
      </c>
      <c r="K17" s="4">
        <f>'За сметки'!M17</f>
        <v>205.7583411</v>
      </c>
      <c r="O17" s="43" t="s">
        <v>79</v>
      </c>
      <c r="P17" s="18">
        <f>SQRT(T9+O11^2)</f>
        <v>0.00001767059705</v>
      </c>
      <c r="R17" s="44" t="s">
        <v>80</v>
      </c>
      <c r="S17" s="42">
        <f>P19/E4</f>
        <v>0.0002637130802</v>
      </c>
    </row>
    <row r="18">
      <c r="B18" s="4" t="str">
        <f>'За сметки'!B18</f>
        <v/>
      </c>
      <c r="C18" s="4" t="str">
        <f>'За сметки'!C18</f>
        <v/>
      </c>
      <c r="D18" s="4" t="str">
        <f>'За сметки'!D18</f>
        <v/>
      </c>
      <c r="E18" s="4" t="str">
        <f>'За сметки'!E18</f>
        <v/>
      </c>
      <c r="F18" s="4" t="str">
        <f>'За сметки'!F18</f>
        <v/>
      </c>
      <c r="G18" s="4" t="str">
        <f>'За сметки'!G18</f>
        <v/>
      </c>
      <c r="H18" s="4" t="str">
        <f>'За сметки'!H18</f>
        <v/>
      </c>
      <c r="I18" s="4" t="str">
        <f>'За сметки'!I18</f>
        <v/>
      </c>
      <c r="J18" s="4" t="str">
        <f>'За сметки'!J18</f>
        <v/>
      </c>
      <c r="K18" s="4" t="str">
        <f>'За сметки'!K18</f>
        <v/>
      </c>
      <c r="L18" s="4" t="str">
        <f>'За сметки'!L18</f>
        <v/>
      </c>
      <c r="M18" s="4" t="str">
        <f>'За сметки'!M18</f>
        <v/>
      </c>
      <c r="O18" s="41" t="s">
        <v>81</v>
      </c>
      <c r="P18" s="45">
        <v>0.05</v>
      </c>
      <c r="R18" s="44" t="s">
        <v>82</v>
      </c>
      <c r="S18" s="42">
        <f>P18/S15</f>
        <v>0.005102040816</v>
      </c>
    </row>
    <row r="19">
      <c r="B19" s="4" t="str">
        <f>'За сметки'!B19</f>
        <v/>
      </c>
      <c r="C19" s="4" t="str">
        <f>'За сметки'!C19</f>
        <v/>
      </c>
      <c r="D19" s="4" t="str">
        <f>'За сметки'!D19</f>
        <v/>
      </c>
      <c r="E19" s="4" t="str">
        <f>'За сметки'!E19</f>
        <v/>
      </c>
      <c r="F19" s="4" t="str">
        <f>'За сметки'!F19</f>
        <v/>
      </c>
      <c r="G19" s="4" t="str">
        <f>'За сметки'!G19</f>
        <v/>
      </c>
      <c r="H19" s="4" t="str">
        <f>'За сметки'!H19</f>
        <v/>
      </c>
      <c r="I19" s="4" t="str">
        <f>'За сметки'!I19</f>
        <v/>
      </c>
      <c r="J19" s="4" t="str">
        <f>'За сметки'!J19</f>
        <v/>
      </c>
      <c r="K19" s="4" t="str">
        <f>'За сметки'!K19</f>
        <v/>
      </c>
      <c r="L19" s="4" t="str">
        <f>'За сметки'!L19</f>
        <v/>
      </c>
      <c r="M19" s="4" t="str">
        <f>'За сметки'!M19</f>
        <v/>
      </c>
      <c r="O19" s="43" t="s">
        <v>63</v>
      </c>
      <c r="P19" s="43">
        <f>0.005*10^(-3)</f>
        <v>0.000005</v>
      </c>
      <c r="R19" s="44" t="s">
        <v>83</v>
      </c>
      <c r="S19" s="42">
        <f>3*P15/S14</f>
        <v>0.03260869565</v>
      </c>
    </row>
    <row r="20">
      <c r="R20" s="44" t="s">
        <v>52</v>
      </c>
      <c r="S20" s="42">
        <f>P16/O9</f>
        <v>0.1044534998</v>
      </c>
    </row>
    <row r="21">
      <c r="R21" s="43" t="s">
        <v>56</v>
      </c>
      <c r="S21" s="41">
        <f>P17/S9</f>
        <v>0.007245759937</v>
      </c>
    </row>
    <row r="22">
      <c r="B22" s="46" t="s">
        <v>84</v>
      </c>
    </row>
    <row r="23">
      <c r="B23" s="1" t="str">
        <f>B3</f>
        <v>N</v>
      </c>
      <c r="C23" s="47" t="s">
        <v>85</v>
      </c>
      <c r="D23" s="48" t="s">
        <v>86</v>
      </c>
      <c r="E23" s="47" t="s">
        <v>42</v>
      </c>
      <c r="G23" s="48" t="s">
        <v>87</v>
      </c>
      <c r="H23" s="47" t="s">
        <v>88</v>
      </c>
      <c r="J23" s="47" t="s">
        <v>89</v>
      </c>
      <c r="K23" s="36"/>
      <c r="L23" s="36"/>
      <c r="M23" s="36"/>
      <c r="N23" s="36"/>
    </row>
    <row r="24">
      <c r="B24" s="4">
        <f t="shared" ref="B24:B28" si="4">B5</f>
        <v>1</v>
      </c>
      <c r="C24" s="49">
        <f t="shared" ref="C24:C27" si="5">J5</f>
        <v>189023746167576</v>
      </c>
      <c r="D24" s="49">
        <f t="shared" ref="D24:D28" si="6">$P$14/D5</f>
        <v>0.00004955892556</v>
      </c>
      <c r="E24" s="49">
        <f t="shared" ref="E24:E28" si="7">D24+$S$18</f>
        <v>0.005151599742</v>
      </c>
      <c r="G24" s="4">
        <f t="shared" ref="G24:G28" si="8">$P$19/E5</f>
        <v>0.0002923976608</v>
      </c>
      <c r="H24" s="4">
        <f t="shared" ref="H24:H28" si="9">G24+$S$17</f>
        <v>0.000556110741</v>
      </c>
      <c r="J24" s="49">
        <f t="shared" ref="J24:J28" si="10">C24*(E24+3*$S$19+3*$S$20+$S$21+H24) * 10^(-12)</f>
        <v>80.17254244</v>
      </c>
    </row>
    <row r="25">
      <c r="B25" s="4">
        <f t="shared" si="4"/>
        <v>2</v>
      </c>
      <c r="C25" s="49">
        <f t="shared" si="5"/>
        <v>215616943507620</v>
      </c>
      <c r="D25" s="49">
        <f t="shared" si="6"/>
        <v>0.00002489543916</v>
      </c>
      <c r="E25" s="49">
        <f t="shared" si="7"/>
        <v>0.005126936255</v>
      </c>
      <c r="G25" s="4">
        <f t="shared" si="8"/>
        <v>0.0003181876034</v>
      </c>
      <c r="H25" s="4">
        <f t="shared" si="9"/>
        <v>0.0005819006836</v>
      </c>
      <c r="J25" s="49">
        <f t="shared" si="10"/>
        <v>91.45202556</v>
      </c>
    </row>
    <row r="26">
      <c r="B26" s="4">
        <f t="shared" si="4"/>
        <v>3</v>
      </c>
      <c r="C26" s="49">
        <f t="shared" si="5"/>
        <v>220381139376405</v>
      </c>
      <c r="D26" s="49">
        <f t="shared" si="6"/>
        <v>0.00001648532806</v>
      </c>
      <c r="E26" s="49">
        <f t="shared" si="7"/>
        <v>0.005118526144</v>
      </c>
      <c r="G26" s="4">
        <f t="shared" si="8"/>
        <v>0.000353007625</v>
      </c>
      <c r="H26" s="4">
        <f t="shared" si="9"/>
        <v>0.0006167207051</v>
      </c>
      <c r="J26" s="49">
        <f t="shared" si="10"/>
        <v>93.47853748</v>
      </c>
      <c r="K26" s="50"/>
      <c r="L26" s="50"/>
    </row>
    <row r="27">
      <c r="B27" s="4">
        <f t="shared" si="4"/>
        <v>4</v>
      </c>
      <c r="C27" s="49">
        <f t="shared" si="5"/>
        <v>221898489034598</v>
      </c>
      <c r="D27" s="49">
        <f t="shared" si="6"/>
        <v>0.00001232893601</v>
      </c>
      <c r="E27" s="49">
        <f t="shared" si="7"/>
        <v>0.005114369752</v>
      </c>
      <c r="G27" s="4">
        <f t="shared" si="8"/>
        <v>0.0003971090461</v>
      </c>
      <c r="H27" s="4">
        <f t="shared" si="9"/>
        <v>0.0006608221263</v>
      </c>
      <c r="J27" s="49">
        <f t="shared" si="10"/>
        <v>94.13101177</v>
      </c>
      <c r="K27" s="50"/>
      <c r="L27" s="50"/>
    </row>
    <row r="28">
      <c r="B28" s="4" t="str">
        <f t="shared" si="4"/>
        <v>\bar{}</v>
      </c>
      <c r="C28" s="49">
        <f>J10</f>
        <v>211730079521550</v>
      </c>
      <c r="D28" s="49">
        <f t="shared" si="6"/>
        <v>0.00002473826911</v>
      </c>
      <c r="E28" s="49">
        <f t="shared" si="7"/>
        <v>0.005126779085</v>
      </c>
      <c r="G28" s="4">
        <f t="shared" si="8"/>
        <v>0.0003183537292</v>
      </c>
      <c r="H28" s="4">
        <f t="shared" si="9"/>
        <v>0.0005820668094</v>
      </c>
      <c r="J28" s="49">
        <f t="shared" si="10"/>
        <v>89.80344836</v>
      </c>
      <c r="K28" s="50"/>
      <c r="L28" s="50"/>
    </row>
    <row r="29">
      <c r="J29" s="50"/>
      <c r="K29" s="50"/>
      <c r="L29" s="50"/>
    </row>
    <row r="30">
      <c r="B30" s="46" t="s">
        <v>90</v>
      </c>
      <c r="K30" s="50"/>
      <c r="L30" s="50"/>
    </row>
    <row r="31">
      <c r="B31" s="1" t="str">
        <f>B11</f>
        <v>N</v>
      </c>
      <c r="C31" s="47" t="s">
        <v>85</v>
      </c>
      <c r="D31" s="48" t="s">
        <v>86</v>
      </c>
      <c r="E31" s="47" t="s">
        <v>42</v>
      </c>
      <c r="G31" s="48" t="s">
        <v>87</v>
      </c>
      <c r="H31" s="47" t="s">
        <v>88</v>
      </c>
      <c r="J31" s="47" t="s">
        <v>32</v>
      </c>
      <c r="K31" s="50"/>
      <c r="L31" s="50"/>
    </row>
    <row r="32">
      <c r="B32" s="4">
        <f t="shared" ref="B32:B36" si="11">B13</f>
        <v>1</v>
      </c>
      <c r="C32" s="49">
        <f t="shared" ref="C32:C36" si="12">K13</f>
        <v>219.5571135</v>
      </c>
      <c r="D32" s="49">
        <f t="shared" ref="D32:D34" si="13">$P$14/D13</f>
        <v>0.00001648532806</v>
      </c>
      <c r="E32" s="49">
        <f t="shared" ref="E32:E34" si="14">D32+$S$18</f>
        <v>0.005118526144</v>
      </c>
      <c r="G32" s="4">
        <f t="shared" ref="G32:G36" si="15">$P$19/E13</f>
        <v>0.0003534568076</v>
      </c>
      <c r="H32" s="4">
        <f t="shared" ref="H32:H36" si="16">G32+$S$17</f>
        <v>0.0006171698877</v>
      </c>
      <c r="J32" s="49">
        <f t="shared" ref="J32:J34" si="17">C32*(E32+3*$S$19+3*$S$20+$S$21+H32)</f>
        <v>93.12911103</v>
      </c>
      <c r="K32" s="50"/>
      <c r="L32" s="50"/>
    </row>
    <row r="33">
      <c r="B33" s="4">
        <f t="shared" si="11"/>
        <v>2</v>
      </c>
      <c r="C33" s="49">
        <f t="shared" si="12"/>
        <v>213.6424294</v>
      </c>
      <c r="D33" s="49">
        <f t="shared" si="13"/>
        <v>0.00002489543916</v>
      </c>
      <c r="E33" s="49">
        <f t="shared" si="14"/>
        <v>0.005126936255</v>
      </c>
      <c r="G33" s="4">
        <f t="shared" si="15"/>
        <v>0.0003187962255</v>
      </c>
      <c r="H33" s="4">
        <f t="shared" si="16"/>
        <v>0.0005825093056</v>
      </c>
      <c r="J33" s="49">
        <f t="shared" si="17"/>
        <v>90.61468282</v>
      </c>
      <c r="K33" s="50"/>
      <c r="L33" s="50"/>
    </row>
    <row r="34">
      <c r="B34" s="4">
        <f t="shared" si="11"/>
        <v>3</v>
      </c>
      <c r="C34" s="49">
        <f t="shared" si="12"/>
        <v>184.0754806</v>
      </c>
      <c r="D34" s="49">
        <f t="shared" si="13"/>
        <v>0.00004955892556</v>
      </c>
      <c r="E34" s="49">
        <f t="shared" si="14"/>
        <v>0.005151599742</v>
      </c>
      <c r="G34" s="4">
        <f t="shared" si="15"/>
        <v>0.000293255132</v>
      </c>
      <c r="H34" s="4">
        <f t="shared" si="16"/>
        <v>0.0005569682121</v>
      </c>
      <c r="J34" s="49">
        <f t="shared" si="17"/>
        <v>78.07394263</v>
      </c>
    </row>
    <row r="35">
      <c r="B35" s="4">
        <f t="shared" si="11"/>
        <v>4</v>
      </c>
      <c r="C35" s="49">
        <f t="shared" si="12"/>
        <v>0</v>
      </c>
      <c r="D35" s="51" t="s">
        <v>12</v>
      </c>
      <c r="E35" s="51" t="s">
        <v>12</v>
      </c>
      <c r="G35" s="4">
        <f t="shared" si="15"/>
        <v>0.0002648305085</v>
      </c>
      <c r="H35" s="4">
        <f t="shared" si="16"/>
        <v>0.0005285435886</v>
      </c>
      <c r="J35" s="51" t="s">
        <v>12</v>
      </c>
    </row>
    <row r="36">
      <c r="B36" s="4" t="str">
        <f t="shared" si="11"/>
        <v>\bar{}</v>
      </c>
      <c r="C36" s="49">
        <f t="shared" si="12"/>
        <v>205.7583411</v>
      </c>
      <c r="D36" s="49">
        <f>$P$14/D17</f>
        <v>0.00002473826911</v>
      </c>
      <c r="E36" s="49">
        <f>D36+$S$18</f>
        <v>0.005126779085</v>
      </c>
      <c r="G36" s="4">
        <f t="shared" si="15"/>
        <v>0.0003190769741</v>
      </c>
      <c r="H36" s="4">
        <f t="shared" si="16"/>
        <v>0.0005827900543</v>
      </c>
      <c r="J36" s="49">
        <f>C36*(E36+3*$S$19+3*$S$20+$S$21+H36)</f>
        <v>87.27073694</v>
      </c>
    </row>
  </sheetData>
  <mergeCells count="3">
    <mergeCell ref="N3:P3"/>
    <mergeCell ref="B22:J22"/>
    <mergeCell ref="B30:J3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25"/>
    <col customWidth="1" min="11" max="11" width="18.0"/>
  </cols>
  <sheetData>
    <row r="2">
      <c r="B2" s="1" t="s">
        <v>91</v>
      </c>
      <c r="C2" s="1">
        <f>55*10^(-2)</f>
        <v>0.55</v>
      </c>
    </row>
    <row r="3">
      <c r="B3" s="1" t="s">
        <v>92</v>
      </c>
      <c r="C3" s="4">
        <f>0.18*10^(-2)</f>
        <v>0.0018</v>
      </c>
    </row>
    <row r="4">
      <c r="B4" s="1" t="s">
        <v>93</v>
      </c>
      <c r="C4" s="4">
        <f>63.5*10^(-3)</f>
        <v>0.0635</v>
      </c>
    </row>
    <row r="5">
      <c r="B5" s="1" t="s">
        <v>19</v>
      </c>
      <c r="C5" s="1">
        <v>9.81</v>
      </c>
    </row>
    <row r="6">
      <c r="B6" s="1"/>
      <c r="C6" s="1"/>
    </row>
    <row r="7">
      <c r="B7" s="1" t="s">
        <v>1</v>
      </c>
      <c r="C7" s="1" t="s">
        <v>94</v>
      </c>
      <c r="D7" s="1" t="s">
        <v>95</v>
      </c>
      <c r="E7" s="1" t="s">
        <v>50</v>
      </c>
      <c r="F7" s="1" t="s">
        <v>96</v>
      </c>
      <c r="H7" s="1" t="s">
        <v>97</v>
      </c>
      <c r="I7" s="1" t="s">
        <v>98</v>
      </c>
      <c r="J7" s="1" t="s">
        <v>99</v>
      </c>
      <c r="K7" s="1" t="s">
        <v>100</v>
      </c>
    </row>
    <row r="8">
      <c r="B8" s="1">
        <v>0.0</v>
      </c>
      <c r="C8" s="1">
        <v>162.3</v>
      </c>
      <c r="D8" s="1">
        <v>161.3</v>
      </c>
      <c r="E8" s="1">
        <v>0.0</v>
      </c>
      <c r="F8" s="1">
        <v>0.0</v>
      </c>
      <c r="H8" s="1" t="s">
        <v>12</v>
      </c>
      <c r="I8" s="1" t="s">
        <v>12</v>
      </c>
      <c r="J8" s="1" t="s">
        <v>12</v>
      </c>
      <c r="K8" s="1" t="s">
        <v>12</v>
      </c>
    </row>
    <row r="9">
      <c r="B9" s="1">
        <v>1.0</v>
      </c>
      <c r="C9" s="1">
        <v>165.3</v>
      </c>
      <c r="D9" s="1">
        <v>165.27</v>
      </c>
      <c r="E9" s="4">
        <f>39.8*10^(-3)</f>
        <v>0.0398</v>
      </c>
      <c r="F9" s="4">
        <f>39.97*10^(-3)</f>
        <v>0.03997</v>
      </c>
      <c r="H9" s="4">
        <f t="shared" ref="H9:I9" si="1">C9-$C$8</f>
        <v>3</v>
      </c>
      <c r="I9" s="4">
        <f t="shared" si="1"/>
        <v>2.97</v>
      </c>
      <c r="J9" s="4">
        <f t="shared" ref="J9:J13" si="4">AVERAGE(H9:I9)</f>
        <v>2.985</v>
      </c>
      <c r="K9" s="4">
        <f t="shared" ref="K9:K13" si="5">J9*PI()/180</f>
        <v>0.05209807817</v>
      </c>
    </row>
    <row r="10">
      <c r="B10" s="1">
        <v>2.0</v>
      </c>
      <c r="C10" s="1">
        <v>168.0</v>
      </c>
      <c r="D10" s="1">
        <v>167.0</v>
      </c>
      <c r="E10" s="4">
        <f t="shared" ref="E10:F10" si="2">40*10^(-3)</f>
        <v>0.04</v>
      </c>
      <c r="F10" s="4">
        <f t="shared" si="2"/>
        <v>0.04</v>
      </c>
      <c r="H10" s="4">
        <f t="shared" ref="H10:I10" si="3">C10-$C$8</f>
        <v>5.7</v>
      </c>
      <c r="I10" s="4">
        <f t="shared" si="3"/>
        <v>4.7</v>
      </c>
      <c r="J10" s="4">
        <f t="shared" si="4"/>
        <v>5.2</v>
      </c>
      <c r="K10" s="4">
        <f t="shared" si="5"/>
        <v>0.0907571211</v>
      </c>
    </row>
    <row r="11">
      <c r="B11" s="1">
        <v>3.0</v>
      </c>
      <c r="C11" s="1">
        <v>171.0</v>
      </c>
      <c r="D11" s="1">
        <v>169.9</v>
      </c>
      <c r="E11" s="4">
        <f>49.96*10^(-3)</f>
        <v>0.04996</v>
      </c>
      <c r="F11" s="4">
        <f>49.9*10^(-3)</f>
        <v>0.0499</v>
      </c>
      <c r="H11" s="4">
        <f t="shared" ref="H11:I11" si="6">C11-$C$8</f>
        <v>8.7</v>
      </c>
      <c r="I11" s="4">
        <f t="shared" si="6"/>
        <v>7.6</v>
      </c>
      <c r="J11" s="4">
        <f t="shared" si="4"/>
        <v>8.15</v>
      </c>
      <c r="K11" s="4">
        <f t="shared" si="5"/>
        <v>0.142244334</v>
      </c>
    </row>
    <row r="12">
      <c r="B12" s="1">
        <v>4.0</v>
      </c>
      <c r="C12" s="1">
        <v>174.0</v>
      </c>
      <c r="D12" s="1">
        <v>173.0</v>
      </c>
      <c r="E12" s="4">
        <f>49.79*10^(-3)</f>
        <v>0.04979</v>
      </c>
      <c r="F12" s="4">
        <f>49.86*10^(-3)</f>
        <v>0.04986</v>
      </c>
      <c r="H12" s="4">
        <f t="shared" ref="H12:I12" si="7">C12-$C$8</f>
        <v>11.7</v>
      </c>
      <c r="I12" s="4">
        <f t="shared" si="7"/>
        <v>10.7</v>
      </c>
      <c r="J12" s="4">
        <f t="shared" si="4"/>
        <v>11.2</v>
      </c>
      <c r="K12" s="4">
        <f t="shared" si="5"/>
        <v>0.1954768762</v>
      </c>
    </row>
    <row r="13">
      <c r="H13" s="4">
        <f t="shared" ref="H13:I13" si="8">AVERAGE(H9:H12)</f>
        <v>7.275</v>
      </c>
      <c r="I13" s="4">
        <f t="shared" si="8"/>
        <v>6.4925</v>
      </c>
      <c r="J13" s="4">
        <f t="shared" si="4"/>
        <v>6.88375</v>
      </c>
      <c r="K13" s="4">
        <f t="shared" si="5"/>
        <v>0.1201441024</v>
      </c>
    </row>
    <row r="16">
      <c r="B16" s="1" t="s">
        <v>1</v>
      </c>
      <c r="C16" s="1" t="s">
        <v>101</v>
      </c>
      <c r="D16" s="1" t="s">
        <v>102</v>
      </c>
      <c r="E16" s="1" t="s">
        <v>50</v>
      </c>
      <c r="G16" s="1" t="s">
        <v>103</v>
      </c>
      <c r="H16" s="1" t="s">
        <v>104</v>
      </c>
      <c r="J16" s="1" t="s">
        <v>97</v>
      </c>
      <c r="K16" s="1" t="s">
        <v>100</v>
      </c>
      <c r="M16" s="1" t="s">
        <v>105</v>
      </c>
      <c r="N16" s="1" t="s">
        <v>106</v>
      </c>
    </row>
    <row r="17">
      <c r="B17" s="1">
        <v>0.0</v>
      </c>
      <c r="C17" s="1">
        <v>0.0</v>
      </c>
      <c r="D17" s="1">
        <v>0.0</v>
      </c>
      <c r="E17" s="4">
        <f>AVERAGE(C17:D17)</f>
        <v>0</v>
      </c>
      <c r="G17" s="1">
        <v>162.3</v>
      </c>
      <c r="H17" s="1">
        <v>161.3</v>
      </c>
      <c r="J17" s="1" t="s">
        <v>12</v>
      </c>
      <c r="K17" s="1" t="s">
        <v>12</v>
      </c>
      <c r="M17" s="1" t="s">
        <v>12</v>
      </c>
    </row>
    <row r="18">
      <c r="B18" s="1">
        <v>1.0</v>
      </c>
      <c r="C18" s="4">
        <f>39.8*10^(-3)</f>
        <v>0.0398</v>
      </c>
      <c r="D18" s="4">
        <f>39.97*10^(-3)</f>
        <v>0.03997</v>
      </c>
      <c r="E18" s="4">
        <f t="shared" ref="E18:E21" si="10">(C17+C18 + D17+D18)/2</f>
        <v>0.039885</v>
      </c>
      <c r="G18" s="1">
        <v>165.3</v>
      </c>
      <c r="H18" s="1">
        <v>165.27</v>
      </c>
      <c r="J18" s="4">
        <f t="shared" ref="J18:J21" si="11">(G18-$G$17 + H18-$H$17)/2</f>
        <v>3.485</v>
      </c>
      <c r="K18" s="4">
        <f t="shared" ref="K18:K21" si="12">J18*PI()/180</f>
        <v>0.06082472443</v>
      </c>
      <c r="M18" s="4">
        <f t="shared" ref="M18:M21" si="13">2*$C$2/(PI()*$C$3^4*K18)*2*E18*$C$5*$C$4*10^(-9)</f>
        <v>27.24927594</v>
      </c>
      <c r="N18" s="4">
        <f t="shared" ref="N18:N21" si="14">(D26+$F$35+$F$36 +F26)*M18</f>
        <v>3.384017551</v>
      </c>
    </row>
    <row r="19">
      <c r="B19" s="1">
        <v>2.0</v>
      </c>
      <c r="C19" s="4">
        <f t="shared" ref="C19:D19" si="9">40*10^(-3)</f>
        <v>0.04</v>
      </c>
      <c r="D19" s="4">
        <f t="shared" si="9"/>
        <v>0.04</v>
      </c>
      <c r="E19" s="4">
        <f t="shared" si="10"/>
        <v>0.079885</v>
      </c>
      <c r="G19" s="1">
        <v>168.0</v>
      </c>
      <c r="H19" s="1">
        <v>167.0</v>
      </c>
      <c r="J19" s="4">
        <f t="shared" si="11"/>
        <v>5.7</v>
      </c>
      <c r="K19" s="4">
        <f t="shared" si="12"/>
        <v>0.09948376736</v>
      </c>
      <c r="M19" s="4">
        <f t="shared" si="13"/>
        <v>33.36864231</v>
      </c>
      <c r="N19" s="4">
        <f t="shared" si="14"/>
        <v>4.104416365</v>
      </c>
    </row>
    <row r="20">
      <c r="B20" s="1">
        <v>3.0</v>
      </c>
      <c r="C20" s="4">
        <f>49.96*10^(-3)</f>
        <v>0.04996</v>
      </c>
      <c r="D20" s="4">
        <f>49.9*10^(-3)</f>
        <v>0.0499</v>
      </c>
      <c r="E20" s="4">
        <f t="shared" si="10"/>
        <v>0.08993</v>
      </c>
      <c r="G20" s="1">
        <v>171.0</v>
      </c>
      <c r="H20" s="1">
        <v>169.9</v>
      </c>
      <c r="J20" s="4">
        <f t="shared" si="11"/>
        <v>8.65</v>
      </c>
      <c r="K20" s="4">
        <f t="shared" si="12"/>
        <v>0.1509709803</v>
      </c>
      <c r="M20" s="4">
        <f t="shared" si="13"/>
        <v>24.75350139</v>
      </c>
      <c r="N20" s="4">
        <f t="shared" si="14"/>
        <v>3.035599316</v>
      </c>
    </row>
    <row r="21">
      <c r="B21" s="1">
        <v>4.0</v>
      </c>
      <c r="C21" s="4">
        <f>49.79*10^(-3)</f>
        <v>0.04979</v>
      </c>
      <c r="D21" s="4">
        <f>49.86*10^(-3)</f>
        <v>0.04986</v>
      </c>
      <c r="E21" s="4">
        <f t="shared" si="10"/>
        <v>0.099755</v>
      </c>
      <c r="G21" s="1">
        <v>174.0</v>
      </c>
      <c r="H21" s="1">
        <v>173.0</v>
      </c>
      <c r="J21" s="4">
        <f t="shared" si="11"/>
        <v>11.7</v>
      </c>
      <c r="K21" s="4">
        <f t="shared" si="12"/>
        <v>0.2042035225</v>
      </c>
      <c r="M21" s="4">
        <f t="shared" si="13"/>
        <v>20.30004329</v>
      </c>
      <c r="N21" s="4">
        <f t="shared" si="14"/>
        <v>2.485287289</v>
      </c>
    </row>
    <row r="22">
      <c r="M22" s="4">
        <f t="shared" ref="M22:N22" si="15">AVERAGE(M17:M21)</f>
        <v>26.41786573</v>
      </c>
      <c r="N22" s="4">
        <f t="shared" si="15"/>
        <v>3.25233013</v>
      </c>
    </row>
    <row r="24">
      <c r="B24" s="1" t="s">
        <v>107</v>
      </c>
    </row>
    <row r="25">
      <c r="B25" s="1" t="s">
        <v>1</v>
      </c>
      <c r="C25" s="1" t="s">
        <v>108</v>
      </c>
      <c r="D25" s="1" t="s">
        <v>109</v>
      </c>
      <c r="F25" s="1" t="s">
        <v>110</v>
      </c>
    </row>
    <row r="26">
      <c r="B26" s="1">
        <v>1.0</v>
      </c>
      <c r="C26" s="4">
        <f t="shared" ref="C26:C29" si="16">$C$32/E18</f>
        <v>0.001253604112</v>
      </c>
      <c r="D26" s="4">
        <f t="shared" ref="D26:D29" si="17">C26+$F$32+$F$33</f>
        <v>0.002550689683</v>
      </c>
      <c r="F26" s="4">
        <f t="shared" ref="F26:F29" si="18">$C$37/J18</f>
        <v>0.00143472023</v>
      </c>
    </row>
    <row r="27">
      <c r="B27" s="1">
        <v>2.0</v>
      </c>
      <c r="C27" s="4">
        <f t="shared" si="16"/>
        <v>0.0006258997309</v>
      </c>
      <c r="D27" s="4">
        <f t="shared" si="17"/>
        <v>0.001922985302</v>
      </c>
      <c r="F27" s="4">
        <f t="shared" si="18"/>
        <v>0.0008771929825</v>
      </c>
    </row>
    <row r="28">
      <c r="B28" s="1">
        <v>3.0</v>
      </c>
      <c r="C28" s="4">
        <f t="shared" si="16"/>
        <v>0.0005559879907</v>
      </c>
      <c r="D28" s="4">
        <f t="shared" si="17"/>
        <v>0.001853073561</v>
      </c>
      <c r="F28" s="4">
        <f t="shared" si="18"/>
        <v>0.0005780346821</v>
      </c>
    </row>
    <row r="29">
      <c r="B29" s="1">
        <v>4.0</v>
      </c>
      <c r="C29" s="4">
        <f t="shared" si="16"/>
        <v>0.0005012280086</v>
      </c>
      <c r="D29" s="4">
        <f t="shared" si="17"/>
        <v>0.001798313579</v>
      </c>
      <c r="F29" s="4">
        <f t="shared" si="18"/>
        <v>0.0004273504274</v>
      </c>
    </row>
    <row r="32">
      <c r="B32" s="1" t="s">
        <v>35</v>
      </c>
      <c r="C32" s="1">
        <v>5.0E-5</v>
      </c>
      <c r="E32" s="1" t="s">
        <v>44</v>
      </c>
      <c r="F32" s="4">
        <f>$C$33/$C$5</f>
        <v>0.0005096839959</v>
      </c>
    </row>
    <row r="33">
      <c r="B33" s="1" t="s">
        <v>81</v>
      </c>
      <c r="C33" s="1">
        <v>0.005</v>
      </c>
      <c r="E33" s="1" t="s">
        <v>111</v>
      </c>
      <c r="F33" s="4">
        <f>$C$34/$C$4</f>
        <v>0.0007874015748</v>
      </c>
    </row>
    <row r="34">
      <c r="B34" s="1" t="s">
        <v>112</v>
      </c>
      <c r="C34" s="4">
        <f>0.00005</f>
        <v>0.00005</v>
      </c>
    </row>
    <row r="35">
      <c r="B35" s="1" t="s">
        <v>113</v>
      </c>
      <c r="C35" s="1">
        <v>0.005</v>
      </c>
      <c r="E35" s="1" t="s">
        <v>114</v>
      </c>
      <c r="F35" s="4">
        <f>$C$35/$C$2</f>
        <v>0.009090909091</v>
      </c>
    </row>
    <row r="36">
      <c r="B36" s="1" t="s">
        <v>115</v>
      </c>
      <c r="C36" s="1">
        <v>5.0E-5</v>
      </c>
      <c r="E36" s="1" t="s">
        <v>116</v>
      </c>
      <c r="F36" s="4">
        <f>4*C36/C3</f>
        <v>0.1111111111</v>
      </c>
    </row>
    <row r="37">
      <c r="B37" s="1" t="s">
        <v>117</v>
      </c>
      <c r="C37" s="1">
        <v>0.005</v>
      </c>
    </row>
    <row r="41">
      <c r="B41" s="52" t="s">
        <v>118</v>
      </c>
    </row>
    <row r="42">
      <c r="B42" s="1" t="s">
        <v>119</v>
      </c>
      <c r="C42" s="4">
        <f>M22*10^9</f>
        <v>26417865732</v>
      </c>
    </row>
    <row r="43">
      <c r="B43" s="1" t="s">
        <v>120</v>
      </c>
      <c r="C43" s="4">
        <f>PI()*C3^4*C42/(2*C2)</f>
        <v>0.7920360268</v>
      </c>
    </row>
    <row r="44">
      <c r="B44" s="1" t="s">
        <v>121</v>
      </c>
      <c r="C44" s="4">
        <f>C43*(F36+N22/M22+F35)</f>
        <v>0.1927126857</v>
      </c>
    </row>
  </sheetData>
  <mergeCells count="1">
    <mergeCell ref="B41:F4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" t="str">
        <f>'Усукване'!B16</f>
        <v>N</v>
      </c>
      <c r="C3" s="4" t="str">
        <f>'Усукване'!C16</f>
        <v>m_{i1}, [kg]</v>
      </c>
      <c r="D3" s="4" t="str">
        <f>'Усукване'!D16</f>
        <v>m_{i2}, [kg]</v>
      </c>
      <c r="E3" s="4" t="str">
        <f>'Усукване'!G16</f>
        <v>\varphi_{i1}</v>
      </c>
      <c r="F3" s="4" t="str">
        <f>'Усукване'!H16</f>
        <v>\varphi_{i2}</v>
      </c>
      <c r="L3" s="4" t="str">
        <f>'Усукване'!L16</f>
        <v/>
      </c>
      <c r="O3" s="4" t="str">
        <f>'Усукване'!O16</f>
        <v/>
      </c>
      <c r="P3" s="4" t="str">
        <f>'Усукване'!P16</f>
        <v/>
      </c>
    </row>
    <row r="4">
      <c r="B4" s="4">
        <f>'Усукване'!B17</f>
        <v>0</v>
      </c>
      <c r="C4" s="4">
        <f>'Усукване'!C17</f>
        <v>0</v>
      </c>
      <c r="D4" s="4">
        <f>'Усукване'!D17</f>
        <v>0</v>
      </c>
      <c r="E4" s="4">
        <f>'Усукване'!G17</f>
        <v>162.3</v>
      </c>
      <c r="F4" s="4">
        <f>'Усукване'!H17</f>
        <v>161.3</v>
      </c>
      <c r="L4" s="4" t="str">
        <f>'Усукване'!L17</f>
        <v/>
      </c>
      <c r="O4" s="4" t="str">
        <f>'Усукване'!O17</f>
        <v/>
      </c>
      <c r="P4" s="4" t="str">
        <f>'Усукване'!P17</f>
        <v/>
      </c>
    </row>
    <row r="5">
      <c r="B5" s="4">
        <f>'Усукване'!B18</f>
        <v>1</v>
      </c>
      <c r="C5" s="4">
        <f>'Усукване'!C18</f>
        <v>0.0398</v>
      </c>
      <c r="D5" s="4">
        <f>'Усукване'!D18</f>
        <v>0.03997</v>
      </c>
      <c r="E5" s="4">
        <f>'Усукване'!G18</f>
        <v>165.3</v>
      </c>
      <c r="F5" s="4">
        <f>'Усукване'!H18</f>
        <v>165.27</v>
      </c>
      <c r="L5" s="4" t="str">
        <f>'Усукване'!L18</f>
        <v/>
      </c>
      <c r="O5" s="4" t="str">
        <f>'Усукване'!O18</f>
        <v/>
      </c>
      <c r="P5" s="4" t="str">
        <f>'Усукване'!P18</f>
        <v/>
      </c>
    </row>
    <row r="6">
      <c r="B6" s="4">
        <f>'Усукване'!B19</f>
        <v>2</v>
      </c>
      <c r="C6" s="4">
        <f>'Усукване'!C19</f>
        <v>0.04</v>
      </c>
      <c r="D6" s="4">
        <f>'Усукване'!D19</f>
        <v>0.04</v>
      </c>
      <c r="E6" s="4">
        <f>'Усукване'!G19</f>
        <v>168</v>
      </c>
      <c r="F6" s="4">
        <f>'Усукване'!H19</f>
        <v>167</v>
      </c>
      <c r="L6" s="4" t="str">
        <f>'Усукване'!L19</f>
        <v/>
      </c>
      <c r="O6" s="4" t="str">
        <f>'Усукване'!O19</f>
        <v/>
      </c>
      <c r="P6" s="4" t="str">
        <f>'Усукване'!P19</f>
        <v/>
      </c>
    </row>
    <row r="7">
      <c r="B7" s="4">
        <f>'Усукване'!B20</f>
        <v>3</v>
      </c>
      <c r="C7" s="4">
        <f>'Усукване'!C20</f>
        <v>0.04996</v>
      </c>
      <c r="D7" s="4">
        <f>'Усукване'!D20</f>
        <v>0.0499</v>
      </c>
      <c r="E7" s="4">
        <f>'Усукване'!G20</f>
        <v>171</v>
      </c>
      <c r="F7" s="4">
        <f>'Усукване'!H20</f>
        <v>169.9</v>
      </c>
      <c r="L7" s="4" t="str">
        <f>'Усукване'!L20</f>
        <v/>
      </c>
      <c r="O7" s="4" t="str">
        <f>'Усукване'!O20</f>
        <v/>
      </c>
      <c r="P7" s="4" t="str">
        <f>'Усукване'!P20</f>
        <v/>
      </c>
    </row>
    <row r="8">
      <c r="B8" s="4">
        <f>'Усукване'!B21</f>
        <v>4</v>
      </c>
      <c r="C8" s="4">
        <f>'Усукване'!C21</f>
        <v>0.04979</v>
      </c>
      <c r="D8" s="4">
        <f>'Усукване'!D21</f>
        <v>0.04986</v>
      </c>
      <c r="E8" s="4">
        <f>'Усукване'!G21</f>
        <v>174</v>
      </c>
      <c r="F8" s="4">
        <f>'Усукване'!H21</f>
        <v>173</v>
      </c>
      <c r="L8" s="4" t="str">
        <f>'Усукване'!L21</f>
        <v/>
      </c>
      <c r="O8" s="4" t="str">
        <f>'Усукване'!O21</f>
        <v/>
      </c>
      <c r="P8" s="4" t="str">
        <f>'Усукване'!P21</f>
        <v/>
      </c>
    </row>
    <row r="9">
      <c r="B9" s="4" t="str">
        <f>'Усукване'!B22</f>
        <v/>
      </c>
      <c r="C9" s="4" t="str">
        <f>'Усукване'!C22</f>
        <v/>
      </c>
      <c r="D9" s="4" t="str">
        <f>'Усукване'!D22</f>
        <v/>
      </c>
      <c r="E9" s="4" t="str">
        <f>'Усукване'!E22</f>
        <v/>
      </c>
      <c r="F9" s="4" t="str">
        <f>'Усукване'!F22</f>
        <v/>
      </c>
      <c r="G9" s="4" t="str">
        <f>'Усукване'!G22</f>
        <v/>
      </c>
      <c r="H9" s="4" t="str">
        <f>'Усукване'!H22</f>
        <v/>
      </c>
      <c r="I9" s="4" t="str">
        <f>'Усукване'!I22</f>
        <v/>
      </c>
      <c r="J9" s="4" t="str">
        <f>'Усукване'!J22</f>
        <v/>
      </c>
      <c r="K9" s="4" t="str">
        <f>'Усукване'!K22</f>
        <v/>
      </c>
      <c r="L9" s="4" t="str">
        <f>'Усукване'!L22</f>
        <v/>
      </c>
      <c r="M9" s="4">
        <f>'Усукване'!M22</f>
        <v>26.41786573</v>
      </c>
      <c r="N9" s="4">
        <f>'Усукване'!N22</f>
        <v>3.25233013</v>
      </c>
      <c r="O9" s="4" t="str">
        <f>'Усукване'!O22</f>
        <v/>
      </c>
      <c r="P9" s="4" t="str">
        <f>'Усукване'!P22</f>
        <v/>
      </c>
    </row>
    <row r="10">
      <c r="B10" s="4" t="str">
        <f>'Усукване'!B23</f>
        <v/>
      </c>
      <c r="H10" s="4" t="str">
        <f>'Усукване'!H23</f>
        <v/>
      </c>
      <c r="I10" s="4" t="str">
        <f>'Усукване'!I23</f>
        <v/>
      </c>
      <c r="J10" s="4" t="str">
        <f>'Усукване'!J23</f>
        <v/>
      </c>
      <c r="K10" s="4" t="str">
        <f>'Усукване'!K23</f>
        <v/>
      </c>
      <c r="L10" s="4" t="str">
        <f>'Усукване'!L23</f>
        <v/>
      </c>
      <c r="M10" s="4" t="str">
        <f>'Усукване'!M23</f>
        <v/>
      </c>
      <c r="N10" s="4" t="str">
        <f>'Усукване'!N23</f>
        <v/>
      </c>
      <c r="O10" s="4" t="str">
        <f>'Усукване'!O23</f>
        <v/>
      </c>
      <c r="P10" s="4" t="str">
        <f>'Усукване'!P23</f>
        <v/>
      </c>
    </row>
    <row r="11">
      <c r="B11" s="4" t="str">
        <f t="shared" ref="B11:B16" si="1">B3</f>
        <v>N</v>
      </c>
      <c r="C11" s="4" t="str">
        <f>'Усукване'!E16</f>
        <v>m_i, [kg]</v>
      </c>
      <c r="D11" s="4" t="str">
        <f>'Усукване'!J16</f>
        <v>\Delta \varphi</v>
      </c>
      <c r="E11" s="4" t="str">
        <f>'Усукване'!K16</f>
        <v>\Delta \varphi_o, [rad]</v>
      </c>
      <c r="F11" s="4" t="str">
        <f>'Усукване'!M16</f>
        <v>\Phi \cdot 10^(-9)</v>
      </c>
      <c r="G11" s="4" t="str">
        <f>'Усукване'!N16</f>
        <v>\Delta \Phi</v>
      </c>
    </row>
    <row r="12">
      <c r="B12" s="4">
        <f t="shared" si="1"/>
        <v>0</v>
      </c>
      <c r="C12" s="4">
        <f>'Усукване'!E17</f>
        <v>0</v>
      </c>
      <c r="D12" s="4" t="str">
        <f>'Усукване'!J17</f>
        <v>-</v>
      </c>
      <c r="E12" s="4" t="str">
        <f>'Усукване'!K17</f>
        <v>-</v>
      </c>
      <c r="F12" s="4" t="str">
        <f>'Усукване'!M17</f>
        <v>-</v>
      </c>
      <c r="G12" s="1" t="s">
        <v>12</v>
      </c>
    </row>
    <row r="13">
      <c r="B13" s="4">
        <f t="shared" si="1"/>
        <v>1</v>
      </c>
      <c r="C13" s="4">
        <f>'Усукване'!E18</f>
        <v>0.039885</v>
      </c>
      <c r="D13" s="4">
        <f>'Усукване'!J18</f>
        <v>3.485</v>
      </c>
      <c r="E13" s="4">
        <f>'Усукване'!K18</f>
        <v>0.06082472443</v>
      </c>
      <c r="F13" s="4">
        <f>'Усукване'!M18</f>
        <v>27.24927594</v>
      </c>
      <c r="G13" s="4">
        <f>'Усукване'!N18</f>
        <v>3.384017551</v>
      </c>
    </row>
    <row r="14">
      <c r="B14" s="4">
        <f t="shared" si="1"/>
        <v>2</v>
      </c>
      <c r="C14" s="4">
        <f>'Усукване'!E19</f>
        <v>0.079885</v>
      </c>
      <c r="D14" s="4">
        <f>'Усукване'!J19</f>
        <v>5.7</v>
      </c>
      <c r="E14" s="4">
        <f>'Усукване'!K19</f>
        <v>0.09948376736</v>
      </c>
      <c r="F14" s="4">
        <f>'Усукване'!M19</f>
        <v>33.36864231</v>
      </c>
      <c r="G14" s="4">
        <f>'Усукване'!N19</f>
        <v>4.104416365</v>
      </c>
    </row>
    <row r="15">
      <c r="B15" s="4">
        <f t="shared" si="1"/>
        <v>3</v>
      </c>
      <c r="C15" s="4">
        <f>'Усукване'!E20</f>
        <v>0.08993</v>
      </c>
      <c r="D15" s="4">
        <f>'Усукване'!J20</f>
        <v>8.65</v>
      </c>
      <c r="E15" s="4">
        <f>'Усукване'!K20</f>
        <v>0.1509709803</v>
      </c>
      <c r="F15" s="4">
        <f>'Усукване'!M20</f>
        <v>24.75350139</v>
      </c>
      <c r="G15" s="4">
        <f>'Усукване'!N20</f>
        <v>3.035599316</v>
      </c>
    </row>
    <row r="16">
      <c r="B16" s="4">
        <f t="shared" si="1"/>
        <v>4</v>
      </c>
      <c r="C16" s="4">
        <f>'Усукване'!E21</f>
        <v>0.099755</v>
      </c>
      <c r="D16" s="4">
        <f>'Усукване'!J21</f>
        <v>11.7</v>
      </c>
      <c r="E16" s="4">
        <f>'Усукване'!K21</f>
        <v>0.2042035225</v>
      </c>
      <c r="F16" s="4">
        <f>'Усукване'!M21</f>
        <v>20.30004329</v>
      </c>
      <c r="G16" s="4">
        <f>'Усукване'!N21</f>
        <v>2.485287289</v>
      </c>
    </row>
  </sheetData>
  <drawing r:id="rId1"/>
</worksheet>
</file>