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8">
      <text>
        <t xml:space="preserve">Измерено за 4 периода!</t>
      </text>
    </comment>
  </commentList>
</comments>
</file>

<file path=xl/sharedStrings.xml><?xml version="1.0" encoding="utf-8"?>
<sst xmlns="http://schemas.openxmlformats.org/spreadsheetml/2006/main" count="104" uniqueCount="52">
  <si>
    <t>N</t>
  </si>
  <si>
    <t>t_i5, [s]</t>
  </si>
  <si>
    <t>T_d = \frac{t_i5}{5}, [s]</t>
  </si>
  <si>
    <t>(T_d - \bar{T])^2, [s]</t>
  </si>
  <si>
    <t>R, [m]</t>
  </si>
  <si>
    <t>\Delta t _ins, [s]</t>
  </si>
  <si>
    <t>m_диск, [kg]</t>
  </si>
  <si>
    <t>\Delta_ins шублер, [m]</t>
  </si>
  <si>
    <t>m_ц1, [kg]</t>
  </si>
  <si>
    <t>\Delta_ins маса, [kg]</t>
  </si>
  <si>
    <t>m_ц2, [kg]</t>
  </si>
  <si>
    <t>m_пръчка, [kg]</t>
  </si>
  <si>
    <t>\bar{t_i5}</t>
  </si>
  <si>
    <t>\sum / 9</t>
  </si>
  <si>
    <t>I_d x 10^(-6), [kgm^2]</t>
  </si>
  <si>
    <t>err</t>
  </si>
  <si>
    <t>Absolute err</t>
  </si>
  <si>
    <t>\Delta M / M</t>
  </si>
  <si>
    <t>2\Delta R / R</t>
  </si>
  <si>
    <t>\Delta I / I</t>
  </si>
  <si>
    <t>\Delta I_d</t>
  </si>
  <si>
    <t>\Delta_ins, [s]</t>
  </si>
  <si>
    <t>l_0, [m]</t>
  </si>
  <si>
    <t>M_диск, [kg]</t>
  </si>
  <si>
    <t>R_диск, [m]</t>
  </si>
  <si>
    <t>T_д, [s]</t>
  </si>
  <si>
    <t>D_дупка, [m]</t>
  </si>
  <si>
    <t>I_d</t>
  </si>
  <si>
    <t>\Delta I_d / I_d</t>
  </si>
  <si>
    <t xml:space="preserve">1/2 * M * R^2 * (T_c)^2 / (T_d)^2 </t>
  </si>
  <si>
    <t>I_C = I_C0 + 2ml^2</t>
  </si>
  <si>
    <t>\sum / 4</t>
  </si>
  <si>
    <t>I_C0 x 10^(-6)</t>
  </si>
  <si>
    <t>-</t>
  </si>
  <si>
    <t>l_1, [m]</t>
  </si>
  <si>
    <t>I_C = I_C0 + 2ml^2 Abs err</t>
  </si>
  <si>
    <t>2\Delta l / l</t>
  </si>
  <si>
    <t>\Delta I_C / I_C</t>
  </si>
  <si>
    <t>\Delta I_ci</t>
  </si>
  <si>
    <t>I_C1 x 10^(-6)</t>
  </si>
  <si>
    <t>l_2, [m]</t>
  </si>
  <si>
    <t>\Delta I_c0 / I_c0</t>
  </si>
  <si>
    <t>m_1\Delta m_1</t>
  </si>
  <si>
    <t>m_2 \Delta m_2</t>
  </si>
  <si>
    <t>m_1 + m_2</t>
  </si>
  <si>
    <t>l_3, [m]</t>
  </si>
  <si>
    <t>****</t>
  </si>
  <si>
    <t>l_4, [m]</t>
  </si>
  <si>
    <t>?</t>
  </si>
  <si>
    <t>L_i, [cm]</t>
  </si>
  <si>
    <t>По формула \ref{eq:main-eq-theorem}</t>
  </si>
  <si>
    <t>По формула \ref{eq:pendulum-inertia}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</si>
</sst>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4.75"/>
    <col customWidth="1" min="4" max="4" width="18.63"/>
    <col customWidth="1" min="10" max="10" width="20.88"/>
    <col customWidth="1" min="11" max="11" width="20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H2" s="1" t="s">
        <v>4</v>
      </c>
      <c r="I2" s="2">
        <f>9/2*10^(-2)</f>
        <v>0.045</v>
      </c>
      <c r="K2" s="1" t="s">
        <v>5</v>
      </c>
      <c r="L2" s="1">
        <v>0.005</v>
      </c>
    </row>
    <row r="3">
      <c r="B3" s="1">
        <v>1.0</v>
      </c>
      <c r="C3" s="1">
        <v>14.17</v>
      </c>
      <c r="D3" s="2">
        <f t="shared" ref="D3:D12" si="1">C3/5</f>
        <v>2.834</v>
      </c>
      <c r="E3" s="2">
        <f t="shared" ref="E3:E12" si="2">(D3-$D$13)^2</f>
        <v>0.00023716</v>
      </c>
      <c r="H3" s="1" t="s">
        <v>6</v>
      </c>
      <c r="I3" s="2">
        <f>99.193*10^(-3)</f>
        <v>0.099193</v>
      </c>
      <c r="K3" s="1" t="s">
        <v>7</v>
      </c>
      <c r="L3" s="2">
        <f>0.02*10^(-3)</f>
        <v>0.00002</v>
      </c>
    </row>
    <row r="4">
      <c r="B4" s="1">
        <v>2.0</v>
      </c>
      <c r="C4" s="1">
        <v>14.1</v>
      </c>
      <c r="D4" s="2">
        <f t="shared" si="1"/>
        <v>2.82</v>
      </c>
      <c r="E4" s="2">
        <f t="shared" si="2"/>
        <v>0.00000196</v>
      </c>
      <c r="H4" s="1" t="s">
        <v>8</v>
      </c>
      <c r="I4" s="2">
        <f>41.227*10^(-3)</f>
        <v>0.041227</v>
      </c>
      <c r="K4" s="1" t="s">
        <v>9</v>
      </c>
      <c r="L4" s="1">
        <f>0.0005*10^(-3)</f>
        <v>0.0000005</v>
      </c>
    </row>
    <row r="5">
      <c r="B5" s="1">
        <v>3.0</v>
      </c>
      <c r="C5" s="1">
        <v>13.82</v>
      </c>
      <c r="D5" s="2">
        <f t="shared" si="1"/>
        <v>2.764</v>
      </c>
      <c r="E5" s="2">
        <f t="shared" si="2"/>
        <v>0.00298116</v>
      </c>
      <c r="H5" s="1" t="s">
        <v>10</v>
      </c>
      <c r="I5" s="2">
        <f>40.771*10^(-3)</f>
        <v>0.040771</v>
      </c>
    </row>
    <row r="6">
      <c r="B6" s="1">
        <v>4.0</v>
      </c>
      <c r="C6" s="1">
        <v>14.25</v>
      </c>
      <c r="D6" s="2">
        <f t="shared" si="1"/>
        <v>2.85</v>
      </c>
      <c r="E6" s="2">
        <f t="shared" si="2"/>
        <v>0.00098596</v>
      </c>
      <c r="H6" s="1" t="s">
        <v>11</v>
      </c>
      <c r="I6" s="2">
        <f>32.119*10^(-3)</f>
        <v>0.032119</v>
      </c>
    </row>
    <row r="7">
      <c r="B7" s="1">
        <v>5.0</v>
      </c>
      <c r="C7" s="1">
        <v>14.22</v>
      </c>
      <c r="D7" s="2">
        <f t="shared" si="1"/>
        <v>2.844</v>
      </c>
      <c r="E7" s="2">
        <f t="shared" si="2"/>
        <v>0.00064516</v>
      </c>
    </row>
    <row r="8">
      <c r="B8" s="1">
        <v>6.0</v>
      </c>
      <c r="C8" s="1">
        <v>14.05</v>
      </c>
      <c r="D8" s="2">
        <f t="shared" si="1"/>
        <v>2.81</v>
      </c>
      <c r="E8" s="2">
        <f t="shared" si="2"/>
        <v>0.00007396</v>
      </c>
    </row>
    <row r="9">
      <c r="B9" s="1">
        <v>7.0</v>
      </c>
      <c r="C9" s="1">
        <v>14.16</v>
      </c>
      <c r="D9" s="2">
        <f t="shared" si="1"/>
        <v>2.832</v>
      </c>
      <c r="E9" s="2">
        <f t="shared" si="2"/>
        <v>0.00017956</v>
      </c>
    </row>
    <row r="10">
      <c r="B10" s="1">
        <v>8.0</v>
      </c>
      <c r="C10" s="1">
        <v>14.11</v>
      </c>
      <c r="D10" s="2">
        <f t="shared" si="1"/>
        <v>2.822</v>
      </c>
      <c r="E10" s="2">
        <f t="shared" si="2"/>
        <v>0.00001156</v>
      </c>
    </row>
    <row r="11">
      <c r="B11" s="1">
        <v>9.0</v>
      </c>
      <c r="C11" s="1">
        <v>14.06</v>
      </c>
      <c r="D11" s="2">
        <f t="shared" si="1"/>
        <v>2.812</v>
      </c>
      <c r="E11" s="2">
        <f t="shared" si="2"/>
        <v>0.00004356</v>
      </c>
    </row>
    <row r="12">
      <c r="B12" s="1">
        <v>10.0</v>
      </c>
      <c r="C12" s="1">
        <v>13.99</v>
      </c>
      <c r="D12" s="2">
        <f t="shared" si="1"/>
        <v>2.798</v>
      </c>
      <c r="E12" s="2">
        <f t="shared" si="2"/>
        <v>0.00042436</v>
      </c>
    </row>
    <row r="13">
      <c r="B13" s="1" t="s">
        <v>12</v>
      </c>
      <c r="C13" s="2">
        <f t="shared" ref="C13:D13" si="3">AVERAGE(C3:C12)</f>
        <v>14.093</v>
      </c>
      <c r="D13" s="2">
        <f t="shared" si="3"/>
        <v>2.8186</v>
      </c>
      <c r="E13" s="2">
        <f>SUM(E3:E12) / 9</f>
        <v>0.0006204888889</v>
      </c>
      <c r="F13" s="1" t="s">
        <v>13</v>
      </c>
      <c r="J13" s="1" t="s">
        <v>14</v>
      </c>
      <c r="K13" s="2">
        <f>1/2*I3*I2^2 * 10^6</f>
        <v>100.4329125</v>
      </c>
    </row>
    <row r="14">
      <c r="B14" s="1" t="s">
        <v>15</v>
      </c>
      <c r="D14" s="2">
        <f>SQRT($E$13+$L$2^2)</f>
        <v>0.02540647337</v>
      </c>
    </row>
    <row r="21">
      <c r="B21" s="3" t="s">
        <v>16</v>
      </c>
    </row>
    <row r="22">
      <c r="B22" s="1" t="s">
        <v>17</v>
      </c>
      <c r="C22" s="1" t="s">
        <v>18</v>
      </c>
      <c r="E22" s="1" t="s">
        <v>19</v>
      </c>
      <c r="G22" s="1" t="s">
        <v>20</v>
      </c>
    </row>
    <row r="23">
      <c r="B23" s="2">
        <f>L4/I3</f>
        <v>0.000005040678274</v>
      </c>
      <c r="C23" s="2">
        <f>2*L3/I2</f>
        <v>0.0008888888889</v>
      </c>
      <c r="E23" s="2">
        <f>B23+C23</f>
        <v>0.0008939295672</v>
      </c>
      <c r="G23" s="2">
        <f>K13*E23</f>
        <v>0.08977995</v>
      </c>
    </row>
  </sheetData>
  <mergeCells count="1">
    <mergeCell ref="B21:G2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7.25"/>
    <col customWidth="1" min="9" max="9" width="16.38"/>
    <col customWidth="1" min="13" max="13" width="15.13"/>
  </cols>
  <sheetData>
    <row r="1">
      <c r="L1" s="1" t="s">
        <v>21</v>
      </c>
      <c r="M1" s="1">
        <v>0.005</v>
      </c>
      <c r="O1" s="2" t="str">
        <f>'Task 1'!H4</f>
        <v>m_ц1, [kg]</v>
      </c>
      <c r="P1" s="2">
        <f>'Task 1'!I4</f>
        <v>0.041227</v>
      </c>
    </row>
    <row r="2">
      <c r="B2" s="1" t="s">
        <v>22</v>
      </c>
      <c r="C2" s="1">
        <v>0.0</v>
      </c>
      <c r="D2" s="1"/>
      <c r="E2" s="1"/>
      <c r="G2" s="1"/>
      <c r="H2" s="1"/>
      <c r="L2" s="1" t="s">
        <v>23</v>
      </c>
      <c r="M2" s="2">
        <f>'Task 1'!I3</f>
        <v>0.099193</v>
      </c>
      <c r="O2" s="2" t="str">
        <f>'Task 1'!H5</f>
        <v>m_ц2, [kg]</v>
      </c>
      <c r="P2" s="2">
        <f>'Task 1'!I5</f>
        <v>0.040771</v>
      </c>
    </row>
    <row r="3">
      <c r="B3" s="1" t="s">
        <v>0</v>
      </c>
      <c r="C3" s="1" t="s">
        <v>1</v>
      </c>
      <c r="D3" s="1" t="s">
        <v>2</v>
      </c>
      <c r="E3" s="1" t="s">
        <v>3</v>
      </c>
      <c r="L3" s="1" t="s">
        <v>24</v>
      </c>
      <c r="M3" s="2">
        <f>'Task 1'!I2</f>
        <v>0.045</v>
      </c>
    </row>
    <row r="4">
      <c r="B4" s="1">
        <v>1.0</v>
      </c>
      <c r="C4" s="1">
        <v>8.75</v>
      </c>
      <c r="D4" s="2">
        <f t="shared" ref="D4:D8" si="1">C4/5</f>
        <v>1.75</v>
      </c>
      <c r="E4" s="2">
        <f t="shared" ref="E4:E8" si="2">(D4-$D$9)^2</f>
        <v>0.00007744</v>
      </c>
      <c r="L4" s="1" t="s">
        <v>25</v>
      </c>
      <c r="M4" s="2">
        <f>'Task 1'!D13</f>
        <v>2.8186</v>
      </c>
      <c r="O4" s="1" t="s">
        <v>26</v>
      </c>
      <c r="P4" s="1">
        <f>3.44*10^(-3)</f>
        <v>0.00344</v>
      </c>
    </row>
    <row r="5">
      <c r="B5" s="1">
        <v>2.0</v>
      </c>
      <c r="C5" s="1">
        <v>8.78</v>
      </c>
      <c r="D5" s="2">
        <f t="shared" si="1"/>
        <v>1.756</v>
      </c>
      <c r="E5" s="2">
        <f t="shared" si="2"/>
        <v>0.00021904</v>
      </c>
      <c r="L5" s="1" t="s">
        <v>27</v>
      </c>
      <c r="M5" s="2">
        <f>'Task 1'!K13</f>
        <v>100.4329125</v>
      </c>
    </row>
    <row r="6">
      <c r="B6" s="1">
        <v>3.0</v>
      </c>
      <c r="C6" s="1">
        <v>8.7</v>
      </c>
      <c r="D6" s="2">
        <f t="shared" si="1"/>
        <v>1.74</v>
      </c>
      <c r="E6" s="2">
        <f t="shared" si="2"/>
        <v>0.00000144</v>
      </c>
      <c r="L6" s="1" t="s">
        <v>28</v>
      </c>
      <c r="M6" s="4">
        <f>'Task 1'!E23</f>
        <v>0.0008939295672</v>
      </c>
      <c r="O6" s="1" t="s">
        <v>5</v>
      </c>
      <c r="P6" s="1">
        <v>0.005</v>
      </c>
    </row>
    <row r="7">
      <c r="B7" s="1">
        <v>4.0</v>
      </c>
      <c r="C7" s="1">
        <v>8.64</v>
      </c>
      <c r="D7" s="2">
        <f t="shared" si="1"/>
        <v>1.728</v>
      </c>
      <c r="E7" s="2">
        <f t="shared" si="2"/>
        <v>0.00017424</v>
      </c>
      <c r="O7" s="1" t="s">
        <v>7</v>
      </c>
      <c r="P7" s="2">
        <f>0.02*10^(-3)</f>
        <v>0.00002</v>
      </c>
    </row>
    <row r="8">
      <c r="B8" s="1">
        <v>5.0</v>
      </c>
      <c r="C8" s="1">
        <v>8.66</v>
      </c>
      <c r="D8" s="2">
        <f t="shared" si="1"/>
        <v>1.732</v>
      </c>
      <c r="E8" s="2">
        <f t="shared" si="2"/>
        <v>0.00008464</v>
      </c>
      <c r="I8" s="5" t="s">
        <v>29</v>
      </c>
      <c r="J8" s="6" t="s">
        <v>30</v>
      </c>
      <c r="O8" s="1" t="s">
        <v>9</v>
      </c>
      <c r="P8" s="1">
        <f>0.0005*10^(-3)</f>
        <v>0.0000005</v>
      </c>
    </row>
    <row r="9">
      <c r="B9" s="1" t="s">
        <v>12</v>
      </c>
      <c r="C9" s="2">
        <f t="shared" ref="C9:D9" si="3">AVERAGE(C4:C8)</f>
        <v>8.706</v>
      </c>
      <c r="D9" s="2">
        <f t="shared" si="3"/>
        <v>1.7412</v>
      </c>
      <c r="E9" s="2">
        <f>SUM(E4:E8)/4</f>
        <v>0.0001392</v>
      </c>
      <c r="F9" s="1" t="s">
        <v>31</v>
      </c>
      <c r="H9" s="1" t="s">
        <v>32</v>
      </c>
      <c r="I9" s="2">
        <f>1/2*$M$2*$M$3^2*D9^2/$M$4^2 * 10^6</f>
        <v>38.32714581</v>
      </c>
      <c r="J9" s="1" t="s">
        <v>33</v>
      </c>
    </row>
    <row r="10">
      <c r="B10" s="1" t="s">
        <v>15</v>
      </c>
      <c r="D10" s="2">
        <f>SQRT($E$9+$M$1^2)</f>
        <v>0.01281405478</v>
      </c>
      <c r="H10" s="1" t="s">
        <v>15</v>
      </c>
      <c r="I10" s="2">
        <f>'Task 1'!G23</f>
        <v>0.08977995</v>
      </c>
    </row>
    <row r="13">
      <c r="B13" s="1" t="s">
        <v>34</v>
      </c>
      <c r="C13" s="1">
        <f>(47.56-$P$4)*10^(-3)/2</f>
        <v>0.02377828</v>
      </c>
      <c r="D13" s="1"/>
      <c r="E13" s="1"/>
    </row>
    <row r="14">
      <c r="B14" s="1" t="s">
        <v>0</v>
      </c>
      <c r="C14" s="1" t="s">
        <v>1</v>
      </c>
      <c r="D14" s="1" t="s">
        <v>2</v>
      </c>
      <c r="E14" s="1" t="s">
        <v>3</v>
      </c>
    </row>
    <row r="15">
      <c r="B15" s="1">
        <v>1.0</v>
      </c>
      <c r="C15" s="1">
        <v>12.52</v>
      </c>
      <c r="D15" s="2">
        <f t="shared" ref="D15:D19" si="4">C15/5</f>
        <v>2.504</v>
      </c>
      <c r="E15" s="2">
        <f t="shared" ref="E15:E19" si="5">(D15-$D$9)^2</f>
        <v>0.58186384</v>
      </c>
      <c r="M15" s="7" t="s">
        <v>35</v>
      </c>
    </row>
    <row r="16">
      <c r="B16" s="1">
        <v>2.0</v>
      </c>
      <c r="C16" s="1">
        <v>12.74</v>
      </c>
      <c r="D16" s="2">
        <f t="shared" si="4"/>
        <v>2.548</v>
      </c>
      <c r="E16" s="2">
        <f t="shared" si="5"/>
        <v>0.65092624</v>
      </c>
      <c r="M16" s="1" t="s">
        <v>0</v>
      </c>
      <c r="N16" s="1" t="s">
        <v>36</v>
      </c>
      <c r="O16" s="1" t="s">
        <v>37</v>
      </c>
      <c r="P16" s="1" t="s">
        <v>38</v>
      </c>
    </row>
    <row r="17">
      <c r="B17" s="1">
        <v>3.0</v>
      </c>
      <c r="C17" s="1">
        <v>12.59</v>
      </c>
      <c r="D17" s="2">
        <f t="shared" si="4"/>
        <v>2.518</v>
      </c>
      <c r="E17" s="2">
        <f t="shared" si="5"/>
        <v>0.60341824</v>
      </c>
      <c r="M17" s="1">
        <v>0.0</v>
      </c>
      <c r="N17" s="1" t="s">
        <v>33</v>
      </c>
    </row>
    <row r="18">
      <c r="B18" s="1">
        <v>4.0</v>
      </c>
      <c r="C18" s="1">
        <v>12.38</v>
      </c>
      <c r="D18" s="2">
        <f t="shared" si="4"/>
        <v>2.476</v>
      </c>
      <c r="E18" s="2">
        <f t="shared" si="5"/>
        <v>0.53993104</v>
      </c>
      <c r="M18" s="1">
        <v>1.0</v>
      </c>
      <c r="N18" s="2">
        <f>2*$P$8/C13</f>
        <v>0.0000420551865</v>
      </c>
      <c r="O18" s="2">
        <f t="shared" ref="O18:O21" si="6">$N$24+($N$25+$N$26)/$N$27 + N18</f>
        <v>0.002385018944</v>
      </c>
      <c r="P18" s="2">
        <f>O18*J20</f>
        <v>0.1903781464</v>
      </c>
    </row>
    <row r="19">
      <c r="B19" s="1">
        <v>5.0</v>
      </c>
      <c r="C19" s="1">
        <v>12.59</v>
      </c>
      <c r="D19" s="2">
        <f t="shared" si="4"/>
        <v>2.518</v>
      </c>
      <c r="E19" s="2">
        <f t="shared" si="5"/>
        <v>0.60341824</v>
      </c>
      <c r="M19" s="1">
        <v>2.0</v>
      </c>
      <c r="N19" s="2">
        <f>2*$P$8/C24</f>
        <v>0.00003233286817</v>
      </c>
      <c r="O19" s="2">
        <f t="shared" si="6"/>
        <v>0.002375296626</v>
      </c>
      <c r="P19" s="2">
        <f>O19*J31</f>
        <v>0.2546302948</v>
      </c>
    </row>
    <row r="20">
      <c r="B20" s="1" t="s">
        <v>12</v>
      </c>
      <c r="C20" s="2">
        <f t="shared" ref="C20:D20" si="7">AVERAGE(C15:C19)</f>
        <v>12.564</v>
      </c>
      <c r="D20" s="2">
        <f t="shared" si="7"/>
        <v>2.5128</v>
      </c>
      <c r="E20" s="2">
        <f>SUM(E15:E19)/4</f>
        <v>0.7448894</v>
      </c>
      <c r="F20" s="1" t="s">
        <v>31</v>
      </c>
      <c r="H20" s="1" t="s">
        <v>39</v>
      </c>
      <c r="I20" s="2">
        <f>1/2*$M$2*$M$3^2*D20^2/$M$4^2 * 10^6</f>
        <v>79.82244178</v>
      </c>
      <c r="J20" s="2">
        <f>I20+($P$1+$P$2)*C13^2</f>
        <v>79.82248814</v>
      </c>
      <c r="M20" s="1">
        <v>3.0</v>
      </c>
      <c r="N20" s="2">
        <f>2*$P$8/C35</f>
        <v>0.00003997077337</v>
      </c>
      <c r="O20" s="2">
        <f t="shared" si="6"/>
        <v>0.002382934531</v>
      </c>
      <c r="P20" s="2">
        <f>O20*J42</f>
        <v>0.5150025553</v>
      </c>
    </row>
    <row r="21">
      <c r="B21" s="1" t="s">
        <v>15</v>
      </c>
      <c r="D21" s="2">
        <f>SQRT($E$9+$M$1^2)</f>
        <v>0.01281405478</v>
      </c>
      <c r="H21" s="1" t="s">
        <v>15</v>
      </c>
      <c r="I21" s="2">
        <f>I20*('Task 1'!$B$23+'Task 1'!$C$23)</f>
        <v>0.07135564083</v>
      </c>
      <c r="J21" s="2">
        <f>P18</f>
        <v>0.1903781464</v>
      </c>
      <c r="M21" s="1">
        <v>4.0</v>
      </c>
      <c r="N21" s="2">
        <f>2*$P$8/C46</f>
        <v>0.00003474842833</v>
      </c>
      <c r="O21" s="2">
        <f t="shared" si="6"/>
        <v>0.002377712186</v>
      </c>
      <c r="P21" s="2">
        <f>O21*J53</f>
        <v>0.6427773381</v>
      </c>
    </row>
    <row r="24">
      <c r="B24" s="1" t="s">
        <v>40</v>
      </c>
      <c r="C24" s="1">
        <f>(61.86-$P$4)*10^(-3)/2</f>
        <v>0.03092828</v>
      </c>
      <c r="D24" s="1"/>
      <c r="E24" s="1"/>
      <c r="M24" s="1" t="s">
        <v>41</v>
      </c>
      <c r="N24" s="2">
        <f>$I$10/$I$9</f>
        <v>0.002342463758</v>
      </c>
    </row>
    <row r="25">
      <c r="B25" s="1" t="s">
        <v>0</v>
      </c>
      <c r="C25" s="1" t="s">
        <v>1</v>
      </c>
      <c r="D25" s="1" t="s">
        <v>2</v>
      </c>
      <c r="E25" s="1" t="s">
        <v>3</v>
      </c>
      <c r="M25" s="1" t="s">
        <v>42</v>
      </c>
      <c r="N25" s="2">
        <f>P8*P1</f>
        <v>0.0000000206135</v>
      </c>
    </row>
    <row r="26">
      <c r="B26" s="1">
        <v>1.0</v>
      </c>
      <c r="C26" s="1">
        <v>14.54</v>
      </c>
      <c r="D26" s="2">
        <f t="shared" ref="D26:D30" si="8">C26/5</f>
        <v>2.908</v>
      </c>
      <c r="E26" s="2">
        <f t="shared" ref="E26:E30" si="9">(D26-$D$9)^2</f>
        <v>1.36142224</v>
      </c>
      <c r="M26" s="1" t="s">
        <v>43</v>
      </c>
      <c r="N26" s="2">
        <f>P8*P2</f>
        <v>0.0000000203855</v>
      </c>
    </row>
    <row r="27">
      <c r="B27" s="1">
        <v>2.0</v>
      </c>
      <c r="C27" s="1">
        <v>14.66</v>
      </c>
      <c r="D27" s="2">
        <f t="shared" si="8"/>
        <v>2.932</v>
      </c>
      <c r="E27" s="2">
        <f t="shared" si="9"/>
        <v>1.41800464</v>
      </c>
      <c r="M27" s="1" t="s">
        <v>44</v>
      </c>
      <c r="N27" s="2">
        <f>P1+P2</f>
        <v>0.081998</v>
      </c>
    </row>
    <row r="28">
      <c r="B28" s="1">
        <v>3.0</v>
      </c>
      <c r="C28" s="1">
        <v>14.57</v>
      </c>
      <c r="D28" s="2">
        <f t="shared" si="8"/>
        <v>2.914</v>
      </c>
      <c r="E28" s="2">
        <f t="shared" si="9"/>
        <v>1.37545984</v>
      </c>
      <c r="M28" s="1" t="s">
        <v>37</v>
      </c>
      <c r="N28" s="2">
        <f>N24+(N25+N26)/N27</f>
        <v>0.002342963758</v>
      </c>
    </row>
    <row r="29">
      <c r="B29" s="1">
        <v>4.0</v>
      </c>
      <c r="C29" s="1">
        <v>14.54</v>
      </c>
      <c r="D29" s="2">
        <f t="shared" si="8"/>
        <v>2.908</v>
      </c>
      <c r="E29" s="2">
        <f t="shared" si="9"/>
        <v>1.36142224</v>
      </c>
    </row>
    <row r="30">
      <c r="B30" s="1">
        <v>5.0</v>
      </c>
      <c r="C30" s="1">
        <v>14.49</v>
      </c>
      <c r="D30" s="2">
        <f t="shared" si="8"/>
        <v>2.898</v>
      </c>
      <c r="E30" s="2">
        <f t="shared" si="9"/>
        <v>1.33818624</v>
      </c>
    </row>
    <row r="31">
      <c r="B31" s="1" t="s">
        <v>12</v>
      </c>
      <c r="C31" s="2">
        <f t="shared" ref="C31:D31" si="10">AVERAGE(C26:C30)</f>
        <v>14.56</v>
      </c>
      <c r="D31" s="2">
        <f t="shared" si="10"/>
        <v>2.912</v>
      </c>
      <c r="E31" s="2">
        <f>SUM(E26:E30)/4</f>
        <v>1.7136238</v>
      </c>
      <c r="F31" s="1" t="s">
        <v>31</v>
      </c>
      <c r="H31" s="1" t="s">
        <v>39</v>
      </c>
      <c r="I31" s="2">
        <f>1/2*$M$2*$M$3^2*D31^2/$M$4^2 * 10^6</f>
        <v>107.1992886</v>
      </c>
      <c r="J31" s="2">
        <f>I31+($P$1+$P$2)*C24^2</f>
        <v>107.199367</v>
      </c>
    </row>
    <row r="32">
      <c r="B32" s="1" t="s">
        <v>15</v>
      </c>
      <c r="D32" s="2">
        <f>SQRT($E$9+$M$1^2)</f>
        <v>0.01281405478</v>
      </c>
      <c r="H32" s="1" t="s">
        <v>15</v>
      </c>
      <c r="I32" s="2">
        <f>I31*('Task 1'!$B$23+'Task 1'!$C$23)</f>
        <v>0.09582861366</v>
      </c>
      <c r="J32" s="2">
        <f>P19</f>
        <v>0.2546302948</v>
      </c>
    </row>
    <row r="35">
      <c r="B35" s="1" t="s">
        <v>45</v>
      </c>
      <c r="C35" s="1">
        <f>(50.04-$P$4)*10^(-3)/2</f>
        <v>0.02501828</v>
      </c>
      <c r="D35" s="1"/>
      <c r="E35" s="1"/>
    </row>
    <row r="36">
      <c r="B36" s="1" t="s">
        <v>0</v>
      </c>
      <c r="C36" s="1" t="s">
        <v>1</v>
      </c>
      <c r="D36" s="1" t="s">
        <v>2</v>
      </c>
      <c r="E36" s="1" t="s">
        <v>3</v>
      </c>
    </row>
    <row r="37">
      <c r="B37" s="1">
        <v>1.0</v>
      </c>
      <c r="C37" s="1">
        <v>20.7</v>
      </c>
      <c r="D37" s="2">
        <f>C37/5</f>
        <v>4.14</v>
      </c>
      <c r="E37" s="2">
        <f t="shared" ref="E37:E41" si="11">(D37-$D$9)^2</f>
        <v>5.75424144</v>
      </c>
    </row>
    <row r="38">
      <c r="A38" s="1" t="s">
        <v>46</v>
      </c>
      <c r="B38" s="1">
        <v>2.0</v>
      </c>
      <c r="C38" s="2">
        <f>D38*5</f>
        <v>20.7375</v>
      </c>
      <c r="D38" s="2">
        <f>16.59/4</f>
        <v>4.1475</v>
      </c>
      <c r="E38" s="2">
        <f t="shared" si="11"/>
        <v>5.79027969</v>
      </c>
    </row>
    <row r="39">
      <c r="B39" s="1">
        <v>3.0</v>
      </c>
      <c r="C39" s="1">
        <v>20.86</v>
      </c>
      <c r="D39" s="2">
        <f t="shared" ref="D39:D41" si="12">C39/5</f>
        <v>4.172</v>
      </c>
      <c r="E39" s="2">
        <f t="shared" si="11"/>
        <v>5.90878864</v>
      </c>
    </row>
    <row r="40">
      <c r="B40" s="1">
        <v>4.0</v>
      </c>
      <c r="C40" s="1">
        <v>20.52</v>
      </c>
      <c r="D40" s="2">
        <f t="shared" si="12"/>
        <v>4.104</v>
      </c>
      <c r="E40" s="2">
        <f t="shared" si="11"/>
        <v>5.58282384</v>
      </c>
    </row>
    <row r="41">
      <c r="B41" s="1">
        <v>5.0</v>
      </c>
      <c r="C41" s="1">
        <v>20.55</v>
      </c>
      <c r="D41" s="2">
        <f t="shared" si="12"/>
        <v>4.11</v>
      </c>
      <c r="E41" s="2">
        <f t="shared" si="11"/>
        <v>5.61121344</v>
      </c>
    </row>
    <row r="42">
      <c r="B42" s="1" t="s">
        <v>12</v>
      </c>
      <c r="C42" s="2">
        <f t="shared" ref="C42:D42" si="13">AVERAGE(C37:C41)</f>
        <v>20.6735</v>
      </c>
      <c r="D42" s="2">
        <f t="shared" si="13"/>
        <v>4.1347</v>
      </c>
      <c r="E42" s="2">
        <f>SUM(E37:E41)/4</f>
        <v>7.161836763</v>
      </c>
      <c r="F42" s="1" t="s">
        <v>31</v>
      </c>
      <c r="H42" s="1" t="s">
        <v>39</v>
      </c>
      <c r="I42" s="2">
        <f>1/2*$M$2*$M$3^2*D42^2/$M$4^2 * 10^6</f>
        <v>216.1211004</v>
      </c>
      <c r="J42" s="2">
        <f>I42+($P$1+$P$2)*C35^2</f>
        <v>216.1211517</v>
      </c>
    </row>
    <row r="43">
      <c r="B43" s="1" t="s">
        <v>15</v>
      </c>
      <c r="D43" s="2">
        <f>SQRT($E$9+$M$1^2)</f>
        <v>0.01281405478</v>
      </c>
      <c r="H43" s="1" t="s">
        <v>15</v>
      </c>
      <c r="I43" s="2">
        <f>I42*('Task 1'!$B$23+'Task 1'!$C$23)</f>
        <v>0.1931970417</v>
      </c>
      <c r="J43" s="2">
        <f>P20</f>
        <v>0.5150025553</v>
      </c>
    </row>
    <row r="46">
      <c r="B46" s="1" t="s">
        <v>47</v>
      </c>
      <c r="C46" s="1">
        <f>(57.56-$P$4)*10^(-3)/2</f>
        <v>0.02877828</v>
      </c>
      <c r="D46" s="1"/>
      <c r="E46" s="1"/>
    </row>
    <row r="47">
      <c r="B47" s="1" t="s">
        <v>0</v>
      </c>
      <c r="C47" s="1" t="s">
        <v>1</v>
      </c>
      <c r="D47" s="1" t="s">
        <v>2</v>
      </c>
      <c r="E47" s="1" t="s">
        <v>3</v>
      </c>
    </row>
    <row r="48">
      <c r="B48" s="1">
        <v>1.0</v>
      </c>
      <c r="C48" s="1">
        <v>23.57</v>
      </c>
      <c r="D48" s="2">
        <f>C48/5</f>
        <v>4.714</v>
      </c>
      <c r="E48" s="2">
        <f t="shared" ref="E48:E52" si="14">(D48-$D$9)^2</f>
        <v>8.83753984</v>
      </c>
    </row>
    <row r="49">
      <c r="B49" s="1">
        <v>2.0</v>
      </c>
      <c r="C49" s="1">
        <v>23.81</v>
      </c>
      <c r="D49" s="2">
        <f>16.59/4</f>
        <v>4.1475</v>
      </c>
      <c r="E49" s="2">
        <f t="shared" si="14"/>
        <v>5.79027969</v>
      </c>
    </row>
    <row r="50">
      <c r="B50" s="1">
        <v>3.0</v>
      </c>
      <c r="C50" s="1">
        <v>23.81</v>
      </c>
      <c r="D50" s="2">
        <f t="shared" ref="D50:D52" si="15">C50/5</f>
        <v>4.762</v>
      </c>
      <c r="E50" s="2">
        <f t="shared" si="14"/>
        <v>9.12523264</v>
      </c>
    </row>
    <row r="51">
      <c r="A51" s="1" t="s">
        <v>48</v>
      </c>
      <c r="B51" s="1">
        <v>4.0</v>
      </c>
      <c r="C51" s="1">
        <v>23.75</v>
      </c>
      <c r="D51" s="2">
        <f t="shared" si="15"/>
        <v>4.75</v>
      </c>
      <c r="E51" s="2">
        <f t="shared" si="14"/>
        <v>9.05287744</v>
      </c>
    </row>
    <row r="52">
      <c r="B52" s="1">
        <v>5.0</v>
      </c>
      <c r="C52" s="1">
        <v>23.74</v>
      </c>
      <c r="D52" s="2">
        <f t="shared" si="15"/>
        <v>4.748</v>
      </c>
      <c r="E52" s="2">
        <f t="shared" si="14"/>
        <v>9.04084624</v>
      </c>
    </row>
    <row r="53">
      <c r="B53" s="1" t="s">
        <v>12</v>
      </c>
      <c r="C53" s="2">
        <f t="shared" ref="C53:D53" si="16">AVERAGE(C48:C52)</f>
        <v>23.736</v>
      </c>
      <c r="D53" s="2">
        <f t="shared" si="16"/>
        <v>4.6243</v>
      </c>
      <c r="E53" s="2">
        <f>SUM(E48:E52)/4</f>
        <v>10.46169396</v>
      </c>
      <c r="F53" s="1" t="s">
        <v>31</v>
      </c>
      <c r="H53" s="1" t="s">
        <v>39</v>
      </c>
      <c r="I53" s="2">
        <f>1/2*$M$2*$M$3^2*D53^2/$M$4^2 * 10^6</f>
        <v>270.3343072</v>
      </c>
      <c r="J53" s="2">
        <f>I53+($P$1+$P$2)*C46^2</f>
        <v>270.3343751</v>
      </c>
    </row>
    <row r="54">
      <c r="B54" s="1" t="s">
        <v>15</v>
      </c>
      <c r="D54" s="2">
        <f>SQRT($E$9+$M$1^2)</f>
        <v>0.01281405478</v>
      </c>
      <c r="H54" s="1" t="s">
        <v>15</v>
      </c>
      <c r="I54" s="2">
        <f>I53*('Task 1'!$B$23+'Task 1'!$C$23)</f>
        <v>0.2416598303</v>
      </c>
      <c r="J54" s="2">
        <f>P21</f>
        <v>0.6427773381</v>
      </c>
    </row>
    <row r="62">
      <c r="B62" s="1" t="s">
        <v>49</v>
      </c>
      <c r="C62" s="5" t="s">
        <v>50</v>
      </c>
      <c r="D62" s="5" t="s">
        <v>51</v>
      </c>
    </row>
    <row r="63">
      <c r="B63" s="2">
        <f>C13*10^3</f>
        <v>23.77828</v>
      </c>
      <c r="C63" s="2">
        <f>J20</f>
        <v>79.82248814</v>
      </c>
      <c r="D63" s="2">
        <f>I20</f>
        <v>79.82244178</v>
      </c>
    </row>
    <row r="64">
      <c r="B64" s="2">
        <f>C24*10^3</f>
        <v>30.92828</v>
      </c>
      <c r="C64" s="2">
        <f>J31</f>
        <v>107.199367</v>
      </c>
      <c r="D64" s="2">
        <f>I31</f>
        <v>107.1992886</v>
      </c>
    </row>
    <row r="65">
      <c r="B65" s="2">
        <f>C35*10^3</f>
        <v>25.01828</v>
      </c>
      <c r="C65" s="2">
        <f>J42</f>
        <v>216.1211517</v>
      </c>
      <c r="D65" s="2">
        <f>I42</f>
        <v>216.1211004</v>
      </c>
    </row>
    <row r="66">
      <c r="B66" s="2">
        <f>C46*10^3</f>
        <v>28.77828</v>
      </c>
      <c r="C66" s="2">
        <f>J53</f>
        <v>270.3343751</v>
      </c>
      <c r="D66" s="2">
        <f>I53</f>
        <v>270.3343072</v>
      </c>
    </row>
    <row r="96">
      <c r="B96" s="1" t="s">
        <v>39</v>
      </c>
      <c r="C96" s="2" t="str">
        <f>1/2*$M$2*$M$3^2*#REF!^2/$M$4^2 * 10^6</f>
        <v>#REF!</v>
      </c>
      <c r="D96" s="2" t="str">
        <f>C96+($P$1+$P$2)*#REF!^2</f>
        <v>#REF!</v>
      </c>
    </row>
    <row r="97">
      <c r="B97" s="1" t="s">
        <v>15</v>
      </c>
      <c r="C97" s="2" t="str">
        <f>C96*('Task 1'!$B$23+'Task 1'!$C$23)</f>
        <v>#REF!</v>
      </c>
      <c r="D97" s="2" t="str">
        <f>J74</f>
        <v/>
      </c>
    </row>
    <row r="107">
      <c r="B107" s="1" t="s">
        <v>39</v>
      </c>
      <c r="C107" s="2" t="str">
        <f>1/2*$M$2*$M$3^2*#REF!^2/$M$4^2 * 10^6</f>
        <v>#REF!</v>
      </c>
      <c r="D107" s="2" t="str">
        <f>C107+($P$1+$P$2)*#REF!^2</f>
        <v>#REF!</v>
      </c>
    </row>
    <row r="108">
      <c r="B108" s="1" t="s">
        <v>15</v>
      </c>
      <c r="C108" s="2" t="str">
        <f>C107*('Task 1'!$B$23+'Task 1'!$C$23)</f>
        <v>#REF!</v>
      </c>
      <c r="D108" s="2" t="str">
        <f>J75</f>
        <v/>
      </c>
    </row>
  </sheetData>
  <mergeCells count="1">
    <mergeCell ref="M15:R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