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 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<sst xmlns="http://schemas.openxmlformats.org/spreadsheetml/2006/main" count="118" uniqueCount="20">
  <si>
    <t xml:space="preserve">\pm </t>
  </si>
  <si>
    <t>d_кап, [m]</t>
  </si>
  <si>
    <t>\rho_вода, [kg/m^3]</t>
  </si>
  <si>
    <t>g, [m/s^2]</t>
  </si>
  <si>
    <t>10% спирт</t>
  </si>
  <si>
    <t>20% спирт</t>
  </si>
  <si>
    <t>30% спирт</t>
  </si>
  <si>
    <t>N</t>
  </si>
  <si>
    <t>\delta h</t>
  </si>
  <si>
    <t>(h_i - \bar{h})^2</t>
  </si>
  <si>
    <t>\pm 0.3</t>
  </si>
  <si>
    <t>\pm 0.2</t>
  </si>
  <si>
    <t>\sigma</t>
  </si>
  <si>
    <t>\Delta \sigma / sigma</t>
  </si>
  <si>
    <t>\pm</t>
  </si>
  <si>
    <t>40% спирт</t>
  </si>
  <si>
    <t>50% спирт</t>
  </si>
  <si>
    <t>x% спирт</t>
  </si>
  <si>
    <t>дестилирана вода</t>
  </si>
  <si>
    <t>\delta h, [m]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</si>
</sst>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7" max="7" width="16.75"/>
  </cols>
  <sheetData>
    <row r="1">
      <c r="B1" s="1"/>
      <c r="C1" s="1"/>
      <c r="D1" s="1" t="s">
        <v>0</v>
      </c>
    </row>
    <row r="2">
      <c r="B2" s="1" t="s">
        <v>1</v>
      </c>
      <c r="C2" s="1">
        <f>0.563*10^-2</f>
        <v>0.00563</v>
      </c>
      <c r="D2" s="1">
        <f>0.0005*10^-2</f>
        <v>0.000005</v>
      </c>
    </row>
    <row r="3">
      <c r="B3" s="2" t="s">
        <v>2</v>
      </c>
      <c r="C3" s="3">
        <v>997.0</v>
      </c>
      <c r="D3" s="4">
        <f>0.5</f>
        <v>0.5</v>
      </c>
    </row>
    <row r="4">
      <c r="B4" s="1" t="s">
        <v>3</v>
      </c>
      <c r="C4" s="1">
        <v>9.81</v>
      </c>
      <c r="D4" s="4">
        <f>0.005</f>
        <v>0.005</v>
      </c>
    </row>
    <row r="7">
      <c r="B7" s="1" t="s">
        <v>4</v>
      </c>
      <c r="G7" s="1" t="s">
        <v>5</v>
      </c>
      <c r="L7" s="5" t="s">
        <v>6</v>
      </c>
      <c r="M7" s="2"/>
      <c r="N7" s="2"/>
    </row>
    <row r="8">
      <c r="L8" s="2"/>
      <c r="M8" s="2"/>
      <c r="N8" s="2"/>
    </row>
    <row r="9">
      <c r="B9" s="1" t="s">
        <v>7</v>
      </c>
      <c r="C9" s="1" t="s">
        <v>8</v>
      </c>
      <c r="D9" s="1" t="s">
        <v>9</v>
      </c>
      <c r="G9" s="1" t="s">
        <v>7</v>
      </c>
      <c r="H9" s="1" t="s">
        <v>8</v>
      </c>
      <c r="I9" s="1" t="s">
        <v>9</v>
      </c>
      <c r="L9" s="2" t="s">
        <v>7</v>
      </c>
      <c r="M9" s="2" t="s">
        <v>8</v>
      </c>
      <c r="N9" s="1" t="s">
        <v>9</v>
      </c>
    </row>
    <row r="10">
      <c r="B10" s="1">
        <v>1.0</v>
      </c>
      <c r="C10" s="4">
        <f>7-3.5</f>
        <v>3.5</v>
      </c>
      <c r="D10" s="4">
        <f t="shared" ref="D10:D14" si="1">(C10-$C$15)^2</f>
        <v>0.0196</v>
      </c>
      <c r="G10" s="1">
        <v>1.0</v>
      </c>
      <c r="H10" s="1">
        <v>3.5</v>
      </c>
      <c r="I10" s="4">
        <f t="shared" ref="I10:I14" si="2">(H10-$H$15)^2</f>
        <v>0.0676</v>
      </c>
      <c r="J10" s="1">
        <v>2.9</v>
      </c>
      <c r="L10" s="3">
        <v>1.0</v>
      </c>
      <c r="M10" s="3">
        <f>6.1-3.5</f>
        <v>2.6</v>
      </c>
      <c r="N10" s="4">
        <f t="shared" ref="N10:N14" si="3">(M10-$M$15)^2</f>
        <v>0.0036</v>
      </c>
    </row>
    <row r="11">
      <c r="B11" s="1">
        <v>2.0</v>
      </c>
      <c r="C11" s="4">
        <f>6.9-3.1</f>
        <v>3.8</v>
      </c>
      <c r="D11" s="4">
        <f t="shared" si="1"/>
        <v>0.0256</v>
      </c>
      <c r="G11" s="1">
        <v>2.0</v>
      </c>
      <c r="H11" s="4">
        <f>6.2-3.1</f>
        <v>3.1</v>
      </c>
      <c r="I11" s="4">
        <f t="shared" si="2"/>
        <v>0.0196</v>
      </c>
      <c r="L11" s="3">
        <v>2.0</v>
      </c>
      <c r="M11" s="3">
        <f>6.5-3.8</f>
        <v>2.7</v>
      </c>
      <c r="N11" s="4">
        <f t="shared" si="3"/>
        <v>0.0256</v>
      </c>
    </row>
    <row r="12">
      <c r="B12" s="1">
        <v>3.0</v>
      </c>
      <c r="C12" s="4">
        <f t="shared" ref="C12:C13" si="4">6.9-3.4</f>
        <v>3.5</v>
      </c>
      <c r="D12" s="4">
        <f t="shared" si="1"/>
        <v>0.0196</v>
      </c>
      <c r="G12" s="1">
        <v>3.0</v>
      </c>
      <c r="H12" s="1">
        <v>3.3</v>
      </c>
      <c r="I12" s="4">
        <f t="shared" si="2"/>
        <v>0.0036</v>
      </c>
      <c r="J12" s="1">
        <v>3.8</v>
      </c>
      <c r="L12" s="3">
        <v>3.0</v>
      </c>
      <c r="M12" s="3">
        <f>6.4-3.9</f>
        <v>2.5</v>
      </c>
      <c r="N12" s="4">
        <f t="shared" si="3"/>
        <v>0.0016</v>
      </c>
    </row>
    <row r="13">
      <c r="B13" s="1">
        <v>4.0</v>
      </c>
      <c r="C13" s="4">
        <f t="shared" si="4"/>
        <v>3.5</v>
      </c>
      <c r="D13" s="4">
        <f t="shared" si="1"/>
        <v>0.0196</v>
      </c>
      <c r="G13" s="1">
        <v>4.0</v>
      </c>
      <c r="H13" s="4">
        <f>6.6-3.3</f>
        <v>3.3</v>
      </c>
      <c r="I13" s="4">
        <f t="shared" si="2"/>
        <v>0.0036</v>
      </c>
      <c r="L13" s="3">
        <v>4.0</v>
      </c>
      <c r="M13" s="3">
        <f>6.2-3.7</f>
        <v>2.5</v>
      </c>
      <c r="N13" s="4">
        <f t="shared" si="3"/>
        <v>0.0016</v>
      </c>
    </row>
    <row r="14">
      <c r="B14" s="1">
        <v>5.0</v>
      </c>
      <c r="C14" s="4">
        <f>7.2-3.3</f>
        <v>3.9</v>
      </c>
      <c r="D14" s="4">
        <f t="shared" si="1"/>
        <v>0.0676</v>
      </c>
      <c r="E14" s="1" t="s">
        <v>10</v>
      </c>
      <c r="G14" s="1">
        <v>5.0</v>
      </c>
      <c r="H14" s="4">
        <f>6.2-3.2</f>
        <v>3</v>
      </c>
      <c r="I14" s="4">
        <f t="shared" si="2"/>
        <v>0.0576</v>
      </c>
      <c r="J14" s="1" t="s">
        <v>10</v>
      </c>
      <c r="L14" s="3">
        <v>5.0</v>
      </c>
      <c r="M14" s="3">
        <f>6.1-3.7</f>
        <v>2.4</v>
      </c>
      <c r="N14" s="4">
        <f t="shared" si="3"/>
        <v>0.0196</v>
      </c>
      <c r="O14" s="1" t="s">
        <v>11</v>
      </c>
    </row>
    <row r="15">
      <c r="C15" s="4">
        <f>AVERAGE(C10:C14)</f>
        <v>3.64</v>
      </c>
      <c r="D15" s="4">
        <f>SQRT(SUM(D10:D14)/5*4)</f>
        <v>0.3487119155</v>
      </c>
      <c r="E15" s="4">
        <f>D15/C15</f>
        <v>0.09579997678</v>
      </c>
      <c r="F15" s="1"/>
      <c r="H15" s="4">
        <f>AVERAGE(H10:H14)</f>
        <v>3.24</v>
      </c>
      <c r="I15" s="4">
        <f>SQRT(SUM(I10:I14)/5*4)</f>
        <v>0.3487119155</v>
      </c>
      <c r="J15" s="1">
        <f>I15/H15</f>
        <v>0.1076271344</v>
      </c>
      <c r="M15" s="4">
        <f>AVERAGE(M10:M14)</f>
        <v>2.54</v>
      </c>
      <c r="N15" s="4">
        <f>SQRT(SUM(N10:N14)/5*4)</f>
        <v>0.2039607805</v>
      </c>
      <c r="O15" s="4">
        <f>N15/M15</f>
        <v>0.0802995199</v>
      </c>
    </row>
    <row r="16">
      <c r="B16" s="1" t="s">
        <v>12</v>
      </c>
      <c r="C16" s="4">
        <f>$C$2/2*$C$3*$C$4*C15/2</f>
        <v>50.10879428</v>
      </c>
      <c r="G16" s="1" t="s">
        <v>12</v>
      </c>
      <c r="H16" s="4">
        <f>$C$2/2*$C$3*$C$4*H15/2</f>
        <v>44.60233337</v>
      </c>
      <c r="L16" s="1" t="s">
        <v>12</v>
      </c>
      <c r="M16" s="4">
        <f>$C$2/2*$C$3*$C$4*M15/2</f>
        <v>34.96602678</v>
      </c>
    </row>
    <row r="17">
      <c r="B17" s="6" t="s">
        <v>13</v>
      </c>
      <c r="C17" s="4">
        <f>$D$2/$C$2+$D$3/$C$3+$D$4/$C$4 + D15/C15</f>
        <v>0.09769926476</v>
      </c>
      <c r="G17" s="6" t="s">
        <v>13</v>
      </c>
      <c r="H17" s="4">
        <f>$D$2/$C$2+$D$3/$C$3+$D$4/$C$4 + I15/H15</f>
        <v>0.1095264224</v>
      </c>
      <c r="L17" s="6" t="s">
        <v>13</v>
      </c>
      <c r="M17" s="4">
        <f>$D$2/$C$2+$D$3/$C$3+$D$4/$C$4 + N15/M15</f>
        <v>0.08219880788</v>
      </c>
    </row>
    <row r="18">
      <c r="B18" s="1" t="s">
        <v>14</v>
      </c>
      <c r="C18" s="4">
        <f>C16*C17</f>
        <v>4.895592359</v>
      </c>
      <c r="G18" s="1" t="s">
        <v>14</v>
      </c>
      <c r="H18" s="4">
        <f>H16*H17</f>
        <v>4.885134004</v>
      </c>
      <c r="L18" s="1" t="s">
        <v>14</v>
      </c>
      <c r="M18" s="4">
        <f>M16*M17</f>
        <v>2.874165717</v>
      </c>
    </row>
    <row r="20">
      <c r="B20" s="1" t="s">
        <v>15</v>
      </c>
      <c r="G20" s="1" t="s">
        <v>16</v>
      </c>
      <c r="L20" s="1" t="s">
        <v>17</v>
      </c>
    </row>
    <row r="22">
      <c r="B22" s="1" t="s">
        <v>7</v>
      </c>
      <c r="C22" s="1" t="s">
        <v>8</v>
      </c>
      <c r="D22" s="1" t="s">
        <v>9</v>
      </c>
      <c r="G22" s="1" t="s">
        <v>7</v>
      </c>
      <c r="H22" s="1" t="s">
        <v>8</v>
      </c>
      <c r="I22" s="1" t="s">
        <v>9</v>
      </c>
      <c r="L22" s="1" t="s">
        <v>7</v>
      </c>
      <c r="M22" s="1" t="s">
        <v>8</v>
      </c>
      <c r="N22" s="1" t="s">
        <v>9</v>
      </c>
    </row>
    <row r="23">
      <c r="B23" s="1">
        <v>1.0</v>
      </c>
      <c r="C23" s="4">
        <f>6-3.9</f>
        <v>2.1</v>
      </c>
      <c r="D23" s="4">
        <f t="shared" ref="D23:D27" si="5">(C23-$C$28)^2</f>
        <v>0.0784</v>
      </c>
      <c r="G23" s="1">
        <v>1.0</v>
      </c>
      <c r="H23" s="1">
        <v>2.1</v>
      </c>
      <c r="I23" s="4">
        <f t="shared" ref="I23:I27" si="6">(H23-$H$28)^2</f>
        <v>0.0144</v>
      </c>
      <c r="J23" s="1">
        <v>2.6</v>
      </c>
      <c r="L23" s="1">
        <v>1.0</v>
      </c>
      <c r="M23" s="4">
        <f>6.5-3.9</f>
        <v>2.6</v>
      </c>
      <c r="N23" s="4">
        <f t="shared" ref="N23:N27" si="7">(M23-$M$28)^2</f>
        <v>0.0576</v>
      </c>
      <c r="O23" s="4">
        <f>6.3-4.2-0.1</f>
        <v>2</v>
      </c>
    </row>
    <row r="24">
      <c r="B24" s="1">
        <v>2.0</v>
      </c>
      <c r="C24" s="4">
        <f>6.4-4</f>
        <v>2.4</v>
      </c>
      <c r="D24" s="4">
        <f t="shared" si="5"/>
        <v>0.0004</v>
      </c>
      <c r="G24" s="1">
        <v>2.0</v>
      </c>
      <c r="H24" s="4">
        <f>6.4-4.1</f>
        <v>2.3</v>
      </c>
      <c r="I24" s="4">
        <f t="shared" si="6"/>
        <v>0.0064</v>
      </c>
      <c r="L24" s="1">
        <v>2.0</v>
      </c>
      <c r="M24" s="4">
        <f>6.1-3.8</f>
        <v>2.3</v>
      </c>
      <c r="N24" s="4">
        <f t="shared" si="7"/>
        <v>0.0036</v>
      </c>
    </row>
    <row r="25">
      <c r="B25" s="1">
        <v>3.0</v>
      </c>
      <c r="C25" s="4">
        <f>6.5-3.9</f>
        <v>2.6</v>
      </c>
      <c r="D25" s="4">
        <f t="shared" si="5"/>
        <v>0.0484</v>
      </c>
      <c r="G25" s="1">
        <v>3.0</v>
      </c>
      <c r="H25" s="4">
        <f>6.3-4.2</f>
        <v>2.1</v>
      </c>
      <c r="I25" s="4">
        <f t="shared" si="6"/>
        <v>0.0144</v>
      </c>
      <c r="L25" s="1">
        <v>3.0</v>
      </c>
      <c r="M25" s="1">
        <v>2.4</v>
      </c>
      <c r="N25" s="4">
        <f t="shared" si="7"/>
        <v>0.0016</v>
      </c>
      <c r="O25" s="1">
        <v>3.2</v>
      </c>
    </row>
    <row r="26">
      <c r="B26" s="1">
        <v>4.0</v>
      </c>
      <c r="C26" s="4">
        <f>6.4-4</f>
        <v>2.4</v>
      </c>
      <c r="D26" s="4">
        <f t="shared" si="5"/>
        <v>0.0004</v>
      </c>
      <c r="E26" s="1">
        <v>3.0</v>
      </c>
      <c r="F26" s="1"/>
      <c r="G26" s="1">
        <v>4.0</v>
      </c>
      <c r="H26" s="4">
        <f t="shared" ref="H26:H27" si="8">6.4-4.1</f>
        <v>2.3</v>
      </c>
      <c r="I26" s="4">
        <f t="shared" si="6"/>
        <v>0.0064</v>
      </c>
      <c r="L26" s="1">
        <v>4.0</v>
      </c>
      <c r="M26" s="1">
        <v>2.3</v>
      </c>
      <c r="N26" s="4">
        <f t="shared" si="7"/>
        <v>0.0036</v>
      </c>
      <c r="O26" s="1">
        <v>1.9</v>
      </c>
    </row>
    <row r="27">
      <c r="B27" s="1">
        <v>5.0</v>
      </c>
      <c r="C27" s="4">
        <f>6.1-3.7</f>
        <v>2.4</v>
      </c>
      <c r="D27" s="4">
        <f t="shared" si="5"/>
        <v>0.0004</v>
      </c>
      <c r="E27" s="1" t="s">
        <v>11</v>
      </c>
      <c r="G27" s="1">
        <v>5.0</v>
      </c>
      <c r="H27" s="4">
        <f t="shared" si="8"/>
        <v>2.3</v>
      </c>
      <c r="I27" s="4">
        <f t="shared" si="6"/>
        <v>0.0064</v>
      </c>
      <c r="J27" s="1" t="s">
        <v>11</v>
      </c>
      <c r="L27" s="1">
        <v>5.0</v>
      </c>
      <c r="M27" s="4">
        <f>6.3-4.1</f>
        <v>2.2</v>
      </c>
      <c r="N27" s="4">
        <f t="shared" si="7"/>
        <v>0.0256</v>
      </c>
    </row>
    <row r="28">
      <c r="C28" s="4">
        <f>AVERAGE(C23:C27)</f>
        <v>2.38</v>
      </c>
      <c r="D28" s="4">
        <f>SQRT(SUM(D23:D27)/5*4)</f>
        <v>0.32</v>
      </c>
      <c r="E28" s="4">
        <f>D28/C28</f>
        <v>0.1344537815</v>
      </c>
      <c r="F28" s="1"/>
      <c r="H28" s="4">
        <f>AVERAGE(H23:H27)</f>
        <v>2.22</v>
      </c>
      <c r="I28" s="4">
        <f>SQRT(SUM(I23:I27)/5*4)</f>
        <v>0.1959591794</v>
      </c>
      <c r="J28" s="4">
        <f>I28/H28</f>
        <v>0.08826990064</v>
      </c>
      <c r="M28" s="4">
        <f>AVERAGE(M23:M27)</f>
        <v>2.36</v>
      </c>
      <c r="N28" s="4">
        <f>SQRT(SUM(N23:N27)/5*4)</f>
        <v>0.2712931993</v>
      </c>
      <c r="O28" s="1">
        <f>N28/M28</f>
        <v>0.1149547455</v>
      </c>
    </row>
    <row r="29">
      <c r="B29" s="1" t="s">
        <v>12</v>
      </c>
      <c r="C29" s="4">
        <f>$C$2/2*$C$3*$C$4*C28/2</f>
        <v>32.76344241</v>
      </c>
      <c r="G29" s="1" t="s">
        <v>12</v>
      </c>
      <c r="H29" s="4">
        <f>$C$2/2*$C$3*$C$4*H28/2</f>
        <v>30.56085805</v>
      </c>
      <c r="L29" s="1" t="s">
        <v>12</v>
      </c>
      <c r="M29" s="4">
        <f>$C$2/2*$C$3*$C$4*M28/2</f>
        <v>32.48811937</v>
      </c>
    </row>
    <row r="30">
      <c r="B30" s="7" t="s">
        <v>13</v>
      </c>
      <c r="C30" s="4">
        <f>$D$2/$C$2+$D$3/$C$3+$D$4/$C$4 + D28/C28</f>
        <v>0.1363530695</v>
      </c>
      <c r="G30" s="7" t="s">
        <v>13</v>
      </c>
      <c r="H30" s="4">
        <f>$D$2/$C$2+$D$3/$C$3+$D$4/$C$4 + I28/H28</f>
        <v>0.09016918862</v>
      </c>
      <c r="L30" s="7" t="s">
        <v>13</v>
      </c>
      <c r="M30" s="4">
        <f>$D$2/$C$2+$D$3/$C$3+$D$4/$C$4 + N28/M28</f>
        <v>0.1168540335</v>
      </c>
    </row>
    <row r="31">
      <c r="B31" s="2" t="s">
        <v>14</v>
      </c>
      <c r="C31" s="3">
        <f>C29*C30</f>
        <v>4.46739594</v>
      </c>
      <c r="G31" s="2" t="s">
        <v>14</v>
      </c>
      <c r="H31" s="3">
        <f>H29*H30</f>
        <v>2.755647774</v>
      </c>
      <c r="L31" s="2" t="s">
        <v>14</v>
      </c>
      <c r="M31" s="3">
        <f>M29*M30</f>
        <v>3.796367788</v>
      </c>
    </row>
    <row r="33">
      <c r="B33" s="1" t="s">
        <v>18</v>
      </c>
    </row>
    <row r="35">
      <c r="B35" s="1" t="s">
        <v>7</v>
      </c>
      <c r="C35" s="1" t="s">
        <v>8</v>
      </c>
      <c r="D35" s="1" t="s">
        <v>9</v>
      </c>
    </row>
    <row r="36">
      <c r="B36" s="1">
        <v>1.0</v>
      </c>
      <c r="C36" s="4">
        <f>7.2-2.8</f>
        <v>4.4</v>
      </c>
      <c r="D36" s="4">
        <f t="shared" ref="D36:D40" si="9">(C36-$C$41)^2</f>
        <v>0.1936</v>
      </c>
      <c r="E36" s="4">
        <f>7.8-2.2</f>
        <v>5.6</v>
      </c>
    </row>
    <row r="37">
      <c r="B37" s="1">
        <v>2.0</v>
      </c>
      <c r="C37" s="4">
        <f>7.2-2.7</f>
        <v>4.5</v>
      </c>
      <c r="D37" s="4">
        <f t="shared" si="9"/>
        <v>0.1156</v>
      </c>
      <c r="E37" s="4">
        <f>7.7-2.1</f>
        <v>5.6</v>
      </c>
    </row>
    <row r="38">
      <c r="B38" s="1">
        <v>3.0</v>
      </c>
      <c r="C38" s="4">
        <f>7.8-2.6</f>
        <v>5.2</v>
      </c>
      <c r="D38" s="4">
        <f t="shared" si="9"/>
        <v>0.1296</v>
      </c>
    </row>
    <row r="39">
      <c r="B39" s="1">
        <v>4.0</v>
      </c>
      <c r="C39" s="4">
        <f>7.7-2.7</f>
        <v>5</v>
      </c>
      <c r="D39" s="4">
        <f t="shared" si="9"/>
        <v>0.0256</v>
      </c>
    </row>
    <row r="40">
      <c r="B40" s="1">
        <v>5.0</v>
      </c>
      <c r="C40" s="4">
        <f>7.7-2.6</f>
        <v>5.1</v>
      </c>
      <c r="D40" s="4">
        <f t="shared" si="9"/>
        <v>0.0676</v>
      </c>
    </row>
    <row r="41">
      <c r="C41" s="4">
        <f>AVERAGE(C36:C40)</f>
        <v>4.84</v>
      </c>
      <c r="D41" s="4">
        <f>SQRT(SUM(D36:D40)/5*4)</f>
        <v>0.6523802572</v>
      </c>
      <c r="E41" s="1" t="s">
        <v>14</v>
      </c>
      <c r="F41" s="1"/>
    </row>
    <row r="42">
      <c r="B42" s="1" t="s">
        <v>12</v>
      </c>
      <c r="C42" s="4">
        <f>$C$2/2*$C$3*$C$4*C41/2</f>
        <v>66.62817701</v>
      </c>
    </row>
    <row r="43">
      <c r="B43" s="7" t="s">
        <v>13</v>
      </c>
      <c r="C43" s="4">
        <f>$D$2/$C$2+$D$3/$C$3+$D$4/$C$4 + D41/C41</f>
        <v>0.1366885973</v>
      </c>
    </row>
    <row r="44">
      <c r="B44" s="2" t="s">
        <v>14</v>
      </c>
      <c r="C44" s="3">
        <f>C42*C43</f>
        <v>9.107312057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/>
      <c r="D1" s="1" t="s">
        <v>0</v>
      </c>
    </row>
    <row r="2">
      <c r="B2" s="1" t="s">
        <v>1</v>
      </c>
      <c r="C2" s="1">
        <f>0.563*10^-2</f>
        <v>0.00563</v>
      </c>
      <c r="D2" s="1">
        <f>0.0005*10^-2</f>
        <v>0.000005</v>
      </c>
      <c r="F2" s="4">
        <f>C2/2*C3*C4/2</f>
        <v>13.76615228</v>
      </c>
    </row>
    <row r="3">
      <c r="B3" s="2" t="s">
        <v>2</v>
      </c>
      <c r="C3" s="3">
        <v>997.0</v>
      </c>
      <c r="D3" s="4">
        <f>0.5</f>
        <v>0.5</v>
      </c>
    </row>
    <row r="4">
      <c r="B4" s="1" t="s">
        <v>3</v>
      </c>
      <c r="C4" s="1">
        <v>9.81</v>
      </c>
      <c r="D4" s="4">
        <f>0.005</f>
        <v>0.005</v>
      </c>
    </row>
    <row r="7">
      <c r="B7" s="1" t="s">
        <v>4</v>
      </c>
      <c r="G7" s="1" t="s">
        <v>5</v>
      </c>
      <c r="L7" s="5" t="s">
        <v>6</v>
      </c>
      <c r="M7" s="2"/>
      <c r="N7" s="2"/>
    </row>
    <row r="8">
      <c r="L8" s="2"/>
      <c r="M8" s="2"/>
      <c r="N8" s="2"/>
    </row>
    <row r="9">
      <c r="B9" s="1" t="s">
        <v>7</v>
      </c>
      <c r="C9" s="1" t="s">
        <v>19</v>
      </c>
      <c r="D9" s="1" t="s">
        <v>9</v>
      </c>
      <c r="G9" s="1" t="s">
        <v>7</v>
      </c>
      <c r="H9" s="1" t="s">
        <v>19</v>
      </c>
      <c r="I9" s="1" t="s">
        <v>9</v>
      </c>
      <c r="L9" s="2" t="s">
        <v>7</v>
      </c>
      <c r="M9" s="2" t="s">
        <v>8</v>
      </c>
      <c r="N9" s="1" t="s">
        <v>9</v>
      </c>
    </row>
    <row r="10">
      <c r="B10" s="1">
        <v>1.0</v>
      </c>
      <c r="C10" s="4">
        <f>'задача 1'!C10*10^-2</f>
        <v>0.035</v>
      </c>
      <c r="D10" s="4">
        <f t="shared" ref="D10:D14" si="1">(C10-$C$15)^2</f>
        <v>0.00000196</v>
      </c>
      <c r="G10" s="1">
        <v>1.0</v>
      </c>
      <c r="H10" s="1">
        <f>'задача 1'!H10*10^-2</f>
        <v>0.035</v>
      </c>
      <c r="I10" s="4">
        <f t="shared" ref="I10:I14" si="2">(H10-$H$15)^2</f>
        <v>0.00000676</v>
      </c>
      <c r="J10" s="1">
        <v>2.9</v>
      </c>
      <c r="L10" s="3">
        <v>1.0</v>
      </c>
      <c r="M10" s="4">
        <f>'задача 1'!M10*10^-2</f>
        <v>0.026</v>
      </c>
      <c r="N10" s="4">
        <f t="shared" ref="N10:N14" si="3">(M10-$M$15)^2</f>
        <v>0.00000036</v>
      </c>
    </row>
    <row r="11">
      <c r="B11" s="1">
        <v>2.0</v>
      </c>
      <c r="C11" s="4">
        <f>'задача 1'!C11*10^-2</f>
        <v>0.038</v>
      </c>
      <c r="D11" s="4">
        <f t="shared" si="1"/>
        <v>0.00000256</v>
      </c>
      <c r="G11" s="1">
        <v>2.0</v>
      </c>
      <c r="H11" s="1">
        <f>'задача 1'!H11*10^-2</f>
        <v>0.031</v>
      </c>
      <c r="I11" s="4">
        <f t="shared" si="2"/>
        <v>0.00000196</v>
      </c>
      <c r="L11" s="3">
        <v>2.0</v>
      </c>
      <c r="M11" s="4">
        <f>'задача 1'!M11*10^-2</f>
        <v>0.027</v>
      </c>
      <c r="N11" s="4">
        <f t="shared" si="3"/>
        <v>0.00000256</v>
      </c>
    </row>
    <row r="12">
      <c r="B12" s="1">
        <v>3.0</v>
      </c>
      <c r="C12" s="4">
        <f>'задача 1'!C12*10^-2</f>
        <v>0.035</v>
      </c>
      <c r="D12" s="4">
        <f t="shared" si="1"/>
        <v>0.00000196</v>
      </c>
      <c r="G12" s="1">
        <v>3.0</v>
      </c>
      <c r="H12" s="1">
        <f>'задача 1'!H12*10^-2</f>
        <v>0.033</v>
      </c>
      <c r="I12" s="4">
        <f t="shared" si="2"/>
        <v>0.00000036</v>
      </c>
      <c r="J12" s="1">
        <v>3.8</v>
      </c>
      <c r="L12" s="3">
        <v>3.0</v>
      </c>
      <c r="M12" s="4">
        <f>'задача 1'!M12*10^-2</f>
        <v>0.025</v>
      </c>
      <c r="N12" s="4">
        <f t="shared" si="3"/>
        <v>0.00000016</v>
      </c>
    </row>
    <row r="13">
      <c r="B13" s="1">
        <v>4.0</v>
      </c>
      <c r="C13" s="4">
        <f>'задача 1'!C13*10^-2</f>
        <v>0.035</v>
      </c>
      <c r="D13" s="4">
        <f t="shared" si="1"/>
        <v>0.00000196</v>
      </c>
      <c r="G13" s="1">
        <v>4.0</v>
      </c>
      <c r="H13" s="1">
        <f>'задача 1'!H13*10^-2</f>
        <v>0.033</v>
      </c>
      <c r="I13" s="4">
        <f t="shared" si="2"/>
        <v>0.00000036</v>
      </c>
      <c r="L13" s="3">
        <v>4.0</v>
      </c>
      <c r="M13" s="4">
        <f>'задача 1'!M13*10^-2</f>
        <v>0.025</v>
      </c>
      <c r="N13" s="4">
        <f t="shared" si="3"/>
        <v>0.00000016</v>
      </c>
    </row>
    <row r="14">
      <c r="B14" s="1">
        <v>5.0</v>
      </c>
      <c r="C14" s="4">
        <f>'задача 1'!C14*10^-2</f>
        <v>0.039</v>
      </c>
      <c r="D14" s="4">
        <f t="shared" si="1"/>
        <v>0.00000676</v>
      </c>
      <c r="E14" s="1" t="s">
        <v>10</v>
      </c>
      <c r="G14" s="1">
        <v>5.0</v>
      </c>
      <c r="H14" s="1">
        <f>'задача 1'!H14*10^-2</f>
        <v>0.03</v>
      </c>
      <c r="I14" s="4">
        <f t="shared" si="2"/>
        <v>0.00000576</v>
      </c>
      <c r="J14" s="1" t="s">
        <v>10</v>
      </c>
      <c r="L14" s="3">
        <v>5.0</v>
      </c>
      <c r="M14" s="4">
        <f>'задача 1'!M14*10^-2</f>
        <v>0.024</v>
      </c>
      <c r="N14" s="4">
        <f t="shared" si="3"/>
        <v>0.00000196</v>
      </c>
      <c r="O14" s="1" t="s">
        <v>11</v>
      </c>
    </row>
    <row r="15">
      <c r="C15" s="4">
        <f>AVERAGE(C10:C14)</f>
        <v>0.0364</v>
      </c>
      <c r="D15" s="4">
        <f>SQRT(SUM(D10:D14)/5*4)</f>
        <v>0.003487119155</v>
      </c>
      <c r="E15" s="4">
        <f>D15/C15</f>
        <v>0.09579997678</v>
      </c>
      <c r="H15" s="4">
        <f>AVERAGE(H10:H14)</f>
        <v>0.0324</v>
      </c>
      <c r="I15" s="4">
        <f>SQRT(SUM(I10:I14)/5*4)</f>
        <v>0.003487119155</v>
      </c>
      <c r="J15" s="1">
        <f>I15/H15</f>
        <v>0.1076271344</v>
      </c>
      <c r="M15" s="4">
        <f>AVERAGE(M10:M14)</f>
        <v>0.0254</v>
      </c>
      <c r="N15" s="4">
        <f>SQRT(SUM(N10:N14)/5*4)</f>
        <v>0.002039607805</v>
      </c>
      <c r="O15" s="4">
        <f>N15/M15</f>
        <v>0.0802995199</v>
      </c>
    </row>
    <row r="16">
      <c r="B16" s="1" t="s">
        <v>12</v>
      </c>
      <c r="C16" s="4">
        <f>$C$2/2*$C$3*$C$4*C15/2</f>
        <v>0.5010879428</v>
      </c>
      <c r="G16" s="1" t="s">
        <v>12</v>
      </c>
      <c r="H16" s="4">
        <f>$C$2/2*$C$3*$C$4*H15/2</f>
        <v>0.4460233337</v>
      </c>
      <c r="L16" s="1" t="s">
        <v>12</v>
      </c>
      <c r="M16" s="4">
        <f>$C$2/2*$C$3*$C$4*M15/2</f>
        <v>0.3496602678</v>
      </c>
    </row>
    <row r="17">
      <c r="B17" s="6" t="s">
        <v>13</v>
      </c>
      <c r="C17" s="4">
        <f>$D$2/$C$2+$D$3/$C$3+$D$4/$C$4 + D15/C15</f>
        <v>0.09769926476</v>
      </c>
      <c r="G17" s="6" t="s">
        <v>13</v>
      </c>
      <c r="H17" s="4">
        <f>$D$2/$C$2+$D$3/$C$3+$D$4/$C$4 + I15/H15</f>
        <v>0.1095264224</v>
      </c>
      <c r="L17" s="6" t="s">
        <v>13</v>
      </c>
      <c r="M17" s="4">
        <f>$D$2/$C$2+$D$3/$C$3+$D$4/$C$4 + N15/M15</f>
        <v>0.08219880788</v>
      </c>
    </row>
    <row r="18">
      <c r="B18" s="1" t="s">
        <v>14</v>
      </c>
      <c r="C18" s="4">
        <f>C16*C17</f>
        <v>0.04895592359</v>
      </c>
      <c r="G18" s="1" t="s">
        <v>14</v>
      </c>
      <c r="H18" s="4">
        <f>H16*H17</f>
        <v>0.04885134004</v>
      </c>
      <c r="L18" s="1" t="s">
        <v>14</v>
      </c>
      <c r="M18" s="4">
        <f>M16*M17</f>
        <v>0.02874165717</v>
      </c>
    </row>
    <row r="19">
      <c r="B19" s="4" t="str">
        <f>'задача 1'!B19</f>
        <v/>
      </c>
      <c r="C19" s="4" t="str">
        <f>'задача 1'!C19</f>
        <v/>
      </c>
      <c r="D19" s="4" t="str">
        <f>'задача 1'!D19</f>
        <v/>
      </c>
      <c r="E19" s="4" t="str">
        <f>'задача 1'!E19</f>
        <v/>
      </c>
    </row>
    <row r="20">
      <c r="B20" s="1" t="s">
        <v>15</v>
      </c>
      <c r="G20" s="1" t="s">
        <v>16</v>
      </c>
      <c r="L20" s="1" t="s">
        <v>17</v>
      </c>
    </row>
    <row r="22">
      <c r="B22" s="1" t="s">
        <v>7</v>
      </c>
      <c r="C22" s="1" t="s">
        <v>8</v>
      </c>
      <c r="D22" s="1" t="s">
        <v>9</v>
      </c>
      <c r="G22" s="1" t="s">
        <v>7</v>
      </c>
      <c r="H22" s="1" t="s">
        <v>8</v>
      </c>
      <c r="I22" s="1" t="s">
        <v>9</v>
      </c>
      <c r="L22" s="1" t="s">
        <v>7</v>
      </c>
      <c r="M22" s="1" t="s">
        <v>8</v>
      </c>
      <c r="N22" s="1" t="s">
        <v>9</v>
      </c>
    </row>
    <row r="23">
      <c r="B23" s="1">
        <v>1.0</v>
      </c>
      <c r="C23" s="4">
        <f>'задача 1'!C23*10^-2</f>
        <v>0.021</v>
      </c>
      <c r="D23" s="4">
        <f t="shared" ref="D23:D27" si="4">(C23-$C$28)^2</f>
        <v>0.00000784</v>
      </c>
      <c r="G23" s="1">
        <v>1.0</v>
      </c>
      <c r="H23" s="1">
        <f>'задача 1'!H23*10^-2</f>
        <v>0.021</v>
      </c>
      <c r="I23" s="4">
        <f t="shared" ref="I23:I27" si="5">(H23-$H$28)^2</f>
        <v>0.00000144</v>
      </c>
      <c r="J23" s="1">
        <v>2.6</v>
      </c>
      <c r="L23" s="1">
        <v>1.0</v>
      </c>
      <c r="M23" s="4">
        <f>'задача 1'!M23*10^-2</f>
        <v>0.026</v>
      </c>
      <c r="N23" s="4">
        <f t="shared" ref="N23:N27" si="6">(M23-$M$28)^2</f>
        <v>0.00000576</v>
      </c>
      <c r="O23" s="4">
        <f>6.3-4.2-0.1</f>
        <v>2</v>
      </c>
    </row>
    <row r="24">
      <c r="B24" s="1">
        <v>2.0</v>
      </c>
      <c r="C24" s="4">
        <f>'задача 1'!C24*10^-2</f>
        <v>0.024</v>
      </c>
      <c r="D24" s="4">
        <f t="shared" si="4"/>
        <v>0.00000004</v>
      </c>
      <c r="G24" s="1">
        <v>2.0</v>
      </c>
      <c r="H24" s="1">
        <f>'задача 1'!H24*10^-2</f>
        <v>0.023</v>
      </c>
      <c r="I24" s="4">
        <f t="shared" si="5"/>
        <v>0.00000064</v>
      </c>
      <c r="L24" s="1">
        <v>2.0</v>
      </c>
      <c r="M24" s="4">
        <f>'задача 1'!M24*10^-2</f>
        <v>0.023</v>
      </c>
      <c r="N24" s="4">
        <f t="shared" si="6"/>
        <v>0.00000036</v>
      </c>
    </row>
    <row r="25">
      <c r="B25" s="1">
        <v>3.0</v>
      </c>
      <c r="C25" s="4">
        <f>'задача 1'!C25*10^-2</f>
        <v>0.026</v>
      </c>
      <c r="D25" s="4">
        <f t="shared" si="4"/>
        <v>0.00000484</v>
      </c>
      <c r="G25" s="1">
        <v>3.0</v>
      </c>
      <c r="H25" s="1">
        <f>'задача 1'!H25*10^-2</f>
        <v>0.021</v>
      </c>
      <c r="I25" s="4">
        <f t="shared" si="5"/>
        <v>0.00000144</v>
      </c>
      <c r="L25" s="1">
        <v>3.0</v>
      </c>
      <c r="M25" s="4">
        <f>'задача 1'!M25*10^-2</f>
        <v>0.024</v>
      </c>
      <c r="N25" s="4">
        <f t="shared" si="6"/>
        <v>0.00000016</v>
      </c>
      <c r="O25" s="1">
        <v>3.2</v>
      </c>
    </row>
    <row r="26">
      <c r="B26" s="1">
        <v>4.0</v>
      </c>
      <c r="C26" s="4">
        <f>'задача 1'!C26*10^-2</f>
        <v>0.024</v>
      </c>
      <c r="D26" s="4">
        <f t="shared" si="4"/>
        <v>0.00000004</v>
      </c>
      <c r="E26" s="1">
        <v>3.0</v>
      </c>
      <c r="G26" s="1">
        <v>4.0</v>
      </c>
      <c r="H26" s="1">
        <f>'задача 1'!H26*10^-2</f>
        <v>0.023</v>
      </c>
      <c r="I26" s="4">
        <f t="shared" si="5"/>
        <v>0.00000064</v>
      </c>
      <c r="L26" s="1">
        <v>4.0</v>
      </c>
      <c r="M26" s="4">
        <f>'задача 1'!M26*10^-2</f>
        <v>0.023</v>
      </c>
      <c r="N26" s="4">
        <f t="shared" si="6"/>
        <v>0.00000036</v>
      </c>
      <c r="O26" s="1">
        <v>1.9</v>
      </c>
    </row>
    <row r="27">
      <c r="B27" s="1">
        <v>5.0</v>
      </c>
      <c r="C27" s="4">
        <f>'задача 1'!C27*10^-2</f>
        <v>0.024</v>
      </c>
      <c r="D27" s="4">
        <f t="shared" si="4"/>
        <v>0.00000004</v>
      </c>
      <c r="E27" s="1" t="s">
        <v>11</v>
      </c>
      <c r="G27" s="1">
        <v>5.0</v>
      </c>
      <c r="H27" s="1">
        <f>'задача 1'!H27*10^-2</f>
        <v>0.023</v>
      </c>
      <c r="I27" s="4">
        <f t="shared" si="5"/>
        <v>0.00000064</v>
      </c>
      <c r="J27" s="1" t="s">
        <v>11</v>
      </c>
      <c r="L27" s="1">
        <v>5.0</v>
      </c>
      <c r="M27" s="4">
        <f>'задача 1'!M27*10^-2</f>
        <v>0.022</v>
      </c>
      <c r="N27" s="4">
        <f t="shared" si="6"/>
        <v>0.00000256</v>
      </c>
    </row>
    <row r="28">
      <c r="C28" s="4">
        <f>AVERAGE(C23:C27)</f>
        <v>0.0238</v>
      </c>
      <c r="D28" s="4">
        <f>SQRT(SUM(D23:D27)/5*4)</f>
        <v>0.0032</v>
      </c>
      <c r="E28" s="4">
        <f>D28/C28</f>
        <v>0.1344537815</v>
      </c>
      <c r="H28" s="4">
        <f>AVERAGE(H23:H27)</f>
        <v>0.0222</v>
      </c>
      <c r="I28" s="4">
        <f>SQRT(SUM(I23:I27)/5*4)</f>
        <v>0.001959591794</v>
      </c>
      <c r="J28" s="4">
        <f>I28/H28</f>
        <v>0.08826990064</v>
      </c>
      <c r="M28" s="4">
        <f>AVERAGE(M23:M27)</f>
        <v>0.0236</v>
      </c>
      <c r="N28" s="4">
        <f>SQRT(SUM(N23:N27)/5*4)</f>
        <v>0.002712931993</v>
      </c>
      <c r="O28" s="1">
        <f>N28/M28</f>
        <v>0.1149547455</v>
      </c>
    </row>
    <row r="29">
      <c r="B29" s="1" t="s">
        <v>12</v>
      </c>
      <c r="C29" s="4">
        <f>$C$2/2*$C$3*$C$4*C28/2</f>
        <v>0.3276344241</v>
      </c>
      <c r="G29" s="1" t="s">
        <v>12</v>
      </c>
      <c r="H29" s="4">
        <f>$C$2/2*$C$3*$C$4*H28/2</f>
        <v>0.3056085805</v>
      </c>
      <c r="L29" s="1" t="s">
        <v>12</v>
      </c>
      <c r="M29" s="4">
        <f>$C$2/2*$C$3*$C$4*M28/2</f>
        <v>0.3248811937</v>
      </c>
    </row>
    <row r="30">
      <c r="B30" s="7" t="s">
        <v>13</v>
      </c>
      <c r="C30" s="4">
        <f>$D$2/$C$2+$D$3/$C$3+$D$4/$C$4 + D28/C28</f>
        <v>0.1363530695</v>
      </c>
      <c r="G30" s="7" t="s">
        <v>13</v>
      </c>
      <c r="H30" s="4">
        <f>$D$2/$C$2+$D$3/$C$3+$D$4/$C$4 + I28/H28</f>
        <v>0.09016918862</v>
      </c>
      <c r="L30" s="7" t="s">
        <v>13</v>
      </c>
      <c r="M30" s="4">
        <f>$D$2/$C$2+$D$3/$C$3+$D$4/$C$4 + N28/M28</f>
        <v>0.1168540335</v>
      </c>
    </row>
    <row r="31">
      <c r="B31" s="2" t="s">
        <v>14</v>
      </c>
      <c r="C31" s="3">
        <f>C29*C30</f>
        <v>0.0446739594</v>
      </c>
      <c r="G31" s="2" t="s">
        <v>14</v>
      </c>
      <c r="H31" s="3">
        <f>H29*H30</f>
        <v>0.02755647774</v>
      </c>
      <c r="L31" s="2" t="s">
        <v>14</v>
      </c>
      <c r="M31" s="3">
        <f>M29*M30</f>
        <v>0.03796367788</v>
      </c>
    </row>
    <row r="33">
      <c r="B33" s="1" t="s">
        <v>18</v>
      </c>
    </row>
    <row r="35">
      <c r="B35" s="1" t="s">
        <v>7</v>
      </c>
      <c r="C35" s="1" t="s">
        <v>8</v>
      </c>
      <c r="D35" s="1" t="s">
        <v>9</v>
      </c>
    </row>
    <row r="36">
      <c r="B36" s="1">
        <v>1.0</v>
      </c>
      <c r="C36" s="4">
        <f>'задача 1'!C36*10^-2</f>
        <v>0.044</v>
      </c>
      <c r="D36" s="4">
        <f t="shared" ref="D36:D40" si="7">(C36-$C$41)^2</f>
        <v>0.00001936</v>
      </c>
      <c r="E36" s="4">
        <f>7.8-2.2</f>
        <v>5.6</v>
      </c>
    </row>
    <row r="37">
      <c r="B37" s="1">
        <v>2.0</v>
      </c>
      <c r="C37" s="4">
        <f>'задача 1'!C37*10^-2</f>
        <v>0.045</v>
      </c>
      <c r="D37" s="4">
        <f t="shared" si="7"/>
        <v>0.00001156</v>
      </c>
      <c r="E37" s="4">
        <f>7.7-2.1</f>
        <v>5.6</v>
      </c>
    </row>
    <row r="38">
      <c r="B38" s="1">
        <v>3.0</v>
      </c>
      <c r="C38" s="4">
        <f>'задача 1'!C38*10^-2</f>
        <v>0.052</v>
      </c>
      <c r="D38" s="4">
        <f t="shared" si="7"/>
        <v>0.00001296</v>
      </c>
    </row>
    <row r="39">
      <c r="B39" s="1">
        <v>4.0</v>
      </c>
      <c r="C39" s="4">
        <f>'задача 1'!C39*10^-2</f>
        <v>0.05</v>
      </c>
      <c r="D39" s="4">
        <f t="shared" si="7"/>
        <v>0.00000256</v>
      </c>
    </row>
    <row r="40">
      <c r="B40" s="1">
        <v>5.0</v>
      </c>
      <c r="C40" s="4">
        <f>'задача 1'!C40*10^-2</f>
        <v>0.051</v>
      </c>
      <c r="D40" s="4">
        <f t="shared" si="7"/>
        <v>0.00000676</v>
      </c>
    </row>
    <row r="41">
      <c r="C41" s="4">
        <f>AVERAGE(C36:C40)</f>
        <v>0.0484</v>
      </c>
      <c r="D41" s="4">
        <f>SQRT(SUM(D36:D40)/5*4)</f>
        <v>0.006523802572</v>
      </c>
      <c r="E41" s="1" t="s">
        <v>14</v>
      </c>
    </row>
    <row r="42">
      <c r="B42" s="1" t="s">
        <v>12</v>
      </c>
      <c r="C42" s="4">
        <f>$C$2/2*$C$3*$C$4*C41/2</f>
        <v>0.6662817701</v>
      </c>
    </row>
    <row r="43">
      <c r="B43" s="7" t="s">
        <v>13</v>
      </c>
      <c r="C43" s="4">
        <f>$D$2/$C$2+$D$3/$C$3+$D$4/$C$4 + D41/C41</f>
        <v>0.1366885973</v>
      </c>
    </row>
    <row r="44">
      <c r="B44" s="2" t="s">
        <v>14</v>
      </c>
      <c r="C44" s="3">
        <f>C42*C43</f>
        <v>0.09107312057</v>
      </c>
    </row>
  </sheetData>
  <drawing r:id="rId1"/>
</worksheet>
</file>