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 1 Измерване T1 и Т2" sheetId="1" r:id="rId4"/>
    <sheet state="visible" name="охлаждане, цсв" sheetId="2" r:id="rId5"/>
    <sheet state="visible" name="Зад.2 Охлаждане" sheetId="3" r:id="rId6"/>
    <sheet state="visible" name="k pm Delta k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нагревател
</t>
      </text>
    </comment>
    <comment authorId="0" ref="H3">
      <text>
        <t xml:space="preserve">маса на охладителя
</t>
      </text>
    </comment>
    <comment authorId="0" ref="B4">
      <text>
        <t xml:space="preserve">охладител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">
      <text>
        <t xml:space="preserve">AVG(dT_i) * 0.5 s</t>
      </text>
    </comment>
  </commentList>
</comments>
</file>

<file path=xl/sharedStrings.xml><?xml version="1.0" encoding="utf-8"?>
<sst xmlns="http://schemas.openxmlformats.org/spreadsheetml/2006/main" count="66" uniqueCount="56">
  <si>
    <t>T_H (T_1), [\deg C]</t>
  </si>
  <si>
    <t>h, [m]</t>
  </si>
  <si>
    <t>m, [kg]</t>
  </si>
  <si>
    <t>c, J/(kg.K)</t>
  </si>
  <si>
    <t>T_2, [\deg C]</t>
  </si>
  <si>
    <t>d, [m]</t>
  </si>
  <si>
    <t xml:space="preserve">delta m </t>
  </si>
  <si>
    <t>при t, [\deg C]</t>
  </si>
  <si>
    <t>S, [m^2]</t>
  </si>
  <si>
    <t>-</t>
  </si>
  <si>
    <t>N</t>
  </si>
  <si>
    <t>T_2, \deg C</t>
  </si>
  <si>
    <t>dT_i*</t>
  </si>
  <si>
    <t>h</t>
  </si>
  <si>
    <t>d</t>
  </si>
  <si>
    <t>\Delta t</t>
  </si>
  <si>
    <t>10 s</t>
  </si>
  <si>
    <t>\Delta T_ins</t>
  </si>
  <si>
    <t>(dT_i - dT)*^2</t>
  </si>
  <si>
    <t>T_i</t>
  </si>
  <si>
    <t>S</t>
  </si>
  <si>
    <t>S*</t>
  </si>
  <si>
    <t>(dT/dt)_T_2 *, [\deg C/s]</t>
  </si>
  <si>
    <t>(dT/dt)_T_2, [\deg C/s]</t>
  </si>
  <si>
    <t>AVG(dT_i)</t>
  </si>
  <si>
    <t>SUM[(dT_i - dT)^2]/(N-1)</t>
  </si>
  <si>
    <t>sigma^2</t>
  </si>
  <si>
    <t>\Delta T</t>
  </si>
  <si>
    <t>dT \Delta dt</t>
  </si>
  <si>
    <t>dt \Delta dT</t>
  </si>
  <si>
    <t>(dt)^2</t>
  </si>
  <si>
    <t>(dT \Delta dt) * 
(dt \Delta dT) /
((dt)^2)</t>
  </si>
  <si>
    <t>\Delta (dT/dt)</t>
  </si>
  <si>
    <t>c</t>
  </si>
  <si>
    <t>m</t>
  </si>
  <si>
    <t>T1</t>
  </si>
  <si>
    <t>T2</t>
  </si>
  <si>
    <t>dT/dt</t>
  </si>
  <si>
    <t>\Delta d</t>
  </si>
  <si>
    <t>\Delta h</t>
  </si>
  <si>
    <t>h/S</t>
  </si>
  <si>
    <t>C</t>
  </si>
  <si>
    <t>T1-T2</t>
  </si>
  <si>
    <t>k</t>
  </si>
  <si>
    <t>Absolute error k</t>
  </si>
  <si>
    <t>hC/[S(T1-T2)]</t>
  </si>
  <si>
    <t>\Delta T1</t>
  </si>
  <si>
    <t>\Delta T2</t>
  </si>
  <si>
    <t>3/(T1-T2)</t>
  </si>
  <si>
    <t xml:space="preserve">\Delta C </t>
  </si>
  <si>
    <t>\Delta C / C</t>
  </si>
  <si>
    <t>\Delta S</t>
  </si>
  <si>
    <t>S * \Delta h</t>
  </si>
  <si>
    <t>5/S</t>
  </si>
  <si>
    <t>\Delta k</t>
  </si>
  <si>
    <t>\Delta k *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</si>
</sst>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'Зад.2 Охлаждане'!$C$5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9"/>
            <c:marker>
              <c:symbol val="none"/>
            </c:marker>
          </c:dPt>
          <c:xVal>
            <c:numRef>
              <c:f>'Зад.2 Охлаждане'!$B$6:$B$22</c:f>
            </c:numRef>
          </c:xVal>
          <c:yVal>
            <c:numRef>
              <c:f>'Зад.2 Охлаждане'!$C$6:$C$22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8995"/>
        <c:axId val="477492495"/>
      </c:scatterChart>
      <c:valAx>
        <c:axId val="208518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Поредно измерване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492495"/>
      </c:valAx>
      <c:valAx>
        <c:axId val="477492495"/>
        <c:scaling>
          <c:orientation val="minMax"/>
          <c:max val="46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T2, °C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18995"/>
        <c:majorUnit val="0.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35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2">
      <c r="C2" s="1"/>
    </row>
    <row r="3">
      <c r="B3" s="1" t="s">
        <v>0</v>
      </c>
      <c r="C3" s="1">
        <v>65.0</v>
      </c>
      <c r="E3" s="1" t="s">
        <v>1</v>
      </c>
      <c r="F3" s="1">
        <f>7.5*10^-3</f>
        <v>0.0075</v>
      </c>
      <c r="H3" s="1" t="s">
        <v>2</v>
      </c>
      <c r="I3" s="1">
        <f>865*10^-3</f>
        <v>0.865</v>
      </c>
      <c r="K3" s="1" t="s">
        <v>3</v>
      </c>
      <c r="L3" s="2">
        <f>384</f>
        <v>384</v>
      </c>
    </row>
    <row r="4">
      <c r="B4" s="1" t="s">
        <v>4</v>
      </c>
      <c r="C4" s="1">
        <v>45.5</v>
      </c>
      <c r="E4" s="1" t="s">
        <v>5</v>
      </c>
      <c r="F4" s="2">
        <f>130*10^-3</f>
        <v>0.13</v>
      </c>
      <c r="H4" s="1" t="s">
        <v>6</v>
      </c>
      <c r="I4" s="2">
        <f>5*10^-3</f>
        <v>0.005</v>
      </c>
      <c r="K4" s="1" t="s">
        <v>7</v>
      </c>
      <c r="L4" s="1">
        <v>25.0</v>
      </c>
    </row>
    <row r="5">
      <c r="E5" s="1" t="s">
        <v>8</v>
      </c>
      <c r="F5" s="3" t="s">
        <v>9</v>
      </c>
    </row>
    <row r="7">
      <c r="I7" s="4"/>
      <c r="J7" s="4"/>
      <c r="K7" s="4"/>
      <c r="L7" s="4"/>
      <c r="M7" s="4"/>
      <c r="N7" s="4"/>
      <c r="O7" s="4"/>
      <c r="P7" s="4"/>
      <c r="Q7" s="4"/>
      <c r="R7" s="4"/>
    </row>
    <row r="9">
      <c r="B9" s="5"/>
      <c r="C9" s="5"/>
      <c r="D9" s="5"/>
      <c r="F9" s="5"/>
      <c r="G9" s="5"/>
      <c r="H9" s="5"/>
    </row>
    <row r="10">
      <c r="B10" s="5"/>
      <c r="F10" s="5"/>
    </row>
    <row r="11">
      <c r="B11" s="5"/>
      <c r="F11" s="5"/>
    </row>
    <row r="12">
      <c r="B12" s="5"/>
      <c r="F12" s="5"/>
    </row>
    <row r="13">
      <c r="B13" s="5"/>
      <c r="F13" s="5"/>
    </row>
    <row r="14">
      <c r="B14" s="5"/>
      <c r="F14" s="5"/>
    </row>
    <row r="15">
      <c r="B15" s="5"/>
      <c r="F15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</row>
    <row r="2">
      <c r="A2" s="1">
        <v>1.0</v>
      </c>
      <c r="B2" s="1">
        <v>45.5</v>
      </c>
    </row>
    <row r="3">
      <c r="A3" s="1">
        <v>2.0</v>
      </c>
      <c r="B3" s="1">
        <v>45.1</v>
      </c>
      <c r="C3" s="2">
        <f t="shared" ref="C3:C18" si="1">B2-B3</f>
        <v>0.4</v>
      </c>
    </row>
    <row r="4">
      <c r="A4" s="1">
        <v>3.0</v>
      </c>
      <c r="B4" s="1">
        <v>44.8</v>
      </c>
      <c r="C4" s="2">
        <f t="shared" si="1"/>
        <v>0.3</v>
      </c>
    </row>
    <row r="5">
      <c r="A5" s="1">
        <v>4.0</v>
      </c>
      <c r="B5" s="1">
        <v>44.4</v>
      </c>
      <c r="C5" s="2">
        <f t="shared" si="1"/>
        <v>0.4</v>
      </c>
    </row>
    <row r="6">
      <c r="A6" s="1">
        <v>5.0</v>
      </c>
      <c r="B6" s="1">
        <v>44.1</v>
      </c>
      <c r="C6" s="2">
        <f t="shared" si="1"/>
        <v>0.3</v>
      </c>
    </row>
    <row r="7">
      <c r="A7" s="1">
        <v>6.0</v>
      </c>
      <c r="B7" s="1">
        <v>43.8</v>
      </c>
      <c r="C7" s="2">
        <f t="shared" si="1"/>
        <v>0.3</v>
      </c>
    </row>
    <row r="8">
      <c r="A8" s="1">
        <v>7.0</v>
      </c>
      <c r="B8" s="1">
        <v>43.4</v>
      </c>
      <c r="C8" s="2">
        <f t="shared" si="1"/>
        <v>0.4</v>
      </c>
    </row>
    <row r="9">
      <c r="A9" s="1">
        <v>8.0</v>
      </c>
      <c r="B9" s="1">
        <v>43.1</v>
      </c>
      <c r="C9" s="2">
        <f t="shared" si="1"/>
        <v>0.3</v>
      </c>
    </row>
    <row r="10">
      <c r="A10" s="1">
        <v>9.0</v>
      </c>
      <c r="B10" s="1">
        <v>42.8</v>
      </c>
      <c r="C10" s="2">
        <f t="shared" si="1"/>
        <v>0.3</v>
      </c>
    </row>
    <row r="11">
      <c r="A11" s="1">
        <v>10.0</v>
      </c>
      <c r="B11" s="1">
        <v>42.5</v>
      </c>
      <c r="C11" s="2">
        <f t="shared" si="1"/>
        <v>0.3</v>
      </c>
    </row>
    <row r="12">
      <c r="A12" s="1">
        <v>11.0</v>
      </c>
      <c r="B12" s="1">
        <v>42.2</v>
      </c>
      <c r="C12" s="2">
        <f t="shared" si="1"/>
        <v>0.3</v>
      </c>
    </row>
    <row r="13">
      <c r="A13" s="1">
        <v>12.0</v>
      </c>
      <c r="B13" s="1">
        <v>41.9</v>
      </c>
      <c r="C13" s="2">
        <f t="shared" si="1"/>
        <v>0.3</v>
      </c>
    </row>
    <row r="14">
      <c r="A14" s="1">
        <v>13.0</v>
      </c>
      <c r="B14" s="1">
        <v>41.6</v>
      </c>
      <c r="C14" s="2">
        <f t="shared" si="1"/>
        <v>0.3</v>
      </c>
    </row>
    <row r="15">
      <c r="A15" s="1">
        <v>14.0</v>
      </c>
      <c r="B15" s="1">
        <v>41.3</v>
      </c>
      <c r="C15" s="2">
        <f t="shared" si="1"/>
        <v>0.3</v>
      </c>
    </row>
    <row r="16">
      <c r="A16" s="1">
        <v>15.0</v>
      </c>
      <c r="B16" s="1">
        <v>41.1</v>
      </c>
      <c r="C16" s="2">
        <f t="shared" si="1"/>
        <v>0.2</v>
      </c>
    </row>
    <row r="17">
      <c r="A17" s="1">
        <v>16.0</v>
      </c>
      <c r="B17" s="1">
        <v>40.8</v>
      </c>
      <c r="C17" s="2">
        <f t="shared" si="1"/>
        <v>0.3</v>
      </c>
    </row>
    <row r="18">
      <c r="A18" s="1">
        <v>17.0</v>
      </c>
      <c r="B18" s="1">
        <v>40.5</v>
      </c>
      <c r="C18" s="2">
        <f t="shared" si="1"/>
        <v>0.3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0.38"/>
    <col customWidth="1" min="6" max="6" width="12.0"/>
    <col customWidth="1" min="7" max="7" width="16.38"/>
    <col customWidth="1" min="8" max="8" width="16.25"/>
    <col customWidth="1" min="9" max="9" width="19.75"/>
  </cols>
  <sheetData>
    <row r="1">
      <c r="F1" s="1" t="s">
        <v>13</v>
      </c>
      <c r="G1" s="1" t="s">
        <v>14</v>
      </c>
    </row>
    <row r="2">
      <c r="B2" s="1"/>
      <c r="C2" s="1"/>
      <c r="F2" s="2">
        <f>'Зад 1 Измерване T1 и Т2'!F3</f>
        <v>0.0075</v>
      </c>
      <c r="G2" s="2">
        <f>'Зад 1 Измерване T1 и Т2'!F4</f>
        <v>0.13</v>
      </c>
    </row>
    <row r="3">
      <c r="B3" s="1" t="s">
        <v>15</v>
      </c>
      <c r="C3" s="1" t="s">
        <v>16</v>
      </c>
    </row>
    <row r="4">
      <c r="I4" s="1" t="s">
        <v>17</v>
      </c>
      <c r="J4" s="1">
        <v>0.05</v>
      </c>
    </row>
    <row r="5">
      <c r="B5" s="1" t="s">
        <v>10</v>
      </c>
      <c r="C5" s="1" t="s">
        <v>11</v>
      </c>
      <c r="D5" s="1" t="s">
        <v>12</v>
      </c>
      <c r="E5" s="1" t="s">
        <v>18</v>
      </c>
      <c r="F5" s="1" t="s">
        <v>19</v>
      </c>
      <c r="G5" s="1" t="s">
        <v>18</v>
      </c>
      <c r="I5" s="1" t="s">
        <v>20</v>
      </c>
      <c r="J5" s="2">
        <f>PI()*(G2^2/4+G2*F2)</f>
        <v>0.0163362818</v>
      </c>
    </row>
    <row r="6">
      <c r="B6" s="1">
        <v>1.0</v>
      </c>
      <c r="C6" s="1">
        <v>45.5</v>
      </c>
      <c r="I6" s="1" t="s">
        <v>21</v>
      </c>
      <c r="J6" s="2">
        <f>PI()*(G2^2/2+G2*F2)</f>
        <v>0.02960951076</v>
      </c>
    </row>
    <row r="7">
      <c r="B7" s="1">
        <v>2.0</v>
      </c>
      <c r="C7" s="1">
        <v>45.1</v>
      </c>
      <c r="D7" s="2">
        <f t="shared" ref="D7:D22" si="1">C6-C7</f>
        <v>0.4</v>
      </c>
      <c r="E7" s="2">
        <f t="shared" ref="E7:E22" si="2">(D7-$D$23)^2</f>
        <v>0.00765625</v>
      </c>
      <c r="F7" s="2">
        <f t="shared" ref="F7:F22" si="3">$J$5/$J$6*D7</f>
        <v>0.2206896552</v>
      </c>
      <c r="G7" s="2">
        <f t="shared" ref="G7:G22" si="4">(F7-$F$23)^2</f>
        <v>0.002330558859</v>
      </c>
    </row>
    <row r="8">
      <c r="B8" s="1">
        <v>3.0</v>
      </c>
      <c r="C8" s="1">
        <v>44.8</v>
      </c>
      <c r="D8" s="2">
        <f t="shared" si="1"/>
        <v>0.3</v>
      </c>
      <c r="E8" s="2">
        <f t="shared" si="2"/>
        <v>0.00015625</v>
      </c>
      <c r="F8" s="2">
        <f t="shared" si="3"/>
        <v>0.1655172414</v>
      </c>
      <c r="G8" s="2">
        <f t="shared" si="4"/>
        <v>0.00004756242568</v>
      </c>
    </row>
    <row r="9">
      <c r="B9" s="1">
        <v>4.0</v>
      </c>
      <c r="C9" s="1">
        <v>44.4</v>
      </c>
      <c r="D9" s="2">
        <f t="shared" si="1"/>
        <v>0.4</v>
      </c>
      <c r="E9" s="2">
        <f t="shared" si="2"/>
        <v>0.00765625</v>
      </c>
      <c r="F9" s="2">
        <f t="shared" si="3"/>
        <v>0.2206896552</v>
      </c>
      <c r="G9" s="2">
        <f t="shared" si="4"/>
        <v>0.002330558859</v>
      </c>
      <c r="I9" s="1" t="s">
        <v>22</v>
      </c>
      <c r="J9" s="2">
        <f>(C6-C22)/(B22*10-B6*10)</f>
        <v>0.03125</v>
      </c>
    </row>
    <row r="10">
      <c r="B10" s="1">
        <v>5.0</v>
      </c>
      <c r="C10" s="1">
        <v>44.1</v>
      </c>
      <c r="D10" s="2">
        <f t="shared" si="1"/>
        <v>0.3</v>
      </c>
      <c r="E10" s="2">
        <f t="shared" si="2"/>
        <v>0.00015625</v>
      </c>
      <c r="F10" s="2">
        <f t="shared" si="3"/>
        <v>0.1655172414</v>
      </c>
      <c r="G10" s="2">
        <f t="shared" si="4"/>
        <v>0.00004756242568</v>
      </c>
      <c r="I10" s="1" t="s">
        <v>23</v>
      </c>
      <c r="J10" s="2">
        <f>J9*J5/J6</f>
        <v>0.01724137931</v>
      </c>
    </row>
    <row r="11">
      <c r="B11" s="1">
        <v>6.0</v>
      </c>
      <c r="C11" s="1">
        <v>43.8</v>
      </c>
      <c r="D11" s="2">
        <f t="shared" si="1"/>
        <v>0.3</v>
      </c>
      <c r="E11" s="2">
        <f t="shared" si="2"/>
        <v>0.00015625</v>
      </c>
      <c r="F11" s="2">
        <f t="shared" si="3"/>
        <v>0.1655172414</v>
      </c>
      <c r="G11" s="2">
        <f t="shared" si="4"/>
        <v>0.00004756242568</v>
      </c>
    </row>
    <row r="12">
      <c r="B12" s="1">
        <v>7.0</v>
      </c>
      <c r="C12" s="1">
        <v>43.4</v>
      </c>
      <c r="D12" s="2">
        <f t="shared" si="1"/>
        <v>0.4</v>
      </c>
      <c r="E12" s="2">
        <f t="shared" si="2"/>
        <v>0.00765625</v>
      </c>
      <c r="F12" s="2">
        <f t="shared" si="3"/>
        <v>0.2206896552</v>
      </c>
      <c r="G12" s="2">
        <f t="shared" si="4"/>
        <v>0.002330558859</v>
      </c>
    </row>
    <row r="13">
      <c r="B13" s="1">
        <v>8.0</v>
      </c>
      <c r="C13" s="1">
        <v>43.1</v>
      </c>
      <c r="D13" s="2">
        <f t="shared" si="1"/>
        <v>0.3</v>
      </c>
      <c r="E13" s="2">
        <f t="shared" si="2"/>
        <v>0.00015625</v>
      </c>
      <c r="F13" s="2">
        <f t="shared" si="3"/>
        <v>0.1655172414</v>
      </c>
      <c r="G13" s="2">
        <f t="shared" si="4"/>
        <v>0.00004756242568</v>
      </c>
    </row>
    <row r="14">
      <c r="B14" s="1">
        <v>9.0</v>
      </c>
      <c r="C14" s="1">
        <v>42.8</v>
      </c>
      <c r="D14" s="2">
        <f t="shared" si="1"/>
        <v>0.3</v>
      </c>
      <c r="E14" s="2">
        <f t="shared" si="2"/>
        <v>0.00015625</v>
      </c>
      <c r="F14" s="2">
        <f t="shared" si="3"/>
        <v>0.1655172414</v>
      </c>
      <c r="G14" s="2">
        <f t="shared" si="4"/>
        <v>0.00004756242568</v>
      </c>
    </row>
    <row r="15">
      <c r="B15" s="1">
        <v>10.0</v>
      </c>
      <c r="C15" s="1">
        <v>42.5</v>
      </c>
      <c r="D15" s="2">
        <f t="shared" si="1"/>
        <v>0.3</v>
      </c>
      <c r="E15" s="2">
        <f t="shared" si="2"/>
        <v>0.00015625</v>
      </c>
      <c r="F15" s="2">
        <f t="shared" si="3"/>
        <v>0.1655172414</v>
      </c>
      <c r="G15" s="2">
        <f t="shared" si="4"/>
        <v>0.00004756242568</v>
      </c>
    </row>
    <row r="16">
      <c r="B16" s="1">
        <v>11.0</v>
      </c>
      <c r="C16" s="1">
        <v>42.2</v>
      </c>
      <c r="D16" s="2">
        <f t="shared" si="1"/>
        <v>0.3</v>
      </c>
      <c r="E16" s="2">
        <f t="shared" si="2"/>
        <v>0.00015625</v>
      </c>
      <c r="F16" s="2">
        <f t="shared" si="3"/>
        <v>0.1655172414</v>
      </c>
      <c r="G16" s="2">
        <f t="shared" si="4"/>
        <v>0.00004756242568</v>
      </c>
    </row>
    <row r="17">
      <c r="B17" s="1">
        <v>12.0</v>
      </c>
      <c r="C17" s="1">
        <v>41.9</v>
      </c>
      <c r="D17" s="2">
        <f t="shared" si="1"/>
        <v>0.3</v>
      </c>
      <c r="E17" s="2">
        <f t="shared" si="2"/>
        <v>0.00015625</v>
      </c>
      <c r="F17" s="2">
        <f t="shared" si="3"/>
        <v>0.1655172414</v>
      </c>
      <c r="G17" s="2">
        <f t="shared" si="4"/>
        <v>0.00004756242568</v>
      </c>
    </row>
    <row r="18">
      <c r="B18" s="1">
        <v>13.0</v>
      </c>
      <c r="C18" s="1">
        <v>41.6</v>
      </c>
      <c r="D18" s="2">
        <f t="shared" si="1"/>
        <v>0.3</v>
      </c>
      <c r="E18" s="2">
        <f t="shared" si="2"/>
        <v>0.00015625</v>
      </c>
      <c r="F18" s="2">
        <f t="shared" si="3"/>
        <v>0.1655172414</v>
      </c>
      <c r="G18" s="2">
        <f t="shared" si="4"/>
        <v>0.00004756242568</v>
      </c>
    </row>
    <row r="19">
      <c r="B19" s="1">
        <v>14.0</v>
      </c>
      <c r="C19" s="1">
        <v>41.3</v>
      </c>
      <c r="D19" s="2">
        <f t="shared" si="1"/>
        <v>0.3</v>
      </c>
      <c r="E19" s="2">
        <f t="shared" si="2"/>
        <v>0.00015625</v>
      </c>
      <c r="F19" s="2">
        <f t="shared" si="3"/>
        <v>0.1655172414</v>
      </c>
      <c r="G19" s="2">
        <f t="shared" si="4"/>
        <v>0.00004756242568</v>
      </c>
    </row>
    <row r="20">
      <c r="B20" s="1">
        <v>15.0</v>
      </c>
      <c r="C20" s="1">
        <v>41.1</v>
      </c>
      <c r="D20" s="2">
        <f t="shared" si="1"/>
        <v>0.2</v>
      </c>
      <c r="E20" s="2">
        <f t="shared" si="2"/>
        <v>0.01265625</v>
      </c>
      <c r="F20" s="2">
        <f t="shared" si="3"/>
        <v>0.1103448276</v>
      </c>
      <c r="G20" s="2">
        <f t="shared" si="4"/>
        <v>0.00385255648</v>
      </c>
    </row>
    <row r="21">
      <c r="B21" s="1">
        <v>16.0</v>
      </c>
      <c r="C21" s="1">
        <v>40.8</v>
      </c>
      <c r="D21" s="2">
        <f t="shared" si="1"/>
        <v>0.3</v>
      </c>
      <c r="E21" s="2">
        <f t="shared" si="2"/>
        <v>0.00015625</v>
      </c>
      <c r="F21" s="2">
        <f t="shared" si="3"/>
        <v>0.1655172414</v>
      </c>
      <c r="G21" s="2">
        <f t="shared" si="4"/>
        <v>0.00004756242568</v>
      </c>
    </row>
    <row r="22">
      <c r="B22" s="1">
        <v>17.0</v>
      </c>
      <c r="C22" s="1">
        <v>40.5</v>
      </c>
      <c r="D22" s="2">
        <f t="shared" si="1"/>
        <v>0.3</v>
      </c>
      <c r="E22" s="2">
        <f t="shared" si="2"/>
        <v>0.00015625</v>
      </c>
      <c r="F22" s="2">
        <f t="shared" si="3"/>
        <v>0.1655172414</v>
      </c>
      <c r="G22" s="2">
        <f t="shared" si="4"/>
        <v>0.00004756242568</v>
      </c>
    </row>
    <row r="23">
      <c r="D23" s="2">
        <f>AVERAGE(D6:D22)</f>
        <v>0.3125</v>
      </c>
      <c r="E23" s="2">
        <f>SUM(E6:E22)/(COUNT(E6:E22)-1)</f>
        <v>0.0025</v>
      </c>
      <c r="F23" s="2">
        <f>AVERAGE(F6:F22)</f>
        <v>0.1724137931</v>
      </c>
      <c r="G23" s="2">
        <f>SUM(G6:G22)/(COUNT(G6:G22)-1)</f>
        <v>0.0007609988109</v>
      </c>
    </row>
    <row r="24">
      <c r="D24" s="1" t="s">
        <v>24</v>
      </c>
      <c r="E24" s="1" t="s">
        <v>25</v>
      </c>
      <c r="G24" s="1" t="s">
        <v>26</v>
      </c>
    </row>
    <row r="25">
      <c r="C25" s="1" t="s">
        <v>27</v>
      </c>
      <c r="D25" s="2">
        <f>sqrt(E23+J4^2)*D23</f>
        <v>0.02209708691</v>
      </c>
      <c r="F25" s="1" t="s">
        <v>27</v>
      </c>
      <c r="G25" s="2">
        <f>sqrt(J4^2+G23)</f>
        <v>0.05710515573</v>
      </c>
    </row>
    <row r="28">
      <c r="C28" s="1" t="s">
        <v>28</v>
      </c>
      <c r="D28" s="1" t="s">
        <v>29</v>
      </c>
      <c r="E28" s="1" t="s">
        <v>30</v>
      </c>
      <c r="G28" s="3" t="s">
        <v>31</v>
      </c>
      <c r="H28" s="1" t="s">
        <v>32</v>
      </c>
    </row>
    <row r="29">
      <c r="C29" s="2">
        <f>F23*0.5</f>
        <v>0.08620689655</v>
      </c>
      <c r="D29" s="2">
        <f>10*G25</f>
        <v>0.5710515573</v>
      </c>
      <c r="E29" s="2">
        <f>10^2</f>
        <v>100</v>
      </c>
      <c r="G29" s="2">
        <f>C29*D29/E29</f>
        <v>0.0004922858253</v>
      </c>
      <c r="H29" s="2">
        <f>G29*J10</f>
        <v>0.000008487686642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</v>
      </c>
      <c r="C1" s="1" t="s">
        <v>14</v>
      </c>
      <c r="D1" s="1" t="s">
        <v>20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K1" s="1" t="s">
        <v>38</v>
      </c>
      <c r="L1" s="1" t="s">
        <v>39</v>
      </c>
    </row>
    <row r="2">
      <c r="B2" s="2">
        <f>'Зад 1 Измерване T1 и Т2'!F3</f>
        <v>0.0075</v>
      </c>
      <c r="C2" s="2">
        <f>'Зад 1 Измерване T1 и Т2'!F4</f>
        <v>0.13</v>
      </c>
      <c r="D2" s="2">
        <f>'Зад.2 Охлаждане'!J5</f>
        <v>0.0163362818</v>
      </c>
      <c r="E2" s="1">
        <f>'Зад 1 Измерване T1 и Т2'!L3</f>
        <v>384</v>
      </c>
      <c r="F2" s="2">
        <f>'Зад 1 Измерване T1 и Т2'!I3</f>
        <v>0.865</v>
      </c>
      <c r="G2" s="2">
        <f>'Зад 1 Измерване T1 и Т2'!C3</f>
        <v>65</v>
      </c>
      <c r="H2" s="2">
        <f>'Зад 1 Измерване T1 и Т2'!C4</f>
        <v>45.5</v>
      </c>
      <c r="I2" s="2">
        <f>'Зад.2 Охлаждане'!J10</f>
        <v>0.01724137931</v>
      </c>
      <c r="K2" s="1">
        <v>0.005</v>
      </c>
      <c r="L2" s="1">
        <v>5.0E-5</v>
      </c>
    </row>
    <row r="4">
      <c r="B4" s="1" t="s">
        <v>40</v>
      </c>
      <c r="C4" s="1" t="s">
        <v>41</v>
      </c>
      <c r="D4" s="1" t="s">
        <v>42</v>
      </c>
      <c r="E4" s="1" t="s">
        <v>37</v>
      </c>
      <c r="F4" s="1" t="s">
        <v>43</v>
      </c>
    </row>
    <row r="5">
      <c r="B5" s="2">
        <f>B2/D2</f>
        <v>0.4591007974</v>
      </c>
      <c r="C5" s="2">
        <f>F2*E2</f>
        <v>332.16</v>
      </c>
      <c r="D5" s="2">
        <f>(G2-H2)</f>
        <v>19.5</v>
      </c>
      <c r="E5" s="2">
        <f>I2</f>
        <v>0.01724137931</v>
      </c>
      <c r="F5" s="2">
        <f>B5*C5*E5/D5</f>
        <v>0.1348319371</v>
      </c>
    </row>
    <row r="9">
      <c r="B9" s="6" t="s">
        <v>44</v>
      </c>
    </row>
    <row r="10">
      <c r="B10" s="1">
        <v>1.0</v>
      </c>
      <c r="C10" s="1">
        <v>2.0</v>
      </c>
      <c r="E10" s="1">
        <v>3.0</v>
      </c>
      <c r="J10" s="1">
        <v>4.0</v>
      </c>
      <c r="L10" s="1">
        <v>5.0</v>
      </c>
    </row>
    <row r="11">
      <c r="B11" s="1" t="s">
        <v>45</v>
      </c>
      <c r="C11" s="1" t="s">
        <v>32</v>
      </c>
      <c r="E11" s="1" t="s">
        <v>46</v>
      </c>
      <c r="F11" s="1" t="s">
        <v>47</v>
      </c>
      <c r="G11" s="1" t="s">
        <v>48</v>
      </c>
      <c r="I11" s="1" t="s">
        <v>49</v>
      </c>
      <c r="J11" s="1" t="s">
        <v>50</v>
      </c>
      <c r="L11" s="1" t="s">
        <v>51</v>
      </c>
      <c r="M11" s="1" t="s">
        <v>52</v>
      </c>
      <c r="N11" s="1" t="s">
        <v>53</v>
      </c>
      <c r="P11" s="1" t="s">
        <v>54</v>
      </c>
      <c r="Q11" s="1" t="s">
        <v>55</v>
      </c>
    </row>
    <row r="12">
      <c r="B12" s="2">
        <f>B2*C5/(D2*D5)</f>
        <v>7.820252352</v>
      </c>
      <c r="C12" s="1">
        <f>'Зад.2 Охлаждане'!H29</f>
        <v>0.000008487686642</v>
      </c>
      <c r="E12" s="2">
        <f t="shared" ref="E12:F12" si="1">0.05</f>
        <v>0.05</v>
      </c>
      <c r="F12" s="2">
        <f t="shared" si="1"/>
        <v>0.05</v>
      </c>
      <c r="G12" s="2">
        <f>(E12+F12)/D5</f>
        <v>0.005128205128</v>
      </c>
      <c r="I12" s="2">
        <f>F2*0.5</f>
        <v>0.4325</v>
      </c>
      <c r="J12" s="2">
        <f>I12/C5</f>
        <v>0.001302083333</v>
      </c>
      <c r="L12" s="2">
        <f>PI()*(K2*(0.5*C2+B2)+C2*L2)</f>
        <v>0.001159247689</v>
      </c>
      <c r="M12" s="2">
        <f>D2*L2</f>
        <v>0.0000008168140899</v>
      </c>
      <c r="N12" s="2">
        <f>(L12-M12)/D2</f>
        <v>0.07091153846</v>
      </c>
      <c r="P12" s="2">
        <f>B12*(C12+G12+J12+N12)</f>
        <v>0.6048989797</v>
      </c>
      <c r="Q12" s="2">
        <f>P12*F5</f>
        <v>0.08155970119</v>
      </c>
    </row>
  </sheetData>
  <mergeCells count="3">
    <mergeCell ref="B9:Q9"/>
    <mergeCell ref="E10:F10"/>
    <mergeCell ref="L10:M10"/>
  </mergeCells>
  <drawing r:id="rId1"/>
</worksheet>
</file>