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<sst xmlns="http://schemas.openxmlformats.org/spreadsheetml/2006/main" count="74" uniqueCount="38">
  <si>
    <t>r, [m]</t>
  </si>
  <si>
    <t>V, [m^3]</t>
  </si>
  <si>
    <t>300 cm^3</t>
  </si>
  <si>
    <t>T, [K]</t>
  </si>
  <si>
    <t>манометърът е с вода</t>
  </si>
  <si>
    <t>\rho_вода, [kg/m^3]</t>
  </si>
  <si>
    <t>\mu_air, [kg/mol]</t>
  </si>
  <si>
    <t>\rho_въздух, [kg/m^3]</t>
  </si>
  <si>
    <t>\bar{u}</t>
  </si>
  <si>
    <t>g, [m/s^2]</t>
  </si>
  <si>
    <t>\Delta \bar{u}</t>
  </si>
  <si>
    <t>l, [m]</t>
  </si>
  <si>
    <t>Задача 1: Измерване на eta</t>
  </si>
  <si>
    <t>Задача 2а: Измерване на средната скорост на изтичане на флуида
Задача 2б: Рейнолдс</t>
  </si>
  <si>
    <t>Задача 3: Средна дължина на свободен пробег</t>
  </si>
  <si>
    <t>N</t>
  </si>
  <si>
    <t>t_i, [s]</t>
  </si>
  <si>
    <t>\Delta h_1_i, [m]</t>
  </si>
  <si>
    <t>\Delta h_2_i, [m]</t>
  </si>
  <si>
    <t>\Delta p, [Pa]</t>
  </si>
  <si>
    <t xml:space="preserve">eta </t>
  </si>
  <si>
    <t>eta \cdot 10^-6</t>
  </si>
  <si>
    <t>\Delta eta</t>
  </si>
  <si>
    <t>v_cp, [m/s]</t>
  </si>
  <si>
    <t>Re</t>
  </si>
  <si>
    <t>\lambda, [m]</t>
  </si>
  <si>
    <t>lambda, [nm], 10^-9</t>
  </si>
  <si>
    <t>30 nm</t>
  </si>
  <si>
    <t>\(5\)</t>
  </si>
  <si>
    <t>\Delta \lambda / lambda</t>
  </si>
  <si>
    <t>\Delta \lambda</t>
  </si>
  <si>
    <t>\Delta eta / eta</t>
  </si>
  <si>
    <t>\Delta eta \cdot 10^-6</t>
  </si>
  <si>
    <t>\lambda</t>
  </si>
  <si>
    <t>\Delta lambda</t>
  </si>
  <si>
    <t>R</t>
  </si>
  <si>
    <t>\pm</t>
  </si>
  <si>
    <t>\Delta eta \cdot 10^-9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</si>
</sst>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6.13"/>
    <col customWidth="1" min="9" max="9" width="13.25"/>
    <col customWidth="1" min="13" max="13" width="18.75"/>
    <col customWidth="1" min="15" max="15" width="25.13"/>
    <col customWidth="1" min="16" max="16" width="19.38"/>
  </cols>
  <sheetData>
    <row r="1">
      <c r="B1" s="1" t="s">
        <v>0</v>
      </c>
      <c r="C1" s="2">
        <f>0.6*10^-3</f>
        <v>0.0006</v>
      </c>
      <c r="E1" s="1" t="s">
        <v>1</v>
      </c>
      <c r="F1" s="1">
        <f>300*10^-6</f>
        <v>0.0003</v>
      </c>
      <c r="G1" s="1" t="s">
        <v>2</v>
      </c>
      <c r="I1" s="1" t="s">
        <v>3</v>
      </c>
      <c r="J1" s="2">
        <f>273.15+20</f>
        <v>293.15</v>
      </c>
    </row>
    <row r="2">
      <c r="B2" s="1" t="s">
        <v>4</v>
      </c>
      <c r="E2" s="1" t="s">
        <v>5</v>
      </c>
      <c r="F2" s="1">
        <v>997.0</v>
      </c>
      <c r="I2" s="1" t="s">
        <v>6</v>
      </c>
      <c r="J2" s="2">
        <f>28.9*10^-3</f>
        <v>0.0289</v>
      </c>
    </row>
    <row r="3">
      <c r="E3" s="1" t="s">
        <v>7</v>
      </c>
      <c r="F3" s="1">
        <f>1.29</f>
        <v>1.29</v>
      </c>
      <c r="I3" s="1" t="s">
        <v>8</v>
      </c>
      <c r="J3" s="2">
        <f>1.6*SQRT(6.1314*$J$1/$J$2)</f>
        <v>399.0210759</v>
      </c>
    </row>
    <row r="4">
      <c r="E4" s="1" t="s">
        <v>9</v>
      </c>
      <c r="F4" s="1">
        <v>9.81</v>
      </c>
      <c r="I4" s="1" t="s">
        <v>10</v>
      </c>
      <c r="J4" s="2">
        <f>0.005/J1+0.000005/J2</f>
        <v>0.0001900664952</v>
      </c>
    </row>
    <row r="5">
      <c r="E5" s="1" t="s">
        <v>11</v>
      </c>
      <c r="F5" s="1">
        <f>13.4*10^-2</f>
        <v>0.134</v>
      </c>
    </row>
    <row r="7">
      <c r="E7" s="1"/>
    </row>
    <row r="8">
      <c r="G8" s="1" t="s">
        <v>12</v>
      </c>
      <c r="L8" s="3" t="s">
        <v>13</v>
      </c>
      <c r="O8" s="3" t="s">
        <v>14</v>
      </c>
    </row>
    <row r="9">
      <c r="B9" s="1" t="s">
        <v>15</v>
      </c>
      <c r="C9" s="1" t="s">
        <v>16</v>
      </c>
      <c r="D9" s="1" t="s">
        <v>17</v>
      </c>
      <c r="E9" s="1" t="s">
        <v>18</v>
      </c>
      <c r="G9" s="1" t="s">
        <v>19</v>
      </c>
      <c r="H9" s="1" t="s">
        <v>20</v>
      </c>
      <c r="I9" s="1" t="s">
        <v>21</v>
      </c>
      <c r="J9" s="1" t="s">
        <v>22</v>
      </c>
      <c r="L9" s="1" t="s">
        <v>23</v>
      </c>
      <c r="M9" s="1" t="s">
        <v>24</v>
      </c>
      <c r="O9" s="1" t="s">
        <v>25</v>
      </c>
      <c r="P9" s="1" t="s">
        <v>26</v>
      </c>
    </row>
    <row r="10">
      <c r="B10" s="1">
        <v>1.0</v>
      </c>
      <c r="C10" s="1">
        <v>39.0</v>
      </c>
      <c r="D10" s="2">
        <f>(4.4+6.1)*10^-2</f>
        <v>0.105</v>
      </c>
      <c r="E10" s="2">
        <f>(3.9+6.3)*10^-2</f>
        <v>0.102</v>
      </c>
      <c r="G10" s="2">
        <f t="shared" ref="G10:G14" si="1">$F$2*$F$4*(D10)</f>
        <v>1026.95985</v>
      </c>
      <c r="H10" s="2">
        <f t="shared" ref="H10:H14" si="2">G10*PI()*$C$1^4*C10/(8*$F$1*$F$5)</f>
        <v>0.0000507057144</v>
      </c>
      <c r="I10" s="2">
        <f t="shared" ref="I10:I14" si="3">H10*10^6</f>
        <v>50.7057144</v>
      </c>
      <c r="L10" s="2">
        <f t="shared" ref="L10:L14" si="4">$F$1/(PI()*$C$1^2*C10)</f>
        <v>6.801493295</v>
      </c>
      <c r="M10" s="2">
        <f t="shared" ref="M10:M14" si="5">$C$1*L10*$F$2/H10</f>
        <v>80240.52785</v>
      </c>
      <c r="O10" s="2">
        <f t="shared" ref="O10:O14" si="6">3*H10/($F$3*$J$3)</f>
        <v>0.0000002955239038</v>
      </c>
      <c r="P10" s="2">
        <f t="shared" ref="P10:P14" si="7">O10*10^7</f>
        <v>2.955239038</v>
      </c>
      <c r="Q10" s="1" t="s">
        <v>27</v>
      </c>
    </row>
    <row r="11">
      <c r="B11" s="1">
        <v>2.0</v>
      </c>
      <c r="C11" s="1">
        <v>35.0</v>
      </c>
      <c r="D11" s="2">
        <f>(4.3+6.4)*10^-2</f>
        <v>0.107</v>
      </c>
      <c r="E11" s="2">
        <f>(4+6)*10^-2</f>
        <v>0.1</v>
      </c>
      <c r="G11" s="2">
        <f t="shared" si="1"/>
        <v>1046.52099</v>
      </c>
      <c r="H11" s="2">
        <f t="shared" si="2"/>
        <v>0.00004637189266</v>
      </c>
      <c r="I11" s="2">
        <f t="shared" si="3"/>
        <v>46.37189266</v>
      </c>
      <c r="L11" s="2">
        <f t="shared" si="4"/>
        <v>7.578806814</v>
      </c>
      <c r="M11" s="2">
        <f t="shared" si="5"/>
        <v>97767.03033</v>
      </c>
      <c r="O11" s="2">
        <f t="shared" si="6"/>
        <v>0.0000002702654505</v>
      </c>
      <c r="P11" s="2">
        <f t="shared" si="7"/>
        <v>2.702654505</v>
      </c>
    </row>
    <row r="12">
      <c r="B12" s="1">
        <v>3.0</v>
      </c>
      <c r="C12" s="1">
        <v>30.0</v>
      </c>
      <c r="D12" s="2">
        <f>(2.3+4.4)*10^-2</f>
        <v>0.067</v>
      </c>
      <c r="E12" s="2">
        <f>(2.1+4.2)*10^-2</f>
        <v>0.063</v>
      </c>
      <c r="G12" s="2">
        <f t="shared" si="1"/>
        <v>655.29819</v>
      </c>
      <c r="H12" s="2">
        <f t="shared" si="2"/>
        <v>0.00002488851916</v>
      </c>
      <c r="I12" s="2">
        <f t="shared" si="3"/>
        <v>24.88851916</v>
      </c>
      <c r="L12" s="2">
        <f t="shared" si="4"/>
        <v>8.841941283</v>
      </c>
      <c r="M12" s="2">
        <f t="shared" si="5"/>
        <v>212517.6368</v>
      </c>
      <c r="O12" s="2">
        <f t="shared" si="6"/>
        <v>0.000000145055689</v>
      </c>
      <c r="P12" s="2">
        <f t="shared" si="7"/>
        <v>1.45055689</v>
      </c>
    </row>
    <row r="13">
      <c r="B13" s="1">
        <v>4.0</v>
      </c>
      <c r="C13" s="1">
        <v>33.0</v>
      </c>
      <c r="D13" s="2">
        <f>(5.3+7.3)*10^-2</f>
        <v>0.126</v>
      </c>
      <c r="E13" s="2">
        <f>(5.1+7.1)*10^-2</f>
        <v>0.122</v>
      </c>
      <c r="G13" s="2">
        <f t="shared" si="1"/>
        <v>1232.35182</v>
      </c>
      <c r="H13" s="2">
        <f t="shared" si="2"/>
        <v>0.00005148580231</v>
      </c>
      <c r="I13" s="2">
        <f t="shared" si="3"/>
        <v>51.48580231</v>
      </c>
      <c r="L13" s="2">
        <f t="shared" si="4"/>
        <v>8.038128439</v>
      </c>
      <c r="M13" s="2">
        <f t="shared" si="5"/>
        <v>93392.90088</v>
      </c>
      <c r="O13" s="2">
        <f t="shared" si="6"/>
        <v>0.0000003000704254</v>
      </c>
      <c r="P13" s="2">
        <f t="shared" si="7"/>
        <v>3.000704254</v>
      </c>
    </row>
    <row r="14">
      <c r="B14" s="1">
        <v>5.0</v>
      </c>
      <c r="C14" s="1">
        <v>40.0</v>
      </c>
      <c r="D14" s="2">
        <f>(3.6+5.8)*10^-2</f>
        <v>0.094</v>
      </c>
      <c r="E14" s="2">
        <f>(3.4+5.6)*10^-2</f>
        <v>0.09</v>
      </c>
      <c r="G14" s="2">
        <f t="shared" si="1"/>
        <v>919.37358</v>
      </c>
      <c r="H14" s="2">
        <f t="shared" si="2"/>
        <v>0.00004655762787</v>
      </c>
      <c r="I14" s="2">
        <f t="shared" si="3"/>
        <v>46.55762787</v>
      </c>
      <c r="L14" s="2">
        <f t="shared" si="4"/>
        <v>6.631455962</v>
      </c>
      <c r="M14" s="2">
        <f t="shared" si="5"/>
        <v>85204.877</v>
      </c>
      <c r="O14" s="2">
        <f t="shared" si="6"/>
        <v>0.0000002713479556</v>
      </c>
      <c r="P14" s="2">
        <f t="shared" si="7"/>
        <v>2.713479556</v>
      </c>
    </row>
    <row r="15">
      <c r="B15" s="1"/>
      <c r="C15" s="1"/>
    </row>
    <row r="16">
      <c r="B16" s="1" t="s">
        <v>28</v>
      </c>
      <c r="C16" s="1">
        <v>50.0</v>
      </c>
      <c r="D16" s="2">
        <f>(5.1+3.1)*10^-2</f>
        <v>0.082</v>
      </c>
      <c r="E16" s="2">
        <f>(2.9+5.1)*10^-2</f>
        <v>0.08</v>
      </c>
      <c r="G16" s="2">
        <f>$F$2*$F$4*(D16)</f>
        <v>802.00674</v>
      </c>
      <c r="H16" s="2">
        <f>G16*PI()*$C$1^4*C16/(8*$F$1*$F$5)</f>
        <v>0.00005076762614</v>
      </c>
      <c r="I16" s="2">
        <f>H16*10^6</f>
        <v>50.76762614</v>
      </c>
      <c r="L16" s="2">
        <f>$F$1/(PI()*$C$1^2*C16)</f>
        <v>5.30516477</v>
      </c>
      <c r="M16" s="2">
        <f>$C$1*L16*$F$2/H16</f>
        <v>62511.28537</v>
      </c>
      <c r="O16" s="2">
        <f>3*H16/($F$3*$J$3)</f>
        <v>0.0000002958847388</v>
      </c>
      <c r="P16" s="2">
        <f>O16*10^9</f>
        <v>295.8847388</v>
      </c>
    </row>
    <row r="18">
      <c r="O18" s="1" t="s">
        <v>29</v>
      </c>
      <c r="P18" s="1" t="s">
        <v>30</v>
      </c>
    </row>
    <row r="19">
      <c r="G19" s="1" t="s">
        <v>31</v>
      </c>
      <c r="H19" s="1" t="s">
        <v>22</v>
      </c>
      <c r="I19" s="1" t="s">
        <v>32</v>
      </c>
      <c r="O19" s="2">
        <f t="shared" ref="O19:O23" si="8">G20/I10+0.0005/$F$5+$J$4/$J$3</f>
        <v>0.007737596037</v>
      </c>
      <c r="P19" s="2">
        <f t="shared" ref="P19:P23" si="9">O19*P10</f>
        <v>0.02286644587</v>
      </c>
    </row>
    <row r="20">
      <c r="G20" s="2">
        <f t="shared" ref="G20:G24" si="10">4*(0.00005/$C$1)^3+1/C10+0.00005/$F$1+0.0005/$F$5 + 0.0005/D10</f>
        <v>0.2031157552</v>
      </c>
      <c r="H20" s="2">
        <f t="shared" ref="H20:H24" si="11">G20*H10</f>
        <v>0.00001029912947</v>
      </c>
      <c r="I20" s="2">
        <f t="shared" ref="I20:I24" si="12">H20*10^6</f>
        <v>10.29912947</v>
      </c>
      <c r="O20" s="2">
        <f t="shared" si="8"/>
        <v>0.008173241751</v>
      </c>
      <c r="P20" s="2">
        <f t="shared" si="9"/>
        <v>0.02208944864</v>
      </c>
    </row>
    <row r="21">
      <c r="B21" s="1" t="s">
        <v>33</v>
      </c>
      <c r="C21" s="1" t="s">
        <v>34</v>
      </c>
      <c r="G21" s="2">
        <f t="shared" si="10"/>
        <v>0.2059571505</v>
      </c>
      <c r="H21" s="2">
        <f t="shared" si="11"/>
        <v>0.000009550622877</v>
      </c>
      <c r="I21" s="2">
        <f t="shared" si="12"/>
        <v>9.550622877</v>
      </c>
      <c r="O21" s="2">
        <f t="shared" si="8"/>
        <v>0.01231042742</v>
      </c>
      <c r="P21" s="2">
        <f t="shared" si="9"/>
        <v>0.01785697532</v>
      </c>
    </row>
    <row r="22">
      <c r="G22" s="2">
        <f t="shared" si="10"/>
        <v>0.2135088447</v>
      </c>
      <c r="H22" s="2">
        <f t="shared" si="11"/>
        <v>0.000005313918971</v>
      </c>
      <c r="I22" s="2">
        <f t="shared" si="12"/>
        <v>5.313918971</v>
      </c>
      <c r="O22" s="2">
        <f t="shared" si="8"/>
        <v>0.007752036835</v>
      </c>
      <c r="P22" s="2">
        <f t="shared" si="9"/>
        <v>0.02326156991</v>
      </c>
    </row>
    <row r="23">
      <c r="G23" s="2">
        <f t="shared" si="10"/>
        <v>0.206984109</v>
      </c>
      <c r="H23" s="2">
        <f t="shared" si="11"/>
        <v>0.00001065674292</v>
      </c>
      <c r="I23" s="2">
        <f t="shared" si="12"/>
        <v>10.65674292</v>
      </c>
      <c r="O23" s="2">
        <f t="shared" si="8"/>
        <v>0.008092694148</v>
      </c>
      <c r="P23" s="2">
        <f t="shared" si="9"/>
        <v>0.02195936013</v>
      </c>
    </row>
    <row r="24">
      <c r="G24" s="2">
        <f t="shared" si="10"/>
        <v>0.2030319737</v>
      </c>
      <c r="H24" s="2">
        <f t="shared" si="11"/>
        <v>0.000009452687078</v>
      </c>
      <c r="I24" s="2">
        <f t="shared" si="12"/>
        <v>9.452687078</v>
      </c>
    </row>
  </sheetData>
  <mergeCells count="1">
    <mergeCell ref="L8:M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6.13"/>
    <col customWidth="1" min="9" max="9" width="13.25"/>
    <col customWidth="1" min="13" max="13" width="18.75"/>
    <col customWidth="1" min="15" max="15" width="25.13"/>
    <col customWidth="1" min="16" max="16" width="19.38"/>
  </cols>
  <sheetData>
    <row r="1">
      <c r="B1" s="1" t="s">
        <v>0</v>
      </c>
      <c r="C1" s="2">
        <f>0.6*10^-3</f>
        <v>0.0006</v>
      </c>
      <c r="E1" s="1" t="s">
        <v>1</v>
      </c>
      <c r="F1" s="1">
        <f>300*10^-6</f>
        <v>0.0003</v>
      </c>
      <c r="G1" s="1" t="s">
        <v>2</v>
      </c>
      <c r="I1" s="1" t="s">
        <v>3</v>
      </c>
      <c r="J1" s="2">
        <f>273.15+20</f>
        <v>293.15</v>
      </c>
    </row>
    <row r="2">
      <c r="B2" s="1" t="s">
        <v>4</v>
      </c>
      <c r="E2" s="1" t="s">
        <v>5</v>
      </c>
      <c r="F2" s="1">
        <v>997.0</v>
      </c>
      <c r="I2" s="1" t="s">
        <v>6</v>
      </c>
      <c r="J2" s="2">
        <f>28.9*10^-3</f>
        <v>0.0289</v>
      </c>
    </row>
    <row r="3">
      <c r="E3" s="1" t="s">
        <v>7</v>
      </c>
      <c r="F3" s="1">
        <f>1.293</f>
        <v>1.293</v>
      </c>
      <c r="I3" s="1" t="s">
        <v>35</v>
      </c>
      <c r="J3" s="1">
        <v>8.314</v>
      </c>
    </row>
    <row r="4">
      <c r="E4" s="1" t="s">
        <v>9</v>
      </c>
      <c r="F4" s="1">
        <v>9.81</v>
      </c>
      <c r="I4" s="1" t="s">
        <v>8</v>
      </c>
      <c r="J4" s="2">
        <f>1.6*SQRT($J$3*$J$1/$J$2)</f>
        <v>464.6447352</v>
      </c>
      <c r="K4" s="1" t="s">
        <v>36</v>
      </c>
      <c r="L4" s="2">
        <f>J4*J5</f>
        <v>0.08831339635</v>
      </c>
    </row>
    <row r="5">
      <c r="E5" s="1" t="s">
        <v>11</v>
      </c>
      <c r="F5" s="1">
        <f>13.4*10^-2</f>
        <v>0.134</v>
      </c>
      <c r="I5" s="1" t="s">
        <v>10</v>
      </c>
      <c r="J5" s="2">
        <f>0.005/J1+0.000005/J2</f>
        <v>0.0001900664952</v>
      </c>
    </row>
    <row r="7">
      <c r="E7" s="1"/>
    </row>
    <row r="8">
      <c r="G8" s="1" t="s">
        <v>12</v>
      </c>
      <c r="L8" s="3" t="s">
        <v>13</v>
      </c>
      <c r="O8" s="3" t="s">
        <v>14</v>
      </c>
    </row>
    <row r="9">
      <c r="B9" s="1" t="s">
        <v>15</v>
      </c>
      <c r="C9" s="1" t="s">
        <v>16</v>
      </c>
      <c r="D9" s="1" t="s">
        <v>17</v>
      </c>
      <c r="E9" s="1" t="s">
        <v>18</v>
      </c>
      <c r="G9" s="1" t="s">
        <v>19</v>
      </c>
      <c r="H9" s="1" t="s">
        <v>20</v>
      </c>
      <c r="I9" s="1" t="s">
        <v>21</v>
      </c>
      <c r="J9" s="1" t="s">
        <v>22</v>
      </c>
      <c r="L9" s="1" t="s">
        <v>23</v>
      </c>
      <c r="M9" s="1" t="s">
        <v>24</v>
      </c>
      <c r="O9" s="1" t="s">
        <v>25</v>
      </c>
      <c r="P9" s="1" t="s">
        <v>26</v>
      </c>
    </row>
    <row r="10">
      <c r="B10" s="1">
        <v>1.0</v>
      </c>
      <c r="C10" s="1">
        <v>39.0</v>
      </c>
      <c r="D10" s="2">
        <f>(4.4+6.1)*10^-2</f>
        <v>0.105</v>
      </c>
      <c r="E10" s="2">
        <f>(3.9+6.3)*10^-2</f>
        <v>0.102</v>
      </c>
      <c r="G10" s="2">
        <f t="shared" ref="G10:G15" si="1">$F$2*$F$4*(D10)</f>
        <v>1026.95985</v>
      </c>
      <c r="H10" s="2">
        <f t="shared" ref="H10:H15" si="2">G10*PI()*$C$1^4*C10/(8*$F$1*$F$5)</f>
        <v>0.0000507057144</v>
      </c>
      <c r="I10" s="2">
        <f t="shared" ref="I10:I15" si="3">H10*10^6</f>
        <v>50.7057144</v>
      </c>
      <c r="L10" s="2">
        <f t="shared" ref="L10:L15" si="4">$F$1/(PI()*$C$1^2*C10)</f>
        <v>6.801493295</v>
      </c>
      <c r="M10" s="2">
        <f t="shared" ref="M10:M15" si="5">$C$1*L10*$F$3/H10</f>
        <v>104.0631921</v>
      </c>
      <c r="O10" s="2">
        <f t="shared" ref="O10:O15" si="6">3*H10/($F$3*$J$4)</f>
        <v>0.0000002531970347</v>
      </c>
      <c r="P10" s="2">
        <f t="shared" ref="P10:P15" si="7">O10*10^9</f>
        <v>253.1970347</v>
      </c>
      <c r="Q10" s="1" t="s">
        <v>27</v>
      </c>
      <c r="R10" s="2">
        <f t="shared" ref="R10:R15" si="8">3*H10/(1.6*$F$3)*SQRT($J$2/($J$3*$J$1))</f>
        <v>0.0000002531970347</v>
      </c>
      <c r="S10" s="2">
        <f>R10*10^6</f>
        <v>0.2531970347</v>
      </c>
    </row>
    <row r="11">
      <c r="B11" s="1">
        <v>2.0</v>
      </c>
      <c r="C11" s="1">
        <v>35.0</v>
      </c>
      <c r="D11" s="2">
        <f>(4.3+6.4)*10^-2</f>
        <v>0.107</v>
      </c>
      <c r="E11" s="2">
        <f>(4+6)*10^-2</f>
        <v>0.1</v>
      </c>
      <c r="G11" s="2">
        <f t="shared" si="1"/>
        <v>1046.52099</v>
      </c>
      <c r="H11" s="2">
        <f t="shared" si="2"/>
        <v>0.00004637189266</v>
      </c>
      <c r="I11" s="2">
        <f t="shared" si="3"/>
        <v>46.37189266</v>
      </c>
      <c r="L11" s="2">
        <f t="shared" si="4"/>
        <v>7.578806814</v>
      </c>
      <c r="M11" s="2">
        <f t="shared" si="5"/>
        <v>126.7931497</v>
      </c>
      <c r="O11" s="2">
        <f t="shared" si="6"/>
        <v>0.0000002315562625</v>
      </c>
      <c r="P11" s="2">
        <f t="shared" si="7"/>
        <v>231.5562625</v>
      </c>
      <c r="R11" s="2">
        <f t="shared" si="8"/>
        <v>0.0000002315562625</v>
      </c>
    </row>
    <row r="12">
      <c r="B12" s="1">
        <v>3.0</v>
      </c>
      <c r="C12" s="1">
        <v>30.0</v>
      </c>
      <c r="D12" s="2">
        <f>(2.3+4.4)*10^-2</f>
        <v>0.067</v>
      </c>
      <c r="E12" s="2">
        <f>(2.1+4.2)*10^-2</f>
        <v>0.063</v>
      </c>
      <c r="G12" s="2">
        <f t="shared" si="1"/>
        <v>655.29819</v>
      </c>
      <c r="H12" s="2">
        <f t="shared" si="2"/>
        <v>0.00002488851916</v>
      </c>
      <c r="I12" s="2">
        <f t="shared" si="3"/>
        <v>24.88851916</v>
      </c>
      <c r="L12" s="2">
        <f t="shared" si="4"/>
        <v>8.841941283</v>
      </c>
      <c r="M12" s="2">
        <f t="shared" si="5"/>
        <v>275.6121408</v>
      </c>
      <c r="O12" s="2">
        <f t="shared" si="6"/>
        <v>0.0000001242798632</v>
      </c>
      <c r="P12" s="2">
        <f t="shared" si="7"/>
        <v>124.2798632</v>
      </c>
      <c r="R12" s="2">
        <f t="shared" si="8"/>
        <v>0.0000001242798632</v>
      </c>
    </row>
    <row r="13">
      <c r="B13" s="1">
        <v>4.0</v>
      </c>
      <c r="C13" s="1">
        <v>33.0</v>
      </c>
      <c r="D13" s="2">
        <f>(5.3+7.3)*10^-2</f>
        <v>0.126</v>
      </c>
      <c r="E13" s="2">
        <f>(5.1+7.1)*10^-2</f>
        <v>0.122</v>
      </c>
      <c r="G13" s="2">
        <f t="shared" si="1"/>
        <v>1232.35182</v>
      </c>
      <c r="H13" s="2">
        <f t="shared" si="2"/>
        <v>0.00005148580231</v>
      </c>
      <c r="I13" s="2">
        <f t="shared" si="3"/>
        <v>51.48580231</v>
      </c>
      <c r="L13" s="2">
        <f t="shared" si="4"/>
        <v>8.038128439</v>
      </c>
      <c r="M13" s="2">
        <f t="shared" si="5"/>
        <v>121.120382</v>
      </c>
      <c r="O13" s="2">
        <f t="shared" si="6"/>
        <v>0.0000002570923737</v>
      </c>
      <c r="P13" s="2">
        <f t="shared" si="7"/>
        <v>257.0923737</v>
      </c>
      <c r="R13" s="2">
        <f t="shared" si="8"/>
        <v>0.0000002570923737</v>
      </c>
    </row>
    <row r="14">
      <c r="B14" s="1">
        <v>5.0</v>
      </c>
      <c r="C14" s="1">
        <v>40.0</v>
      </c>
      <c r="D14" s="2">
        <f>(3.6+5.8)*10^-2</f>
        <v>0.094</v>
      </c>
      <c r="E14" s="2">
        <f>(3.4+5.6)*10^-2</f>
        <v>0.09</v>
      </c>
      <c r="G14" s="2">
        <f t="shared" si="1"/>
        <v>919.37358</v>
      </c>
      <c r="H14" s="2">
        <f t="shared" si="2"/>
        <v>0.00004655762787</v>
      </c>
      <c r="I14" s="2">
        <f t="shared" si="3"/>
        <v>46.55762787</v>
      </c>
      <c r="L14" s="2">
        <f t="shared" si="4"/>
        <v>6.631455962</v>
      </c>
      <c r="M14" s="2">
        <f t="shared" si="5"/>
        <v>110.5014102</v>
      </c>
      <c r="O14" s="2">
        <f t="shared" si="6"/>
        <v>0.0000002324837242</v>
      </c>
      <c r="P14" s="2">
        <f t="shared" si="7"/>
        <v>232.4837242</v>
      </c>
      <c r="R14" s="2">
        <f t="shared" si="8"/>
        <v>0.0000002324837242</v>
      </c>
    </row>
    <row r="15">
      <c r="B15" s="1" t="s">
        <v>28</v>
      </c>
      <c r="C15" s="1">
        <v>50.0</v>
      </c>
      <c r="D15" s="2">
        <f>(5.1+3.1)*10^-2</f>
        <v>0.082</v>
      </c>
      <c r="E15" s="2">
        <f>(2.9+5.1)*10^-2</f>
        <v>0.08</v>
      </c>
      <c r="G15" s="2">
        <f t="shared" si="1"/>
        <v>802.00674</v>
      </c>
      <c r="H15" s="2">
        <f t="shared" si="2"/>
        <v>0.00005076762614</v>
      </c>
      <c r="I15" s="2">
        <f t="shared" si="3"/>
        <v>50.76762614</v>
      </c>
      <c r="L15" s="2">
        <f t="shared" si="4"/>
        <v>5.30516477</v>
      </c>
      <c r="M15" s="2">
        <f t="shared" si="5"/>
        <v>81.07030289</v>
      </c>
      <c r="O15" s="2">
        <f t="shared" si="6"/>
        <v>0.0000002535061886</v>
      </c>
      <c r="P15" s="2">
        <f t="shared" si="7"/>
        <v>253.5061886</v>
      </c>
      <c r="R15" s="2">
        <f t="shared" si="8"/>
        <v>0.0000002535061886</v>
      </c>
    </row>
    <row r="17">
      <c r="O17" s="1" t="s">
        <v>29</v>
      </c>
      <c r="P17" s="1" t="s">
        <v>30</v>
      </c>
    </row>
    <row r="18">
      <c r="G18" s="1" t="s">
        <v>31</v>
      </c>
      <c r="H18" s="1" t="s">
        <v>22</v>
      </c>
      <c r="I18" s="1" t="s">
        <v>37</v>
      </c>
      <c r="O18" s="2">
        <f t="shared" ref="O18:O22" si="9">G19+0.0005/$F$5+$J$5/$J$4</f>
        <v>0.07390087178</v>
      </c>
      <c r="P18" s="2">
        <f t="shared" ref="P18:P22" si="10">O18*P10</f>
        <v>18.7114816</v>
      </c>
    </row>
    <row r="19">
      <c r="G19" s="2">
        <f t="shared" ref="G19:G23" si="11">4*(0.00005/$C$1)^3+1/C10+(10*10^-6)/$F$1+0.0005/$F$5 + 0.0005/D10 + 0.0005/$F$3</f>
        <v>0.07016911944</v>
      </c>
      <c r="H19" s="2">
        <f t="shared" ref="H19:H23" si="12">G19*H10</f>
        <v>0.00000355797533</v>
      </c>
      <c r="I19" s="2">
        <f t="shared" ref="I19:I23" si="13">G19*I10</f>
        <v>3.55797533</v>
      </c>
      <c r="O19" s="2">
        <f t="shared" si="9"/>
        <v>0.07674226714</v>
      </c>
      <c r="P19" s="2">
        <f t="shared" si="10"/>
        <v>17.77015256</v>
      </c>
    </row>
    <row r="20">
      <c r="B20" s="1" t="s">
        <v>33</v>
      </c>
      <c r="C20" s="1" t="s">
        <v>34</v>
      </c>
      <c r="G20" s="2">
        <f t="shared" si="11"/>
        <v>0.0730105148</v>
      </c>
      <c r="H20" s="2">
        <f t="shared" si="12"/>
        <v>0.000003385635755</v>
      </c>
      <c r="I20" s="2">
        <f t="shared" si="13"/>
        <v>3.385635755</v>
      </c>
      <c r="O20" s="2">
        <f t="shared" si="9"/>
        <v>0.08429396128</v>
      </c>
      <c r="P20" s="2">
        <f t="shared" si="10"/>
        <v>10.47604197</v>
      </c>
    </row>
    <row r="21">
      <c r="G21" s="2">
        <f t="shared" si="11"/>
        <v>0.08056220893</v>
      </c>
      <c r="H21" s="2">
        <f t="shared" si="12"/>
        <v>0.00000200507408</v>
      </c>
      <c r="I21" s="2">
        <f t="shared" si="13"/>
        <v>2.00507408</v>
      </c>
      <c r="O21" s="2">
        <f t="shared" si="9"/>
        <v>0.07776922565</v>
      </c>
      <c r="P21" s="2">
        <f t="shared" si="10"/>
        <v>19.99387482</v>
      </c>
    </row>
    <row r="22">
      <c r="G22" s="2">
        <f t="shared" si="11"/>
        <v>0.07403747331</v>
      </c>
      <c r="H22" s="2">
        <f t="shared" si="12"/>
        <v>0.000003811878714</v>
      </c>
      <c r="I22" s="2">
        <f t="shared" si="13"/>
        <v>3.811878714</v>
      </c>
      <c r="O22" s="2">
        <f t="shared" si="9"/>
        <v>0.07381709031</v>
      </c>
      <c r="P22" s="2">
        <f t="shared" si="10"/>
        <v>17.16127206</v>
      </c>
    </row>
    <row r="23">
      <c r="G23" s="2">
        <f t="shared" si="11"/>
        <v>0.07008533797</v>
      </c>
      <c r="H23" s="2">
        <f t="shared" si="12"/>
        <v>0.000003263007085</v>
      </c>
      <c r="I23" s="2">
        <f t="shared" si="13"/>
        <v>3.263007085</v>
      </c>
    </row>
  </sheetData>
  <mergeCells count="1">
    <mergeCell ref="L8:M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