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<sst xmlns="http://schemas.openxmlformats.org/spreadsheetml/2006/main" count="66" uniqueCount="26">
  <si>
    <t>r_kap, [m]</t>
  </si>
  <si>
    <t>\pm</t>
  </si>
  <si>
    <t>m_1, [kg]</t>
  </si>
  <si>
    <t>\rho_water, [kg/m^3]</t>
  </si>
  <si>
    <t>V, [m^3]</t>
  </si>
  <si>
    <t>m_2, [kg]</t>
  </si>
  <si>
    <t>\beta_C, [K^-1]</t>
  </si>
  <si>
    <t>N</t>
  </si>
  <si>
    <t>h_i, [m]</t>
  </si>
  <si>
    <t>T_i, [\deg C]</t>
  </si>
  <si>
    <t>T_i, [K]</t>
  </si>
  <si>
    <t>\beta_T_i</t>
  </si>
  <si>
    <t>()^2</t>
  </si>
  <si>
    <t>\beta_T_i графично</t>
  </si>
  <si>
    <t>\Delta</t>
  </si>
  <si>
    <t>AVG</t>
  </si>
  <si>
    <t>dh/dT</t>
  </si>
  <si>
    <t>Оригинални данни</t>
  </si>
  <si>
    <t>h_i, [mm]</t>
  </si>
  <si>
    <t>dy/dx</t>
  </si>
  <si>
    <t>За визуализация</t>
  </si>
  <si>
    <t>\Delta V / V</t>
  </si>
  <si>
    <t>\Delta_T_instr, C</t>
  </si>
  <si>
    <t>\Delta_h_instr, m</t>
  </si>
  <si>
    <t>\Delta \beta_T_i</t>
  </si>
  <si>
    <t>\Delta beta / beta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</si>
</sst>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7E3794"/>
      <name val="Arial"/>
      <scheme val="minor"/>
    </font>
    <font>
      <sz val="9.0"/>
      <color rgb="FF11A9CC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Sheet1!$D$42</c:f>
            </c:strRef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none"/>
          </c:marker>
          <c:cat>
            <c:strRef>
              <c:f>Sheet1!$C$43:$C$53</c:f>
            </c:strRef>
          </c:cat>
          <c:val>
            <c:numRef>
              <c:f>Sheet1!$D$43:$D$53</c:f>
              <c:numCache/>
            </c:numRef>
          </c:val>
          <c:smooth val="0"/>
        </c:ser>
        <c:axId val="876976976"/>
        <c:axId val="47523589"/>
      </c:lineChart>
      <c:catAx>
        <c:axId val="876976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∆hi, [mm]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23589"/>
      </c:catAx>
      <c:valAx>
        <c:axId val="47523589"/>
        <c:scaling>
          <c:orientation val="minMax"/>
          <c:max val="3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Ti, [K]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6976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Sheet1!$C$42</c:f>
            </c:strRef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cat>
            <c:strRef>
              <c:f>Sheet1!$D$43:$D$53</c:f>
            </c:strRef>
          </c:cat>
          <c:val>
            <c:numRef>
              <c:f>Sheet1!$C$43:$C$53</c:f>
              <c:numCache/>
            </c:numRef>
          </c:val>
          <c:smooth val="0"/>
        </c:ser>
        <c:axId val="1261284106"/>
        <c:axId val="910855514"/>
      </c:lineChart>
      <c:catAx>
        <c:axId val="1261284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Ti, [K]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855514"/>
      </c:catAx>
      <c:valAx>
        <c:axId val="910855514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∆hi, [mm]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12841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'Copy of Sheet1'!$D$42</c:f>
            </c:strRef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none"/>
          </c:marker>
          <c:cat>
            <c:strRef>
              <c:f>'Copy of Sheet1'!$C$43:$C$53</c:f>
            </c:strRef>
          </c:cat>
          <c:val>
            <c:numRef>
              <c:f>'Copy of Sheet1'!$D$43:$D$53</c:f>
              <c:numCache/>
            </c:numRef>
          </c:val>
          <c:smooth val="0"/>
        </c:ser>
        <c:axId val="99905965"/>
        <c:axId val="1633476824"/>
      </c:lineChart>
      <c:catAx>
        <c:axId val="999059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∆hi, [mm]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3476824"/>
      </c:catAx>
      <c:valAx>
        <c:axId val="1633476824"/>
        <c:scaling>
          <c:orientation val="minMax"/>
          <c:max val="33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Ti, [K]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059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'Copy of Sheet1'!$C$42</c:f>
            </c:strRef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cat>
            <c:strRef>
              <c:f>'Copy of Sheet1'!$D$43:$D$53</c:f>
            </c:strRef>
          </c:cat>
          <c:val>
            <c:numRef>
              <c:f>'Copy of Sheet1'!$C$43:$C$53</c:f>
              <c:numCache/>
            </c:numRef>
          </c:val>
          <c:smooth val="0"/>
        </c:ser>
        <c:axId val="1669055046"/>
        <c:axId val="365035560"/>
      </c:lineChart>
      <c:catAx>
        <c:axId val="16690550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Ti, [K]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5035560"/>
      </c:catAx>
      <c:valAx>
        <c:axId val="365035560"/>
        <c:scaling>
          <c:orientation val="minMax"/>
          <c:min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∆hi, [mm]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0550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56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314325</xdr:colOff>
      <xdr:row>76</xdr:row>
      <xdr:rowOff>38100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56</xdr:row>
      <xdr:rowOff>190500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314325</xdr:colOff>
      <xdr:row>76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6.75"/>
    <col customWidth="1" min="7" max="7" width="16.63"/>
    <col customWidth="1" min="8" max="8" width="15.75"/>
    <col customWidth="1" min="9" max="9" width="15.25"/>
    <col customWidth="1" min="10" max="10" width="17.38"/>
    <col customWidth="1" min="12" max="12" width="16.75"/>
  </cols>
  <sheetData>
    <row r="2">
      <c r="E2" s="1" t="s">
        <v>0</v>
      </c>
      <c r="F2" s="2">
        <f>1.5*10^-3</f>
        <v>0.0015</v>
      </c>
      <c r="G2" s="1" t="s">
        <v>1</v>
      </c>
      <c r="H2" s="1">
        <v>0.08</v>
      </c>
    </row>
    <row r="3">
      <c r="B3" s="1" t="s">
        <v>2</v>
      </c>
      <c r="C3" s="1">
        <f>25.3*10^-3</f>
        <v>0.0253</v>
      </c>
      <c r="E3" s="1" t="s">
        <v>3</v>
      </c>
      <c r="F3" s="1">
        <v>997.0</v>
      </c>
      <c r="J3" s="1" t="s">
        <v>4</v>
      </c>
      <c r="K3" s="2">
        <f>(C4-C3)/F3</f>
        <v>0.00004944834504</v>
      </c>
    </row>
    <row r="4">
      <c r="B4" s="1" t="s">
        <v>5</v>
      </c>
      <c r="C4" s="1">
        <f>74.6*10^-3</f>
        <v>0.0746</v>
      </c>
      <c r="E4" s="1" t="s">
        <v>6</v>
      </c>
      <c r="F4" s="1">
        <f>0.84*10^-4</f>
        <v>0.000084</v>
      </c>
      <c r="J4" s="1" t="s">
        <v>1</v>
      </c>
      <c r="K4" s="2">
        <f>(0.1*10^-3/C3+0.1*10^-3/C4)*K3</f>
        <v>0.0000002617326489</v>
      </c>
    </row>
    <row r="7">
      <c r="B7" s="3" t="s">
        <v>7</v>
      </c>
      <c r="C7" s="3" t="s">
        <v>8</v>
      </c>
      <c r="D7" s="3" t="s">
        <v>9</v>
      </c>
      <c r="E7" s="3" t="s">
        <v>10</v>
      </c>
      <c r="H7" s="1" t="s">
        <v>11</v>
      </c>
      <c r="I7" s="1" t="s">
        <v>11</v>
      </c>
      <c r="J7" s="1" t="s">
        <v>12</v>
      </c>
      <c r="L7" s="1" t="s">
        <v>13</v>
      </c>
      <c r="M7" s="1" t="s">
        <v>1</v>
      </c>
    </row>
    <row r="8">
      <c r="B8" s="3">
        <v>0.0</v>
      </c>
      <c r="C8" s="3">
        <f>80*10^-3</f>
        <v>0.08</v>
      </c>
      <c r="D8" s="4">
        <v>56.5</v>
      </c>
      <c r="E8" s="2">
        <f t="shared" ref="E8:E18" si="1">D8+273.15</f>
        <v>329.65</v>
      </c>
      <c r="L8" s="2">
        <f>(1/$K$3)*(PI()*$F$2^2*$C$20)+F4</f>
        <v>0.0003698976763</v>
      </c>
      <c r="M8" s="2">
        <f>(K4/K3+0.00001^2/F2)*L8</f>
        <v>0.0000019579122</v>
      </c>
    </row>
    <row r="9">
      <c r="B9" s="3">
        <v>1.0</v>
      </c>
      <c r="C9" s="5">
        <f t="shared" ref="C9:C18" si="2">C8-2*10^-3</f>
        <v>0.078</v>
      </c>
      <c r="D9" s="3">
        <v>55.6</v>
      </c>
      <c r="E9" s="2">
        <f t="shared" si="1"/>
        <v>328.75</v>
      </c>
      <c r="H9" s="2">
        <f>1/($K$3*(D8-D9))*($F$4*$K$3*(D8-D9)+PI()*$F$2^2*(C8-C9))</f>
        <v>0.0004016640847</v>
      </c>
      <c r="I9" s="2">
        <f t="shared" ref="I9:I18" si="3">1/($K$3*(D8-D9))*PI()*$F$2^2*(C8-C9)</f>
        <v>0.0003176640847</v>
      </c>
      <c r="J9" s="2">
        <f t="shared" ref="J9:J18" si="4">(I9-$I$19)^2</f>
        <v>0</v>
      </c>
    </row>
    <row r="10">
      <c r="B10" s="3">
        <v>2.0</v>
      </c>
      <c r="C10" s="5">
        <f t="shared" si="2"/>
        <v>0.076</v>
      </c>
      <c r="D10" s="3">
        <v>54.8</v>
      </c>
      <c r="E10" s="2">
        <f t="shared" si="1"/>
        <v>327.95</v>
      </c>
      <c r="H10" s="2">
        <f t="shared" ref="H10:H18" si="5">1/($K$3*(D9-D10))*($F$4*$K$3*(D9-D10)+ PI()*$F$2^2*(C9-C10))</f>
        <v>0.0004413720953</v>
      </c>
      <c r="I10" s="2">
        <f t="shared" si="3"/>
        <v>0.0003573720953</v>
      </c>
      <c r="J10" s="2">
        <f t="shared" si="4"/>
        <v>0.000000002021660208</v>
      </c>
    </row>
    <row r="11">
      <c r="B11" s="3">
        <v>3.0</v>
      </c>
      <c r="C11" s="5">
        <f t="shared" si="2"/>
        <v>0.074</v>
      </c>
      <c r="D11" s="3">
        <v>53.7</v>
      </c>
      <c r="E11" s="2">
        <f t="shared" si="1"/>
        <v>326.85</v>
      </c>
      <c r="H11" s="2">
        <f t="shared" si="5"/>
        <v>0.0003439069784</v>
      </c>
      <c r="I11" s="2">
        <f t="shared" si="3"/>
        <v>0.0002599069784</v>
      </c>
      <c r="J11" s="2">
        <f t="shared" si="4"/>
        <v>0.000000002756485312</v>
      </c>
    </row>
    <row r="12">
      <c r="B12" s="3">
        <v>4.0</v>
      </c>
      <c r="C12" s="5">
        <f t="shared" si="2"/>
        <v>0.072</v>
      </c>
      <c r="D12" s="3">
        <v>52.1</v>
      </c>
      <c r="E12" s="2">
        <f t="shared" si="1"/>
        <v>325.25</v>
      </c>
      <c r="H12" s="2">
        <f t="shared" si="5"/>
        <v>0.0002626860477</v>
      </c>
      <c r="I12" s="2">
        <f t="shared" si="3"/>
        <v>0.0001786860477</v>
      </c>
      <c r="J12" s="2">
        <f t="shared" si="4"/>
        <v>0.00000001788188667</v>
      </c>
    </row>
    <row r="13">
      <c r="B13" s="3">
        <v>5.0</v>
      </c>
      <c r="C13" s="5">
        <f t="shared" si="2"/>
        <v>0.07</v>
      </c>
      <c r="D13" s="3">
        <v>50.6</v>
      </c>
      <c r="E13" s="2">
        <f t="shared" si="1"/>
        <v>323.75</v>
      </c>
      <c r="H13" s="2">
        <f t="shared" si="5"/>
        <v>0.0002745984508</v>
      </c>
      <c r="I13" s="2">
        <f t="shared" si="3"/>
        <v>0.0001905984508</v>
      </c>
      <c r="J13" s="2">
        <f t="shared" si="4"/>
        <v>0.00000001483786335</v>
      </c>
    </row>
    <row r="14">
      <c r="B14" s="3">
        <v>6.0</v>
      </c>
      <c r="C14" s="5">
        <f t="shared" si="2"/>
        <v>0.068</v>
      </c>
      <c r="D14" s="3">
        <v>50.0</v>
      </c>
      <c r="E14" s="2">
        <f t="shared" si="1"/>
        <v>323.15</v>
      </c>
      <c r="H14" s="2">
        <f t="shared" si="5"/>
        <v>0.0005604961271</v>
      </c>
      <c r="I14" s="2">
        <f t="shared" si="3"/>
        <v>0.0004764961271</v>
      </c>
      <c r="J14" s="2">
        <f t="shared" si="4"/>
        <v>0.00000002692451327</v>
      </c>
    </row>
    <row r="15">
      <c r="B15" s="3">
        <v>7.0</v>
      </c>
      <c r="C15" s="5">
        <f t="shared" si="2"/>
        <v>0.066</v>
      </c>
      <c r="D15" s="3">
        <v>48.9</v>
      </c>
      <c r="E15" s="2">
        <f t="shared" si="1"/>
        <v>322.05</v>
      </c>
      <c r="H15" s="2">
        <f t="shared" si="5"/>
        <v>0.0003439069784</v>
      </c>
      <c r="I15" s="2">
        <f t="shared" si="3"/>
        <v>0.0002599069784</v>
      </c>
      <c r="J15" s="2">
        <f t="shared" si="4"/>
        <v>0.000000002756485312</v>
      </c>
    </row>
    <row r="16">
      <c r="B16" s="3">
        <v>8.0</v>
      </c>
      <c r="C16" s="5">
        <f t="shared" si="2"/>
        <v>0.064</v>
      </c>
      <c r="D16" s="3">
        <v>48.0</v>
      </c>
      <c r="E16" s="2">
        <f t="shared" si="1"/>
        <v>321.15</v>
      </c>
      <c r="H16" s="2">
        <f t="shared" si="5"/>
        <v>0.0004016640847</v>
      </c>
      <c r="I16" s="2">
        <f t="shared" si="3"/>
        <v>0.0003176640847</v>
      </c>
      <c r="J16" s="2">
        <f t="shared" si="4"/>
        <v>0</v>
      </c>
    </row>
    <row r="17">
      <c r="B17" s="3">
        <v>9.0</v>
      </c>
      <c r="C17" s="5">
        <f t="shared" si="2"/>
        <v>0.062</v>
      </c>
      <c r="D17" s="3">
        <v>47.3</v>
      </c>
      <c r="E17" s="2">
        <f t="shared" si="1"/>
        <v>320.45</v>
      </c>
      <c r="H17" s="2">
        <f t="shared" si="5"/>
        <v>0.0004924252518</v>
      </c>
      <c r="I17" s="2">
        <f t="shared" si="3"/>
        <v>0.0004084252518</v>
      </c>
      <c r="J17" s="2">
        <f t="shared" si="4"/>
        <v>0.000000009219078472</v>
      </c>
    </row>
    <row r="18">
      <c r="B18" s="3">
        <v>10.0</v>
      </c>
      <c r="C18" s="5">
        <f t="shared" si="2"/>
        <v>0.06</v>
      </c>
      <c r="D18" s="3">
        <v>46.5</v>
      </c>
      <c r="E18" s="2">
        <f t="shared" si="1"/>
        <v>319.65</v>
      </c>
      <c r="H18" s="2">
        <f t="shared" si="5"/>
        <v>0.0004413720953</v>
      </c>
      <c r="I18" s="2">
        <f t="shared" si="3"/>
        <v>0.0003573720953</v>
      </c>
      <c r="J18" s="2">
        <f t="shared" si="4"/>
        <v>0.000000002021660208</v>
      </c>
    </row>
    <row r="19">
      <c r="B19" s="1" t="s">
        <v>14</v>
      </c>
      <c r="C19" s="2">
        <f t="shared" ref="C19:E19" si="6">C8-C18</f>
        <v>0.02</v>
      </c>
      <c r="D19" s="2">
        <f t="shared" si="6"/>
        <v>10</v>
      </c>
      <c r="E19" s="2">
        <f t="shared" si="6"/>
        <v>10</v>
      </c>
      <c r="G19" s="1" t="s">
        <v>15</v>
      </c>
      <c r="H19" s="2">
        <f t="shared" ref="H19:I19" si="7">AVERAGE(H9:H18)</f>
        <v>0.0003964092195</v>
      </c>
      <c r="I19" s="2">
        <f t="shared" si="7"/>
        <v>0.0003124092195</v>
      </c>
      <c r="J19" s="2">
        <f>SQRT(SUM(J9:J18)/9)</f>
        <v>0.00009337788224</v>
      </c>
    </row>
    <row r="20">
      <c r="B20" s="1" t="s">
        <v>16</v>
      </c>
      <c r="C20" s="2">
        <f>(C8-C18)/(D8-D18)</f>
        <v>0.002</v>
      </c>
    </row>
    <row r="23">
      <c r="B23" s="1" t="s">
        <v>17</v>
      </c>
    </row>
    <row r="25">
      <c r="B25" s="6" t="s">
        <v>7</v>
      </c>
      <c r="C25" s="7" t="s">
        <v>18</v>
      </c>
      <c r="D25" s="8" t="s">
        <v>9</v>
      </c>
      <c r="G25" s="2">
        <f t="array" ref="G25:H29">linest(C8:C18,D8:D18,1,1)</f>
        <v>0.001889516261</v>
      </c>
      <c r="H25" s="2">
        <v>-0.02688065193748789</v>
      </c>
    </row>
    <row r="26">
      <c r="B26" s="9">
        <v>0.0</v>
      </c>
      <c r="C26" s="10">
        <v>80.0</v>
      </c>
      <c r="D26" s="10">
        <v>56.5</v>
      </c>
      <c r="G26" s="2">
        <v>6.24053706001073E-5</v>
      </c>
      <c r="H26" s="2">
        <v>0.0032064382690188656</v>
      </c>
    </row>
    <row r="27">
      <c r="B27" s="9">
        <v>1.0</v>
      </c>
      <c r="C27" s="10">
        <f t="shared" ref="C27:C36" si="8">C26-2</f>
        <v>78</v>
      </c>
      <c r="D27" s="10">
        <v>55.6</v>
      </c>
      <c r="G27" s="2">
        <v>0.9902782950702441</v>
      </c>
      <c r="H27" s="2">
        <v>6.894079721916469E-4</v>
      </c>
    </row>
    <row r="28">
      <c r="B28" s="9">
        <v>2.0</v>
      </c>
      <c r="C28" s="10">
        <f t="shared" si="8"/>
        <v>76</v>
      </c>
      <c r="D28" s="10">
        <v>54.8</v>
      </c>
      <c r="G28" s="2">
        <v>916.7635430235191</v>
      </c>
      <c r="H28" s="2">
        <v>9.0</v>
      </c>
    </row>
    <row r="29">
      <c r="B29" s="9">
        <v>3.0</v>
      </c>
      <c r="C29" s="10">
        <f t="shared" si="8"/>
        <v>74</v>
      </c>
      <c r="D29" s="10">
        <v>53.7</v>
      </c>
      <c r="G29" s="2">
        <v>4.3572244983090813E-4</v>
      </c>
      <c r="H29" s="2">
        <v>4.277550169092587E-6</v>
      </c>
    </row>
    <row r="30">
      <c r="B30" s="9">
        <v>4.0</v>
      </c>
      <c r="C30" s="10">
        <f t="shared" si="8"/>
        <v>72</v>
      </c>
      <c r="D30" s="10">
        <v>52.1</v>
      </c>
    </row>
    <row r="31">
      <c r="B31" s="9">
        <v>5.0</v>
      </c>
      <c r="C31" s="10">
        <f t="shared" si="8"/>
        <v>70</v>
      </c>
      <c r="D31" s="10">
        <v>50.6</v>
      </c>
    </row>
    <row r="32">
      <c r="B32" s="9">
        <v>6.0</v>
      </c>
      <c r="C32" s="10">
        <f t="shared" si="8"/>
        <v>68</v>
      </c>
      <c r="D32" s="10">
        <v>50.0</v>
      </c>
    </row>
    <row r="33">
      <c r="B33" s="9">
        <v>7.0</v>
      </c>
      <c r="C33" s="10">
        <f t="shared" si="8"/>
        <v>66</v>
      </c>
      <c r="D33" s="10">
        <v>48.9</v>
      </c>
    </row>
    <row r="34">
      <c r="B34" s="9">
        <v>8.0</v>
      </c>
      <c r="C34" s="10">
        <f t="shared" si="8"/>
        <v>64</v>
      </c>
      <c r="D34" s="10">
        <v>48.0</v>
      </c>
    </row>
    <row r="35">
      <c r="B35" s="9">
        <v>9.0</v>
      </c>
      <c r="C35" s="10">
        <f t="shared" si="8"/>
        <v>62</v>
      </c>
      <c r="D35" s="10">
        <v>47.3</v>
      </c>
    </row>
    <row r="36">
      <c r="B36" s="9">
        <v>10.0</v>
      </c>
      <c r="C36" s="10">
        <f t="shared" si="8"/>
        <v>60</v>
      </c>
      <c r="D36" s="10">
        <v>46.5</v>
      </c>
    </row>
    <row r="37">
      <c r="B37" s="11" t="s">
        <v>14</v>
      </c>
      <c r="C37" s="12">
        <f t="shared" ref="C37:D37" si="9">C26-C36</f>
        <v>20</v>
      </c>
      <c r="D37" s="12">
        <f t="shared" si="9"/>
        <v>10</v>
      </c>
    </row>
    <row r="38">
      <c r="B38" s="1" t="s">
        <v>19</v>
      </c>
      <c r="C38" s="2">
        <f>C37/D37</f>
        <v>2</v>
      </c>
    </row>
    <row r="40">
      <c r="B40" s="1" t="s">
        <v>20</v>
      </c>
    </row>
    <row r="42">
      <c r="B42" s="3" t="s">
        <v>7</v>
      </c>
      <c r="C42" s="7" t="s">
        <v>18</v>
      </c>
      <c r="D42" s="3" t="s">
        <v>9</v>
      </c>
      <c r="E42" s="13"/>
    </row>
    <row r="43">
      <c r="B43" s="3">
        <v>0.0</v>
      </c>
      <c r="C43" s="10">
        <v>80.0</v>
      </c>
      <c r="D43" s="4">
        <f t="shared" ref="D43:D53" si="10">E8</f>
        <v>329.65</v>
      </c>
    </row>
    <row r="44">
      <c r="B44" s="3">
        <v>1.0</v>
      </c>
      <c r="C44" s="10">
        <f t="shared" ref="C44:C53" si="11">C43-2</f>
        <v>78</v>
      </c>
      <c r="D44" s="4">
        <f t="shared" si="10"/>
        <v>328.75</v>
      </c>
    </row>
    <row r="45">
      <c r="B45" s="3">
        <v>2.0</v>
      </c>
      <c r="C45" s="10">
        <f t="shared" si="11"/>
        <v>76</v>
      </c>
      <c r="D45" s="4">
        <f t="shared" si="10"/>
        <v>327.95</v>
      </c>
    </row>
    <row r="46">
      <c r="B46" s="3">
        <v>3.0</v>
      </c>
      <c r="C46" s="10">
        <f t="shared" si="11"/>
        <v>74</v>
      </c>
      <c r="D46" s="4">
        <f t="shared" si="10"/>
        <v>326.85</v>
      </c>
    </row>
    <row r="47">
      <c r="B47" s="3">
        <v>4.0</v>
      </c>
      <c r="C47" s="10">
        <f t="shared" si="11"/>
        <v>72</v>
      </c>
      <c r="D47" s="4">
        <f t="shared" si="10"/>
        <v>325.25</v>
      </c>
    </row>
    <row r="48">
      <c r="B48" s="3">
        <v>5.0</v>
      </c>
      <c r="C48" s="10">
        <f t="shared" si="11"/>
        <v>70</v>
      </c>
      <c r="D48" s="4">
        <f t="shared" si="10"/>
        <v>323.75</v>
      </c>
    </row>
    <row r="49">
      <c r="B49" s="3">
        <v>6.0</v>
      </c>
      <c r="C49" s="10">
        <f t="shared" si="11"/>
        <v>68</v>
      </c>
      <c r="D49" s="4">
        <f t="shared" si="10"/>
        <v>323.15</v>
      </c>
    </row>
    <row r="50">
      <c r="B50" s="3">
        <v>7.0</v>
      </c>
      <c r="C50" s="10">
        <f t="shared" si="11"/>
        <v>66</v>
      </c>
      <c r="D50" s="4">
        <f t="shared" si="10"/>
        <v>322.05</v>
      </c>
    </row>
    <row r="51">
      <c r="B51" s="3">
        <v>8.0</v>
      </c>
      <c r="C51" s="10">
        <f t="shared" si="11"/>
        <v>64</v>
      </c>
      <c r="D51" s="4">
        <f t="shared" si="10"/>
        <v>321.15</v>
      </c>
    </row>
    <row r="52">
      <c r="B52" s="3">
        <v>9.0</v>
      </c>
      <c r="C52" s="10">
        <f t="shared" si="11"/>
        <v>62</v>
      </c>
      <c r="D52" s="4">
        <f t="shared" si="10"/>
        <v>320.45</v>
      </c>
    </row>
    <row r="53">
      <c r="B53" s="3">
        <v>10.0</v>
      </c>
      <c r="C53" s="10">
        <f t="shared" si="11"/>
        <v>60</v>
      </c>
      <c r="D53" s="4">
        <f t="shared" si="10"/>
        <v>319.65</v>
      </c>
    </row>
    <row r="55">
      <c r="B55" s="11" t="s">
        <v>14</v>
      </c>
      <c r="C55" s="12">
        <f t="shared" ref="C55:D55" si="12">C43-C53</f>
        <v>20</v>
      </c>
      <c r="D55" s="12">
        <f t="shared" si="12"/>
        <v>10</v>
      </c>
    </row>
    <row r="56">
      <c r="B56" s="1" t="s">
        <v>19</v>
      </c>
      <c r="C56" s="2">
        <f>C55/D55</f>
        <v>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6.75"/>
    <col customWidth="1" min="7" max="7" width="16.63"/>
    <col customWidth="1" min="8" max="8" width="15.75"/>
    <col customWidth="1" min="9" max="9" width="15.25"/>
    <col customWidth="1" min="10" max="10" width="17.38"/>
    <col customWidth="1" min="12" max="12" width="16.75"/>
  </cols>
  <sheetData>
    <row r="2">
      <c r="E2" s="1" t="s">
        <v>0</v>
      </c>
      <c r="F2" s="2">
        <f>1.5*10^-3</f>
        <v>0.0015</v>
      </c>
      <c r="G2" s="1" t="s">
        <v>1</v>
      </c>
      <c r="H2" s="1">
        <v>0.08</v>
      </c>
      <c r="L2" s="1" t="s">
        <v>1</v>
      </c>
    </row>
    <row r="3">
      <c r="B3" s="1" t="s">
        <v>2</v>
      </c>
      <c r="C3" s="1">
        <f>25.3*10^-3</f>
        <v>0.0253</v>
      </c>
      <c r="E3" s="1" t="s">
        <v>3</v>
      </c>
      <c r="F3" s="1">
        <v>997.0</v>
      </c>
      <c r="J3" s="1" t="s">
        <v>4</v>
      </c>
      <c r="K3" s="2">
        <f>(C4-C3)/F3</f>
        <v>0.00004944834504</v>
      </c>
      <c r="L3" s="2">
        <f>K4*K3</f>
        <v>0.0000002617326489</v>
      </c>
    </row>
    <row r="4">
      <c r="B4" s="1" t="s">
        <v>5</v>
      </c>
      <c r="C4" s="1">
        <f>74.6*10^-3</f>
        <v>0.0746</v>
      </c>
      <c r="E4" s="1" t="s">
        <v>6</v>
      </c>
      <c r="F4" s="1">
        <f>0.84*10^-4</f>
        <v>0.000084</v>
      </c>
      <c r="J4" s="1" t="s">
        <v>21</v>
      </c>
      <c r="K4" s="14">
        <f>(0.1*10^-3/C3+0.1*10^-3/C4)</f>
        <v>0.005293051744</v>
      </c>
    </row>
    <row r="5">
      <c r="E5" s="1" t="s">
        <v>22</v>
      </c>
      <c r="F5" s="1">
        <v>0.05</v>
      </c>
    </row>
    <row r="6">
      <c r="E6" s="1" t="s">
        <v>23</v>
      </c>
      <c r="F6" s="2">
        <f>0.0005</f>
        <v>0.0005</v>
      </c>
    </row>
    <row r="7">
      <c r="B7" s="3" t="s">
        <v>7</v>
      </c>
      <c r="C7" s="3" t="s">
        <v>8</v>
      </c>
      <c r="D7" s="3" t="s">
        <v>9</v>
      </c>
      <c r="E7" s="3" t="s">
        <v>10</v>
      </c>
      <c r="H7" s="1" t="s">
        <v>11</v>
      </c>
      <c r="I7" s="1" t="s">
        <v>24</v>
      </c>
      <c r="J7" s="1" t="s">
        <v>25</v>
      </c>
      <c r="L7" s="1" t="s">
        <v>13</v>
      </c>
      <c r="M7" s="1" t="s">
        <v>1</v>
      </c>
    </row>
    <row r="8">
      <c r="B8" s="3">
        <v>0.0</v>
      </c>
      <c r="C8" s="3">
        <f>80*10^-3</f>
        <v>0.08</v>
      </c>
      <c r="D8" s="4">
        <v>56.5</v>
      </c>
      <c r="E8" s="2">
        <f t="shared" ref="E8:E18" si="1">D8+273.15</f>
        <v>329.65</v>
      </c>
      <c r="L8" s="2">
        <f>(1/$K$3)*(PI()*$F$2^2*$C$20)+F4</f>
        <v>0.0003698976763</v>
      </c>
      <c r="M8" s="2">
        <f>L9*L8</f>
        <v>0.000006889856557</v>
      </c>
    </row>
    <row r="9">
      <c r="B9" s="3">
        <v>1.0</v>
      </c>
      <c r="C9" s="5">
        <f t="shared" ref="C9:C18" si="2">C8-2*10^-3</f>
        <v>0.078</v>
      </c>
      <c r="D9" s="3">
        <v>55.6</v>
      </c>
      <c r="E9" s="2">
        <f t="shared" si="1"/>
        <v>328.75</v>
      </c>
      <c r="H9" s="2">
        <f>1/($K$3*(D8-D9))*($F$4*$K$3*(D8-D9)+PI()*$F$2^2*(C8-C9))</f>
        <v>0.0004016640847</v>
      </c>
      <c r="I9" s="2">
        <f t="shared" ref="I9:I18" si="3">H9*$J$9</f>
        <v>0.00004269410134</v>
      </c>
      <c r="J9" s="2">
        <f>K4+2*F5+2*F6</f>
        <v>0.1062930517</v>
      </c>
      <c r="L9" s="15">
        <f>L3/K3+2*0.00001/F2</f>
        <v>0.01862638508</v>
      </c>
    </row>
    <row r="10">
      <c r="B10" s="3">
        <v>2.0</v>
      </c>
      <c r="C10" s="5">
        <f t="shared" si="2"/>
        <v>0.076</v>
      </c>
      <c r="D10" s="3">
        <v>54.8</v>
      </c>
      <c r="E10" s="2">
        <f t="shared" si="1"/>
        <v>327.95</v>
      </c>
      <c r="H10" s="2">
        <f t="shared" ref="H10:H18" si="4">1/($K$3*(D9-D10))*($F$4*$K$3*(D9-D10)+ PI()*$F$2^2*(C9-C10))</f>
        <v>0.0004413720953</v>
      </c>
      <c r="I10" s="2">
        <f t="shared" si="3"/>
        <v>0.00004691478697</v>
      </c>
    </row>
    <row r="11">
      <c r="B11" s="3">
        <v>3.0</v>
      </c>
      <c r="C11" s="5">
        <f t="shared" si="2"/>
        <v>0.074</v>
      </c>
      <c r="D11" s="3">
        <v>53.7</v>
      </c>
      <c r="E11" s="2">
        <f t="shared" si="1"/>
        <v>326.85</v>
      </c>
      <c r="H11" s="2">
        <f t="shared" si="4"/>
        <v>0.0003439069784</v>
      </c>
      <c r="I11" s="2">
        <f t="shared" si="3"/>
        <v>0.00003655492225</v>
      </c>
    </row>
    <row r="12">
      <c r="B12" s="3">
        <v>4.0</v>
      </c>
      <c r="C12" s="5">
        <f t="shared" si="2"/>
        <v>0.072</v>
      </c>
      <c r="D12" s="3">
        <v>52.1</v>
      </c>
      <c r="E12" s="2">
        <f t="shared" si="1"/>
        <v>325.25</v>
      </c>
      <c r="H12" s="2">
        <f t="shared" si="4"/>
        <v>0.0002626860477</v>
      </c>
      <c r="I12" s="2">
        <f t="shared" si="3"/>
        <v>0.00002792170166</v>
      </c>
    </row>
    <row r="13">
      <c r="B13" s="3">
        <v>5.0</v>
      </c>
      <c r="C13" s="5">
        <f t="shared" si="2"/>
        <v>0.07</v>
      </c>
      <c r="D13" s="3">
        <v>50.6</v>
      </c>
      <c r="E13" s="2">
        <f t="shared" si="1"/>
        <v>323.75</v>
      </c>
      <c r="H13" s="2">
        <f t="shared" si="4"/>
        <v>0.0002745984508</v>
      </c>
      <c r="I13" s="2">
        <f t="shared" si="3"/>
        <v>0.00002918790734</v>
      </c>
    </row>
    <row r="14">
      <c r="B14" s="3">
        <v>6.0</v>
      </c>
      <c r="C14" s="5">
        <f t="shared" si="2"/>
        <v>0.068</v>
      </c>
      <c r="D14" s="3">
        <v>50.0</v>
      </c>
      <c r="E14" s="2">
        <f t="shared" si="1"/>
        <v>323.15</v>
      </c>
      <c r="H14" s="2">
        <f t="shared" si="4"/>
        <v>0.0005604961271</v>
      </c>
      <c r="I14" s="2">
        <f t="shared" si="3"/>
        <v>0.00005957684384</v>
      </c>
    </row>
    <row r="15">
      <c r="B15" s="3">
        <v>7.0</v>
      </c>
      <c r="C15" s="5">
        <f t="shared" si="2"/>
        <v>0.066</v>
      </c>
      <c r="D15" s="3">
        <v>48.9</v>
      </c>
      <c r="E15" s="2">
        <f t="shared" si="1"/>
        <v>322.05</v>
      </c>
      <c r="H15" s="2">
        <f t="shared" si="4"/>
        <v>0.0003439069784</v>
      </c>
      <c r="I15" s="2">
        <f t="shared" si="3"/>
        <v>0.00003655492225</v>
      </c>
    </row>
    <row r="16">
      <c r="B16" s="3">
        <v>8.0</v>
      </c>
      <c r="C16" s="5">
        <f t="shared" si="2"/>
        <v>0.064</v>
      </c>
      <c r="D16" s="3">
        <v>48.0</v>
      </c>
      <c r="E16" s="2">
        <f t="shared" si="1"/>
        <v>321.15</v>
      </c>
      <c r="H16" s="2">
        <f t="shared" si="4"/>
        <v>0.0004016640847</v>
      </c>
      <c r="I16" s="2">
        <f t="shared" si="3"/>
        <v>0.00004269410134</v>
      </c>
    </row>
    <row r="17">
      <c r="B17" s="3">
        <v>9.0</v>
      </c>
      <c r="C17" s="5">
        <f t="shared" si="2"/>
        <v>0.062</v>
      </c>
      <c r="D17" s="3">
        <v>47.3</v>
      </c>
      <c r="E17" s="2">
        <f t="shared" si="1"/>
        <v>320.45</v>
      </c>
      <c r="H17" s="2">
        <f t="shared" si="4"/>
        <v>0.0004924252518</v>
      </c>
      <c r="I17" s="2">
        <f t="shared" si="3"/>
        <v>0.00005234138277</v>
      </c>
    </row>
    <row r="18">
      <c r="B18" s="3">
        <v>10.0</v>
      </c>
      <c r="C18" s="5">
        <f t="shared" si="2"/>
        <v>0.06</v>
      </c>
      <c r="D18" s="3">
        <v>46.5</v>
      </c>
      <c r="E18" s="2">
        <f t="shared" si="1"/>
        <v>319.65</v>
      </c>
      <c r="H18" s="2">
        <f t="shared" si="4"/>
        <v>0.0004413720953</v>
      </c>
      <c r="I18" s="2">
        <f t="shared" si="3"/>
        <v>0.00004691478697</v>
      </c>
    </row>
    <row r="19">
      <c r="B19" s="1" t="s">
        <v>14</v>
      </c>
      <c r="C19" s="2">
        <f t="shared" ref="C19:E19" si="5">C8-C18</f>
        <v>0.02</v>
      </c>
      <c r="D19" s="2">
        <f t="shared" si="5"/>
        <v>10</v>
      </c>
      <c r="E19" s="2">
        <f t="shared" si="5"/>
        <v>10</v>
      </c>
    </row>
    <row r="20">
      <c r="B20" s="1" t="s">
        <v>16</v>
      </c>
      <c r="C20" s="2">
        <f>(C8-C18)/(D8-D18)</f>
        <v>0.002</v>
      </c>
    </row>
    <row r="23">
      <c r="B23" s="1" t="s">
        <v>17</v>
      </c>
    </row>
    <row r="25">
      <c r="B25" s="6" t="s">
        <v>7</v>
      </c>
      <c r="C25" s="7" t="s">
        <v>18</v>
      </c>
      <c r="D25" s="8" t="s">
        <v>9</v>
      </c>
      <c r="G25" s="2">
        <f t="array" ref="G25:H29">linest(C8:C18,D8:D18,1,1)</f>
        <v>0.001889516261</v>
      </c>
      <c r="H25" s="2">
        <v>-0.02688065193748789</v>
      </c>
    </row>
    <row r="26">
      <c r="B26" s="9">
        <v>0.0</v>
      </c>
      <c r="C26" s="10">
        <v>80.0</v>
      </c>
      <c r="D26" s="10">
        <v>56.5</v>
      </c>
      <c r="G26" s="2">
        <v>6.24053706001073E-5</v>
      </c>
      <c r="H26" s="2">
        <v>0.0032064382690188656</v>
      </c>
    </row>
    <row r="27">
      <c r="B27" s="9">
        <v>1.0</v>
      </c>
      <c r="C27" s="10">
        <f t="shared" ref="C27:C36" si="6">C26-2</f>
        <v>78</v>
      </c>
      <c r="D27" s="10">
        <v>55.6</v>
      </c>
      <c r="G27" s="2">
        <v>0.9902782950702441</v>
      </c>
      <c r="H27" s="2">
        <v>6.894079721916469E-4</v>
      </c>
    </row>
    <row r="28">
      <c r="B28" s="9">
        <v>2.0</v>
      </c>
      <c r="C28" s="10">
        <f t="shared" si="6"/>
        <v>76</v>
      </c>
      <c r="D28" s="10">
        <v>54.8</v>
      </c>
      <c r="G28" s="2">
        <v>916.7635430235191</v>
      </c>
      <c r="H28" s="2">
        <v>9.0</v>
      </c>
    </row>
    <row r="29">
      <c r="B29" s="9">
        <v>3.0</v>
      </c>
      <c r="C29" s="10">
        <f t="shared" si="6"/>
        <v>74</v>
      </c>
      <c r="D29" s="10">
        <v>53.7</v>
      </c>
      <c r="G29" s="2">
        <v>4.3572244983090813E-4</v>
      </c>
      <c r="H29" s="2">
        <v>4.277550169092587E-6</v>
      </c>
    </row>
    <row r="30">
      <c r="B30" s="9">
        <v>4.0</v>
      </c>
      <c r="C30" s="10">
        <f t="shared" si="6"/>
        <v>72</v>
      </c>
      <c r="D30" s="10">
        <v>52.1</v>
      </c>
    </row>
    <row r="31">
      <c r="B31" s="9">
        <v>5.0</v>
      </c>
      <c r="C31" s="10">
        <f t="shared" si="6"/>
        <v>70</v>
      </c>
      <c r="D31" s="10">
        <v>50.6</v>
      </c>
    </row>
    <row r="32">
      <c r="B32" s="9">
        <v>6.0</v>
      </c>
      <c r="C32" s="10">
        <f t="shared" si="6"/>
        <v>68</v>
      </c>
      <c r="D32" s="10">
        <v>50.0</v>
      </c>
    </row>
    <row r="33">
      <c r="B33" s="9">
        <v>7.0</v>
      </c>
      <c r="C33" s="10">
        <f t="shared" si="6"/>
        <v>66</v>
      </c>
      <c r="D33" s="10">
        <v>48.9</v>
      </c>
    </row>
    <row r="34">
      <c r="B34" s="9">
        <v>8.0</v>
      </c>
      <c r="C34" s="10">
        <f t="shared" si="6"/>
        <v>64</v>
      </c>
      <c r="D34" s="10">
        <v>48.0</v>
      </c>
    </row>
    <row r="35">
      <c r="B35" s="9">
        <v>9.0</v>
      </c>
      <c r="C35" s="10">
        <f t="shared" si="6"/>
        <v>62</v>
      </c>
      <c r="D35" s="10">
        <v>47.3</v>
      </c>
    </row>
    <row r="36">
      <c r="B36" s="9">
        <v>10.0</v>
      </c>
      <c r="C36" s="10">
        <f t="shared" si="6"/>
        <v>60</v>
      </c>
      <c r="D36" s="10">
        <v>46.5</v>
      </c>
    </row>
    <row r="37">
      <c r="B37" s="11" t="s">
        <v>14</v>
      </c>
      <c r="C37" s="12">
        <f t="shared" ref="C37:D37" si="7">C26-C36</f>
        <v>20</v>
      </c>
      <c r="D37" s="12">
        <f t="shared" si="7"/>
        <v>10</v>
      </c>
    </row>
    <row r="38">
      <c r="B38" s="1" t="s">
        <v>19</v>
      </c>
      <c r="C38" s="2">
        <f>C37/D37</f>
        <v>2</v>
      </c>
    </row>
    <row r="40">
      <c r="B40" s="1" t="s">
        <v>20</v>
      </c>
    </row>
    <row r="42">
      <c r="B42" s="3" t="s">
        <v>7</v>
      </c>
      <c r="C42" s="7" t="s">
        <v>18</v>
      </c>
      <c r="D42" s="3" t="s">
        <v>9</v>
      </c>
      <c r="E42" s="13"/>
    </row>
    <row r="43">
      <c r="B43" s="3">
        <v>0.0</v>
      </c>
      <c r="C43" s="10">
        <v>80.0</v>
      </c>
      <c r="D43" s="4">
        <f t="shared" ref="D43:D53" si="8">E8</f>
        <v>329.65</v>
      </c>
    </row>
    <row r="44">
      <c r="B44" s="3">
        <v>1.0</v>
      </c>
      <c r="C44" s="10">
        <f t="shared" ref="C44:C53" si="9">C43-2</f>
        <v>78</v>
      </c>
      <c r="D44" s="4">
        <f t="shared" si="8"/>
        <v>328.75</v>
      </c>
    </row>
    <row r="45">
      <c r="B45" s="3">
        <v>2.0</v>
      </c>
      <c r="C45" s="10">
        <f t="shared" si="9"/>
        <v>76</v>
      </c>
      <c r="D45" s="4">
        <f t="shared" si="8"/>
        <v>327.95</v>
      </c>
    </row>
    <row r="46">
      <c r="B46" s="3">
        <v>3.0</v>
      </c>
      <c r="C46" s="10">
        <f t="shared" si="9"/>
        <v>74</v>
      </c>
      <c r="D46" s="4">
        <f t="shared" si="8"/>
        <v>326.85</v>
      </c>
    </row>
    <row r="47">
      <c r="B47" s="3">
        <v>4.0</v>
      </c>
      <c r="C47" s="10">
        <f t="shared" si="9"/>
        <v>72</v>
      </c>
      <c r="D47" s="4">
        <f t="shared" si="8"/>
        <v>325.25</v>
      </c>
    </row>
    <row r="48">
      <c r="B48" s="3">
        <v>5.0</v>
      </c>
      <c r="C48" s="10">
        <f t="shared" si="9"/>
        <v>70</v>
      </c>
      <c r="D48" s="4">
        <f t="shared" si="8"/>
        <v>323.75</v>
      </c>
    </row>
    <row r="49">
      <c r="B49" s="3">
        <v>6.0</v>
      </c>
      <c r="C49" s="10">
        <f t="shared" si="9"/>
        <v>68</v>
      </c>
      <c r="D49" s="4">
        <f t="shared" si="8"/>
        <v>323.15</v>
      </c>
    </row>
    <row r="50">
      <c r="B50" s="3">
        <v>7.0</v>
      </c>
      <c r="C50" s="10">
        <f t="shared" si="9"/>
        <v>66</v>
      </c>
      <c r="D50" s="4">
        <f t="shared" si="8"/>
        <v>322.05</v>
      </c>
    </row>
    <row r="51">
      <c r="B51" s="3">
        <v>8.0</v>
      </c>
      <c r="C51" s="10">
        <f t="shared" si="9"/>
        <v>64</v>
      </c>
      <c r="D51" s="4">
        <f t="shared" si="8"/>
        <v>321.15</v>
      </c>
    </row>
    <row r="52">
      <c r="B52" s="3">
        <v>9.0</v>
      </c>
      <c r="C52" s="10">
        <f t="shared" si="9"/>
        <v>62</v>
      </c>
      <c r="D52" s="4">
        <f t="shared" si="8"/>
        <v>320.45</v>
      </c>
    </row>
    <row r="53">
      <c r="B53" s="3">
        <v>10.0</v>
      </c>
      <c r="C53" s="10">
        <f t="shared" si="9"/>
        <v>60</v>
      </c>
      <c r="D53" s="4">
        <f t="shared" si="8"/>
        <v>319.65</v>
      </c>
    </row>
    <row r="55">
      <c r="B55" s="11" t="s">
        <v>14</v>
      </c>
      <c r="C55" s="12">
        <f t="shared" ref="C55:D55" si="10">C43-C53</f>
        <v>20</v>
      </c>
      <c r="D55" s="12">
        <f t="shared" si="10"/>
        <v>10</v>
      </c>
    </row>
    <row r="56">
      <c r="B56" s="1" t="s">
        <v>19</v>
      </c>
      <c r="C56" s="2">
        <f>C55/D55</f>
        <v>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