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drawings/drawing1.xml" ContentType="application/vnd.openxmlformats-officedocument.drawing+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1"/>
  <workbookPr defaultThemeVersion="124226"/>
  <mc:AlternateContent xmlns:mc="http://schemas.openxmlformats.org/markup-compatibility/2006">
    <mc:Choice Requires="x15">
      <x15ac:absPath xmlns:x15ac="http://schemas.microsoft.com/office/spreadsheetml/2010/11/ac" url="/Users/vl/Desktop/PycharmProjects/"/>
    </mc:Choice>
  </mc:AlternateContent>
  <xr:revisionPtr revIDLastSave="0" documentId="13_ncr:1_{7665B45D-3699-2C47-ACE9-01AB747A2AB4}" xr6:coauthVersionLast="47" xr6:coauthVersionMax="47" xr10:uidLastSave="{00000000-0000-0000-0000-000000000000}"/>
  <bookViews>
    <workbookView xWindow="46140" yWindow="500" windowWidth="48360" windowHeight="28300" xr2:uid="{00000000-000D-0000-FFFF-FFFF00000000}"/>
  </bookViews>
  <sheets>
    <sheet name="DCF" sheetId="9" r:id="rId1"/>
    <sheet name="Revenue" sheetId="10" r:id="rId2"/>
    <sheet name="income" sheetId="3" r:id="rId3"/>
    <sheet name="balance" sheetId="1" r:id="rId4"/>
    <sheet name="cashflow" sheetId="2" r:id="rId5"/>
    <sheet name="Debt" sheetId="12" r:id="rId6"/>
    <sheet name="Competitors" sheetId="11" r:id="rId7"/>
  </sheets>
  <definedNames>
    <definedName name="solver_eng" localSheetId="2" hidden="1">1</definedName>
    <definedName name="solver_lin" localSheetId="2" hidden="1">2</definedName>
    <definedName name="solver_neg" localSheetId="2" hidden="1">1</definedName>
    <definedName name="solver_num" localSheetId="2" hidden="1">0</definedName>
    <definedName name="solver_opt" localSheetId="2" hidden="1">income!$H$34</definedName>
    <definedName name="solver_typ" localSheetId="2" hidden="1">1</definedName>
    <definedName name="solver_val" localSheetId="2" hidden="1">0</definedName>
    <definedName name="solver_ver" localSheetId="2" hidden="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S6" i="9" l="1" a="1"/>
  <c r="S6" i="9" s="1"/>
  <c r="R74" i="9"/>
  <c r="S74" i="9" s="1"/>
  <c r="P74" i="9"/>
  <c r="O74" i="9" s="1"/>
  <c r="R65" i="9"/>
  <c r="S65" i="9" s="1"/>
  <c r="P65" i="9"/>
  <c r="O65" i="9" s="1"/>
  <c r="K74" i="9"/>
  <c r="L74" i="9" s="1"/>
  <c r="I74" i="9"/>
  <c r="H74" i="9" s="1"/>
  <c r="K65" i="9"/>
  <c r="I65" i="9"/>
  <c r="C53" i="9"/>
  <c r="C54" i="9" s="1"/>
  <c r="C55" i="9" s="1"/>
  <c r="C56" i="9" s="1"/>
  <c r="C57" i="9" s="1"/>
  <c r="S19" i="9"/>
  <c r="R52" i="9"/>
  <c r="S52" i="9" s="1"/>
  <c r="P52" i="9"/>
  <c r="O52" i="9" s="1"/>
  <c r="B53" i="9"/>
  <c r="B54" i="9" s="1"/>
  <c r="B55" i="9" s="1"/>
  <c r="B56" i="9" s="1"/>
  <c r="B57" i="9" s="1"/>
  <c r="K52" i="9"/>
  <c r="L52" i="9" s="1"/>
  <c r="I52" i="9"/>
  <c r="H52" i="9" s="1"/>
  <c r="R43" i="9"/>
  <c r="P43" i="9"/>
  <c r="O43" i="9" s="1"/>
  <c r="L30" i="9"/>
  <c r="M30" i="9" s="1"/>
  <c r="N30" i="9" s="1"/>
  <c r="O30" i="9" s="1"/>
  <c r="K7" i="1"/>
  <c r="J48" i="3"/>
  <c r="E56" i="1"/>
  <c r="F56" i="1"/>
  <c r="G56" i="1"/>
  <c r="D56" i="1"/>
  <c r="H72" i="1"/>
  <c r="D59" i="1"/>
  <c r="E54" i="1"/>
  <c r="F54" i="1"/>
  <c r="G54" i="1"/>
  <c r="E55" i="1"/>
  <c r="F55" i="1"/>
  <c r="G55" i="1"/>
  <c r="D55" i="1"/>
  <c r="D54" i="1"/>
  <c r="H54" i="1" s="1"/>
  <c r="H6" i="1" s="1"/>
  <c r="H69" i="1" s="1"/>
  <c r="H27" i="1"/>
  <c r="E59" i="1"/>
  <c r="F59" i="1"/>
  <c r="G59" i="1"/>
  <c r="H59" i="1"/>
  <c r="I59" i="1" s="1"/>
  <c r="J59" i="1" s="1"/>
  <c r="K59" i="1" s="1"/>
  <c r="L59" i="1" s="1"/>
  <c r="L26" i="1" s="1"/>
  <c r="J33" i="10"/>
  <c r="J32" i="10"/>
  <c r="H32" i="10"/>
  <c r="I33" i="10"/>
  <c r="I32" i="10"/>
  <c r="H33" i="10"/>
  <c r="I30" i="10"/>
  <c r="I31" i="10"/>
  <c r="H6" i="10" s="1"/>
  <c r="I6" i="10" s="1"/>
  <c r="J6" i="10" s="1"/>
  <c r="K6" i="10" s="1"/>
  <c r="L6" i="10" s="1"/>
  <c r="H36" i="10"/>
  <c r="C36" i="10"/>
  <c r="C37" i="10"/>
  <c r="C38" i="10"/>
  <c r="D36" i="10"/>
  <c r="E42" i="10"/>
  <c r="F42" i="10"/>
  <c r="G42" i="10"/>
  <c r="D42" i="10"/>
  <c r="J30" i="10"/>
  <c r="H5" i="10"/>
  <c r="I5" i="10" s="1"/>
  <c r="J5" i="10" s="1"/>
  <c r="K5" i="10" s="1"/>
  <c r="L5" i="10" s="1"/>
  <c r="L16" i="10" s="1"/>
  <c r="H30" i="10"/>
  <c r="C54" i="1"/>
  <c r="C55" i="1"/>
  <c r="B56" i="1"/>
  <c r="C56" i="1"/>
  <c r="M45" i="3"/>
  <c r="M44" i="3"/>
  <c r="M43" i="3"/>
  <c r="M42" i="3"/>
  <c r="A15" i="3"/>
  <c r="E15" i="3"/>
  <c r="F15" i="3"/>
  <c r="G15" i="3"/>
  <c r="B16" i="3"/>
  <c r="C16" i="3"/>
  <c r="D16" i="3"/>
  <c r="E16" i="3"/>
  <c r="F16" i="3"/>
  <c r="G16" i="3"/>
  <c r="H19" i="9"/>
  <c r="I19" i="9"/>
  <c r="J19" i="9"/>
  <c r="G19" i="9"/>
  <c r="D70" i="1"/>
  <c r="D69" i="1"/>
  <c r="G76" i="1"/>
  <c r="F76" i="1"/>
  <c r="E76" i="1"/>
  <c r="D76" i="1"/>
  <c r="F75" i="1"/>
  <c r="E75" i="1"/>
  <c r="D75" i="1"/>
  <c r="G74" i="1"/>
  <c r="F74" i="1"/>
  <c r="E74" i="1"/>
  <c r="D74" i="1"/>
  <c r="G73" i="1"/>
  <c r="F73" i="1"/>
  <c r="E73" i="1"/>
  <c r="D73" i="1"/>
  <c r="G72" i="1"/>
  <c r="F72" i="1"/>
  <c r="E72" i="1"/>
  <c r="D72" i="1"/>
  <c r="G71" i="1"/>
  <c r="F71" i="1"/>
  <c r="E71" i="1"/>
  <c r="D71" i="1"/>
  <c r="G70" i="1"/>
  <c r="F70" i="1"/>
  <c r="E70" i="1"/>
  <c r="G69" i="1"/>
  <c r="F69" i="1"/>
  <c r="E69" i="1"/>
  <c r="H31" i="10"/>
  <c r="J31" i="10"/>
  <c r="E12" i="10"/>
  <c r="E11" i="10"/>
  <c r="D31" i="10"/>
  <c r="D30" i="10"/>
  <c r="F33" i="10"/>
  <c r="E32" i="10"/>
  <c r="F32" i="10"/>
  <c r="G33" i="10"/>
  <c r="E30" i="10"/>
  <c r="F30" i="10"/>
  <c r="G30" i="10"/>
  <c r="E31" i="10"/>
  <c r="F31" i="10"/>
  <c r="G31" i="10"/>
  <c r="D32" i="10"/>
  <c r="G32" i="10"/>
  <c r="I43" i="9"/>
  <c r="H43" i="9" s="1"/>
  <c r="K43" i="9"/>
  <c r="L43" i="9" s="1"/>
  <c r="D64" i="1"/>
  <c r="E64" i="1"/>
  <c r="F64" i="1"/>
  <c r="G64" i="1"/>
  <c r="D91" i="2"/>
  <c r="D95" i="2"/>
  <c r="E95" i="2"/>
  <c r="F95" i="2"/>
  <c r="G95" i="2"/>
  <c r="D96" i="2"/>
  <c r="E96" i="2"/>
  <c r="F96" i="2"/>
  <c r="G96" i="2"/>
  <c r="D97" i="2"/>
  <c r="E97" i="2"/>
  <c r="F97" i="2"/>
  <c r="D98" i="2"/>
  <c r="E98" i="2"/>
  <c r="F98" i="2"/>
  <c r="G98" i="2"/>
  <c r="F94" i="2"/>
  <c r="G94" i="2"/>
  <c r="D94" i="2"/>
  <c r="E94" i="2"/>
  <c r="E91" i="2"/>
  <c r="D92" i="2"/>
  <c r="D93" i="2"/>
  <c r="E93" i="2"/>
  <c r="F93" i="2"/>
  <c r="G93" i="2"/>
  <c r="E92" i="2"/>
  <c r="F92" i="2"/>
  <c r="G92" i="2"/>
  <c r="F91" i="2"/>
  <c r="G91" i="2"/>
  <c r="F52" i="3"/>
  <c r="D52" i="3"/>
  <c r="D49" i="3"/>
  <c r="F49" i="3"/>
  <c r="G49" i="3"/>
  <c r="E49" i="3"/>
  <c r="F48" i="3"/>
  <c r="G48" i="3"/>
  <c r="D48" i="3"/>
  <c r="E48" i="3"/>
  <c r="I35" i="10"/>
  <c r="J35" i="10" s="1"/>
  <c r="K35" i="10" s="1"/>
  <c r="L35" i="10" s="1"/>
  <c r="H22" i="10"/>
  <c r="E36" i="10"/>
  <c r="F36" i="10"/>
  <c r="G36" i="10"/>
  <c r="D38" i="10"/>
  <c r="F38" i="10"/>
  <c r="G38" i="10"/>
  <c r="E38" i="10"/>
  <c r="D37" i="10"/>
  <c r="F37" i="10"/>
  <c r="G37" i="10"/>
  <c r="E37" i="10"/>
  <c r="G35" i="10"/>
  <c r="F35" i="10"/>
  <c r="D31" i="3"/>
  <c r="E31" i="3"/>
  <c r="F31" i="3"/>
  <c r="G31" i="3"/>
  <c r="D76" i="2"/>
  <c r="E52" i="3"/>
  <c r="H65" i="9" l="1"/>
  <c r="L65" i="9"/>
  <c r="S43" i="9"/>
  <c r="K26" i="1"/>
  <c r="J26" i="1"/>
  <c r="I26" i="1"/>
  <c r="H26" i="1"/>
  <c r="E77" i="1"/>
  <c r="G77" i="1"/>
  <c r="G99" i="2"/>
  <c r="F77" i="1"/>
  <c r="D77" i="1"/>
  <c r="H64" i="1"/>
  <c r="I64" i="1" s="1"/>
  <c r="J64" i="1" s="1"/>
  <c r="K64" i="1" s="1"/>
  <c r="L64" i="1" s="1"/>
  <c r="H38" i="10"/>
  <c r="H25" i="10" s="1"/>
  <c r="I36" i="10"/>
  <c r="J36" i="10" s="1"/>
  <c r="K36" i="10" s="1"/>
  <c r="L36" i="10" s="1"/>
  <c r="H37" i="10"/>
  <c r="I22" i="10"/>
  <c r="I37" i="10"/>
  <c r="J37" i="10" s="1"/>
  <c r="K37" i="10" s="1"/>
  <c r="L37" i="10" s="1"/>
  <c r="H24" i="10"/>
  <c r="D99" i="2"/>
  <c r="G24" i="9" s="1"/>
  <c r="F99" i="2"/>
  <c r="I24" i="9" s="1"/>
  <c r="E99" i="2"/>
  <c r="H24" i="9" s="1"/>
  <c r="H31" i="3"/>
  <c r="L31" i="3"/>
  <c r="I31" i="3"/>
  <c r="J31" i="3"/>
  <c r="K31" i="3"/>
  <c r="I38" i="10" l="1"/>
  <c r="J38" i="10" s="1"/>
  <c r="K38" i="10" s="1"/>
  <c r="L38" i="10" s="1"/>
  <c r="M7" i="10"/>
  <c r="N7" i="10" s="1"/>
  <c r="H21" i="10"/>
  <c r="I21" i="10" s="1"/>
  <c r="J22" i="10"/>
  <c r="I24" i="10"/>
  <c r="I25" i="10"/>
  <c r="K22" i="10" l="1"/>
  <c r="J21" i="10"/>
  <c r="J25" i="10"/>
  <c r="J24" i="10"/>
  <c r="L22" i="10" l="1"/>
  <c r="K24" i="10"/>
  <c r="K25" i="10"/>
  <c r="K21" i="10"/>
  <c r="M22" i="10" l="1"/>
  <c r="N22" i="10" s="1"/>
  <c r="L21" i="10"/>
  <c r="L25" i="10"/>
  <c r="L24" i="10"/>
  <c r="M21" i="10" l="1"/>
  <c r="N21" i="10" s="1"/>
  <c r="E22" i="1" l="1"/>
  <c r="F22" i="1"/>
  <c r="G22" i="1"/>
  <c r="D22" i="1"/>
  <c r="C22" i="1"/>
  <c r="B22" i="1"/>
  <c r="S13" i="9"/>
  <c r="S14" i="9" s="1"/>
  <c r="D30" i="3"/>
  <c r="S7" i="9" a="1"/>
  <c r="S7" i="9" s="1"/>
  <c r="G22" i="9"/>
  <c r="G15" i="2"/>
  <c r="H19" i="10"/>
  <c r="E63" i="1"/>
  <c r="F63" i="1"/>
  <c r="G63" i="1"/>
  <c r="D63" i="1"/>
  <c r="E62" i="1"/>
  <c r="D62" i="1"/>
  <c r="D60" i="1"/>
  <c r="E61" i="1"/>
  <c r="F61" i="1"/>
  <c r="G61" i="1"/>
  <c r="D61" i="1"/>
  <c r="E60" i="1"/>
  <c r="F60" i="1"/>
  <c r="G60" i="1"/>
  <c r="F37" i="3"/>
  <c r="E9" i="9"/>
  <c r="C43" i="3"/>
  <c r="D43" i="3"/>
  <c r="D9" i="10"/>
  <c r="E9" i="10"/>
  <c r="F9" i="10"/>
  <c r="G9" i="10"/>
  <c r="I9" i="10"/>
  <c r="J9" i="10"/>
  <c r="K9" i="10"/>
  <c r="L9" i="10"/>
  <c r="G18" i="10"/>
  <c r="G19" i="10"/>
  <c r="G17" i="10"/>
  <c r="G16" i="10"/>
  <c r="K19" i="10"/>
  <c r="I19" i="10"/>
  <c r="D16" i="10"/>
  <c r="M26" i="10"/>
  <c r="N26" i="10"/>
  <c r="L17" i="10"/>
  <c r="L18" i="10"/>
  <c r="L19" i="10"/>
  <c r="E16" i="10"/>
  <c r="F16" i="10"/>
  <c r="H16" i="10"/>
  <c r="I16" i="10"/>
  <c r="J16" i="10"/>
  <c r="K16" i="10"/>
  <c r="E17" i="10"/>
  <c r="F17" i="10"/>
  <c r="H17" i="10"/>
  <c r="I17" i="10"/>
  <c r="J17" i="10"/>
  <c r="K17" i="10"/>
  <c r="E18" i="10"/>
  <c r="F18" i="10"/>
  <c r="I18" i="10"/>
  <c r="J18" i="10"/>
  <c r="K18" i="10"/>
  <c r="F19" i="10"/>
  <c r="J19" i="10"/>
  <c r="D17" i="10"/>
  <c r="D18" i="10"/>
  <c r="E78" i="2"/>
  <c r="D78" i="2"/>
  <c r="F78" i="2"/>
  <c r="G78" i="2"/>
  <c r="E79" i="2"/>
  <c r="F79" i="2"/>
  <c r="G79" i="2"/>
  <c r="E80" i="2"/>
  <c r="F80" i="2"/>
  <c r="G80" i="2"/>
  <c r="E81" i="2"/>
  <c r="F81" i="2"/>
  <c r="G81" i="2"/>
  <c r="E82" i="2"/>
  <c r="F82" i="2"/>
  <c r="G82" i="2"/>
  <c r="E83" i="2"/>
  <c r="F83" i="2"/>
  <c r="G83" i="2"/>
  <c r="E84" i="2"/>
  <c r="F84" i="2"/>
  <c r="G84" i="2"/>
  <c r="E85" i="2"/>
  <c r="F85" i="2"/>
  <c r="G85" i="2"/>
  <c r="E86" i="2"/>
  <c r="D80" i="2"/>
  <c r="D81" i="2"/>
  <c r="D82" i="2"/>
  <c r="D83" i="2"/>
  <c r="D84" i="2"/>
  <c r="D85" i="2"/>
  <c r="D86" i="2"/>
  <c r="D79" i="2"/>
  <c r="E76" i="2"/>
  <c r="F76" i="2"/>
  <c r="G76" i="2"/>
  <c r="C76" i="2"/>
  <c r="B76" i="2"/>
  <c r="B37" i="3"/>
  <c r="C37" i="3"/>
  <c r="D37" i="3"/>
  <c r="B38" i="3"/>
  <c r="C38" i="3"/>
  <c r="D38" i="3"/>
  <c r="E38" i="3"/>
  <c r="F38" i="3"/>
  <c r="G38" i="3"/>
  <c r="H13" i="9"/>
  <c r="I13" i="9"/>
  <c r="J13" i="9"/>
  <c r="G13" i="9"/>
  <c r="H22" i="9"/>
  <c r="I22" i="9"/>
  <c r="J22" i="9"/>
  <c r="C88" i="2"/>
  <c r="B88" i="2"/>
  <c r="G30" i="3"/>
  <c r="B30" i="3"/>
  <c r="E20" i="9" s="1"/>
  <c r="E54" i="3"/>
  <c r="C52" i="3"/>
  <c r="F54" i="3"/>
  <c r="F55" i="3"/>
  <c r="E55" i="3"/>
  <c r="D54" i="3"/>
  <c r="D55" i="3"/>
  <c r="G52" i="3"/>
  <c r="E15" i="9"/>
  <c r="G42" i="3"/>
  <c r="C42" i="3"/>
  <c r="D50" i="3"/>
  <c r="C34" i="3"/>
  <c r="E34" i="3"/>
  <c r="D45" i="3"/>
  <c r="E42" i="3"/>
  <c r="D42" i="3"/>
  <c r="F42" i="3"/>
  <c r="C44" i="3"/>
  <c r="D44" i="3"/>
  <c r="E44" i="3"/>
  <c r="F44" i="3"/>
  <c r="G44" i="3"/>
  <c r="C45" i="3"/>
  <c r="E45" i="3"/>
  <c r="F45" i="3"/>
  <c r="G45" i="3"/>
  <c r="C35" i="3"/>
  <c r="D35" i="3"/>
  <c r="E35" i="3"/>
  <c r="F35" i="3"/>
  <c r="G35" i="3"/>
  <c r="C36" i="3"/>
  <c r="D36" i="3"/>
  <c r="E36" i="3"/>
  <c r="F36" i="3"/>
  <c r="G36" i="3"/>
  <c r="B36" i="3"/>
  <c r="B35" i="3"/>
  <c r="B45" i="3"/>
  <c r="B44" i="3"/>
  <c r="B42" i="3"/>
  <c r="F19" i="9"/>
  <c r="E19" i="9"/>
  <c r="E24" i="9"/>
  <c r="F24" i="9"/>
  <c r="C30" i="3"/>
  <c r="F20" i="9" s="1"/>
  <c r="E30" i="3"/>
  <c r="H20" i="9" s="1"/>
  <c r="F30" i="3"/>
  <c r="I20" i="9" s="1"/>
  <c r="F22" i="9"/>
  <c r="F15" i="9"/>
  <c r="G15" i="9"/>
  <c r="H15" i="9"/>
  <c r="I15" i="9"/>
  <c r="J15" i="9"/>
  <c r="F13" i="9"/>
  <c r="E13" i="9"/>
  <c r="E6" i="9"/>
  <c r="F6" i="9"/>
  <c r="G6" i="9"/>
  <c r="H6" i="9"/>
  <c r="I6" i="9"/>
  <c r="J6" i="9"/>
  <c r="G27" i="3"/>
  <c r="E50" i="3"/>
  <c r="F50" i="3"/>
  <c r="G50" i="3"/>
  <c r="G54" i="3"/>
  <c r="G55" i="3"/>
  <c r="C55" i="3"/>
  <c r="C54" i="3"/>
  <c r="C50" i="3"/>
  <c r="D34" i="3"/>
  <c r="F34" i="3"/>
  <c r="G34" i="3"/>
  <c r="B34" i="3"/>
  <c r="C27" i="3"/>
  <c r="D27" i="3"/>
  <c r="E27" i="3"/>
  <c r="F27" i="3"/>
  <c r="J9" i="9" l="1"/>
  <c r="S12" i="9"/>
  <c r="H9" i="9"/>
  <c r="G9" i="9"/>
  <c r="G26" i="9" s="1"/>
  <c r="I9" i="9"/>
  <c r="I26" i="9" s="1"/>
  <c r="H42" i="3"/>
  <c r="I42" i="3" s="1"/>
  <c r="H45" i="3"/>
  <c r="H34" i="3"/>
  <c r="H55" i="1"/>
  <c r="H7" i="1" s="1"/>
  <c r="H70" i="1" s="1"/>
  <c r="H62" i="1"/>
  <c r="I62" i="1" s="1"/>
  <c r="J62" i="1" s="1"/>
  <c r="K62" i="1" s="1"/>
  <c r="L62" i="1" s="1"/>
  <c r="H30" i="3"/>
  <c r="K20" i="9" s="1"/>
  <c r="G20" i="9"/>
  <c r="I30" i="3"/>
  <c r="L30" i="3"/>
  <c r="O20" i="9" s="1"/>
  <c r="K30" i="3"/>
  <c r="J30" i="3"/>
  <c r="H76" i="2"/>
  <c r="S9" i="9"/>
  <c r="G37" i="3"/>
  <c r="D20" i="10"/>
  <c r="D23" i="10" s="1"/>
  <c r="G20" i="10"/>
  <c r="G23" i="10" s="1"/>
  <c r="H63" i="1"/>
  <c r="I63" i="1" s="1"/>
  <c r="J63" i="1" s="1"/>
  <c r="K63" i="1" s="1"/>
  <c r="L63" i="1" s="1"/>
  <c r="H56" i="1"/>
  <c r="H8" i="1" s="1"/>
  <c r="H71" i="1" s="1"/>
  <c r="H61" i="1"/>
  <c r="I61" i="1" s="1"/>
  <c r="J61" i="1" s="1"/>
  <c r="K61" i="1" s="1"/>
  <c r="L61" i="1" s="1"/>
  <c r="H60" i="1"/>
  <c r="I60" i="1" s="1"/>
  <c r="J60" i="1" s="1"/>
  <c r="K60" i="1" s="1"/>
  <c r="L60" i="1" s="1"/>
  <c r="H83" i="2"/>
  <c r="I83" i="2" s="1"/>
  <c r="J83" i="2" s="1"/>
  <c r="K83" i="2" s="1"/>
  <c r="L83" i="2" s="1"/>
  <c r="H78" i="2"/>
  <c r="I78" i="2" s="1"/>
  <c r="J78" i="2" s="1"/>
  <c r="K78" i="2" s="1"/>
  <c r="L78" i="2" s="1"/>
  <c r="H84" i="2"/>
  <c r="I84" i="2" s="1"/>
  <c r="J84" i="2" s="1"/>
  <c r="K84" i="2" s="1"/>
  <c r="L84" i="2" s="1"/>
  <c r="H82" i="2"/>
  <c r="I82" i="2" s="1"/>
  <c r="J82" i="2" s="1"/>
  <c r="K82" i="2" s="1"/>
  <c r="L82" i="2" s="1"/>
  <c r="H85" i="2"/>
  <c r="I85" i="2" s="1"/>
  <c r="J85" i="2" s="1"/>
  <c r="K85" i="2" s="1"/>
  <c r="L85" i="2" s="1"/>
  <c r="H79" i="2"/>
  <c r="I79" i="2" s="1"/>
  <c r="J79" i="2" s="1"/>
  <c r="K79" i="2" s="1"/>
  <c r="L79" i="2" s="1"/>
  <c r="H81" i="2"/>
  <c r="I81" i="2" s="1"/>
  <c r="J81" i="2" s="1"/>
  <c r="K81" i="2" s="1"/>
  <c r="L81" i="2" s="1"/>
  <c r="L20" i="10"/>
  <c r="J20" i="10"/>
  <c r="I20" i="10"/>
  <c r="F20" i="10"/>
  <c r="F23" i="10" s="1"/>
  <c r="E20" i="10"/>
  <c r="E23" i="10" s="1"/>
  <c r="K20" i="10"/>
  <c r="H80" i="2"/>
  <c r="I80" i="2" s="1"/>
  <c r="J80" i="2" s="1"/>
  <c r="K80" i="2" s="1"/>
  <c r="L80" i="2" s="1"/>
  <c r="H86" i="2"/>
  <c r="I86" i="2" s="1"/>
  <c r="J86" i="2" s="1"/>
  <c r="K86" i="2" s="1"/>
  <c r="L86" i="2" s="1"/>
  <c r="H38" i="3"/>
  <c r="I38" i="3" s="1"/>
  <c r="J38" i="3" s="1"/>
  <c r="K38" i="3" s="1"/>
  <c r="L38" i="3" s="1"/>
  <c r="E37" i="3"/>
  <c r="H44" i="3"/>
  <c r="I44" i="3" s="1"/>
  <c r="J44" i="3" s="1"/>
  <c r="K44" i="3" s="1"/>
  <c r="L44" i="3" s="1"/>
  <c r="F9" i="9"/>
  <c r="F26" i="9" s="1"/>
  <c r="F27" i="9" s="1"/>
  <c r="J20" i="9"/>
  <c r="S10" i="9" s="1"/>
  <c r="H36" i="3"/>
  <c r="I36" i="3" s="1"/>
  <c r="J36" i="3" s="1"/>
  <c r="K36" i="3" s="1"/>
  <c r="L36" i="3" s="1"/>
  <c r="H35" i="3"/>
  <c r="I35" i="3" s="1"/>
  <c r="J35" i="3" s="1"/>
  <c r="K35" i="3" s="1"/>
  <c r="L35" i="3" s="1"/>
  <c r="I45" i="3"/>
  <c r="J45" i="3" s="1"/>
  <c r="K45" i="3" s="1"/>
  <c r="L45" i="3" s="1"/>
  <c r="C53" i="3"/>
  <c r="D53" i="3"/>
  <c r="E53" i="3"/>
  <c r="B43" i="3"/>
  <c r="I17" i="9"/>
  <c r="H7" i="9"/>
  <c r="E43" i="3"/>
  <c r="I7" i="9"/>
  <c r="F16" i="9"/>
  <c r="J7" i="9"/>
  <c r="J17" i="9"/>
  <c r="E16" i="9"/>
  <c r="G16" i="9"/>
  <c r="F7" i="9"/>
  <c r="J16" i="9"/>
  <c r="I16" i="9"/>
  <c r="H16" i="9"/>
  <c r="E10" i="9"/>
  <c r="H17" i="9"/>
  <c r="F17" i="9"/>
  <c r="E26" i="9"/>
  <c r="E27" i="9" s="1"/>
  <c r="H37" i="3" l="1"/>
  <c r="I37" i="3" s="1"/>
  <c r="J37" i="3" s="1"/>
  <c r="K37" i="3" s="1"/>
  <c r="L37" i="3" s="1"/>
  <c r="I55" i="1"/>
  <c r="I54" i="1"/>
  <c r="I6" i="1" s="1"/>
  <c r="I56" i="1"/>
  <c r="J23" i="10"/>
  <c r="K23" i="10"/>
  <c r="K26" i="10" s="1"/>
  <c r="L23" i="10"/>
  <c r="L26" i="10" s="1"/>
  <c r="J42" i="3"/>
  <c r="K42" i="3" s="1"/>
  <c r="L42" i="3" s="1"/>
  <c r="S11" i="9"/>
  <c r="S15" i="9" s="1"/>
  <c r="H26" i="9"/>
  <c r="I28" i="9" s="1"/>
  <c r="I23" i="10"/>
  <c r="I76" i="2"/>
  <c r="F10" i="9"/>
  <c r="F11" i="9"/>
  <c r="G10" i="9"/>
  <c r="J10" i="9"/>
  <c r="G43" i="3"/>
  <c r="G53" i="3"/>
  <c r="F43" i="3"/>
  <c r="F53" i="3"/>
  <c r="I27" i="9"/>
  <c r="F28" i="9"/>
  <c r="H10" i="9"/>
  <c r="H11" i="9"/>
  <c r="I10" i="9"/>
  <c r="I11" i="9"/>
  <c r="J11" i="9"/>
  <c r="G46" i="9" l="1"/>
  <c r="G55" i="9" s="1"/>
  <c r="G68" i="9"/>
  <c r="J55" i="1"/>
  <c r="J7" i="1" s="1"/>
  <c r="I7" i="1"/>
  <c r="I69" i="1"/>
  <c r="K2" i="3"/>
  <c r="L2" i="3"/>
  <c r="L42" i="10"/>
  <c r="J54" i="1"/>
  <c r="J6" i="1" s="1"/>
  <c r="J56" i="1"/>
  <c r="K55" i="1"/>
  <c r="J26" i="10"/>
  <c r="K31" i="1"/>
  <c r="I26" i="10"/>
  <c r="H27" i="9"/>
  <c r="L20" i="9"/>
  <c r="J76" i="2"/>
  <c r="H28" i="9"/>
  <c r="G27" i="9"/>
  <c r="M20" i="9"/>
  <c r="H43" i="3"/>
  <c r="I43" i="3" s="1"/>
  <c r="J43" i="3" s="1"/>
  <c r="K43" i="3" s="1"/>
  <c r="L43" i="3" s="1"/>
  <c r="N46" i="9" l="1"/>
  <c r="N55" i="9" s="1"/>
  <c r="G45" i="9"/>
  <c r="G54" i="9" s="1"/>
  <c r="G47" i="9"/>
  <c r="G48" i="9" s="1"/>
  <c r="N68" i="9"/>
  <c r="N77" i="9" s="1"/>
  <c r="G69" i="9"/>
  <c r="G67" i="9"/>
  <c r="G77" i="9"/>
  <c r="N45" i="9"/>
  <c r="N54" i="9" s="1"/>
  <c r="J69" i="1"/>
  <c r="L48" i="3"/>
  <c r="L31" i="1"/>
  <c r="J2" i="3"/>
  <c r="J31" i="1" s="1"/>
  <c r="J42" i="10"/>
  <c r="K42" i="10"/>
  <c r="I2" i="3"/>
  <c r="I8" i="1" s="1"/>
  <c r="K56" i="1"/>
  <c r="J8" i="1"/>
  <c r="K54" i="1"/>
  <c r="L55" i="1"/>
  <c r="L7" i="1" s="1"/>
  <c r="K48" i="3"/>
  <c r="G44" i="9"/>
  <c r="I31" i="1"/>
  <c r="K76" i="2"/>
  <c r="N20" i="9"/>
  <c r="G56" i="9" l="1"/>
  <c r="N47" i="9"/>
  <c r="N56" i="9" s="1"/>
  <c r="N67" i="9"/>
  <c r="N76" i="9" s="1"/>
  <c r="G76" i="9"/>
  <c r="G66" i="9"/>
  <c r="G70" i="9"/>
  <c r="N69" i="9"/>
  <c r="N78" i="9" s="1"/>
  <c r="G78" i="9"/>
  <c r="N48" i="9"/>
  <c r="N57" i="9" s="1"/>
  <c r="G57" i="9"/>
  <c r="N44" i="9"/>
  <c r="N53" i="9" s="1"/>
  <c r="G53" i="9"/>
  <c r="L54" i="1"/>
  <c r="L6" i="1" s="1"/>
  <c r="K6" i="1"/>
  <c r="L6" i="9"/>
  <c r="L56" i="1"/>
  <c r="L8" i="1" s="1"/>
  <c r="K8" i="1"/>
  <c r="J71" i="1"/>
  <c r="J24" i="9"/>
  <c r="J26" i="9" s="1"/>
  <c r="J28" i="9" s="1"/>
  <c r="E88" i="2"/>
  <c r="I27" i="1"/>
  <c r="I30" i="1"/>
  <c r="I28" i="1"/>
  <c r="I5" i="2"/>
  <c r="I15" i="3" s="1"/>
  <c r="I11" i="3"/>
  <c r="I10" i="3"/>
  <c r="L76" i="2"/>
  <c r="N70" i="9" l="1"/>
  <c r="N79" i="9" s="1"/>
  <c r="G79" i="9"/>
  <c r="G75" i="9"/>
  <c r="N66" i="9"/>
  <c r="N75" i="9" s="1"/>
  <c r="L69" i="1"/>
  <c r="K69" i="1"/>
  <c r="L71" i="1"/>
  <c r="K71" i="1"/>
  <c r="J27" i="9"/>
  <c r="I13" i="3"/>
  <c r="O6" i="9"/>
  <c r="N6" i="9"/>
  <c r="L13" i="9"/>
  <c r="J10" i="3"/>
  <c r="J27" i="1"/>
  <c r="J93" i="2"/>
  <c r="J30" i="1"/>
  <c r="J76" i="1" s="1"/>
  <c r="J28" i="1"/>
  <c r="J11" i="3"/>
  <c r="J5" i="2"/>
  <c r="J15" i="3" s="1"/>
  <c r="F88" i="2"/>
  <c r="M6" i="9"/>
  <c r="M7" i="9" s="1"/>
  <c r="J96" i="2" l="1"/>
  <c r="J74" i="1"/>
  <c r="J95" i="2"/>
  <c r="J73" i="1"/>
  <c r="J98" i="2"/>
  <c r="N7" i="9"/>
  <c r="L28" i="1"/>
  <c r="L30" i="1"/>
  <c r="L10" i="3"/>
  <c r="L27" i="1"/>
  <c r="L11" i="3"/>
  <c r="M13" i="9"/>
  <c r="J13" i="3"/>
  <c r="K93" i="2"/>
  <c r="K28" i="1"/>
  <c r="K10" i="3"/>
  <c r="K30" i="1"/>
  <c r="K76" i="1" s="1"/>
  <c r="K11" i="3"/>
  <c r="K27" i="1"/>
  <c r="K5" i="2"/>
  <c r="K15" i="3" s="1"/>
  <c r="J19" i="2"/>
  <c r="G88" i="2"/>
  <c r="L5" i="2"/>
  <c r="L15" i="3" s="1"/>
  <c r="O7" i="9"/>
  <c r="L74" i="1" l="1"/>
  <c r="K96" i="2"/>
  <c r="K74" i="1"/>
  <c r="K95" i="2"/>
  <c r="K73" i="1"/>
  <c r="L73" i="1"/>
  <c r="L76" i="1"/>
  <c r="L95" i="2"/>
  <c r="L98" i="2"/>
  <c r="K98" i="2"/>
  <c r="L96" i="2"/>
  <c r="L93" i="2"/>
  <c r="L19" i="2"/>
  <c r="K13" i="3"/>
  <c r="L13" i="3"/>
  <c r="N13" i="9"/>
  <c r="O13" i="9"/>
  <c r="K19" i="2"/>
  <c r="H18" i="10" l="1"/>
  <c r="H20" i="10" s="1"/>
  <c r="H9" i="10"/>
  <c r="H23" i="10" l="1"/>
  <c r="H26" i="10" s="1"/>
  <c r="H2" i="3" l="1"/>
  <c r="H48" i="3" s="1"/>
  <c r="H42" i="10"/>
  <c r="I42" i="10"/>
  <c r="H9" i="3"/>
  <c r="H11" i="3"/>
  <c r="H10" i="3"/>
  <c r="H30" i="1"/>
  <c r="H31" i="1"/>
  <c r="D88" i="2"/>
  <c r="H88" i="2" s="1"/>
  <c r="I88" i="2" s="1"/>
  <c r="H28" i="1"/>
  <c r="K6" i="9"/>
  <c r="H5" i="2"/>
  <c r="H15" i="3" s="1"/>
  <c r="I48" i="3"/>
  <c r="M42" i="10" l="1"/>
  <c r="H8" i="3"/>
  <c r="H13" i="3"/>
  <c r="H14" i="3" s="1"/>
  <c r="H52" i="3" s="1"/>
  <c r="I71" i="1"/>
  <c r="H9" i="1"/>
  <c r="I70" i="1"/>
  <c r="H74" i="1"/>
  <c r="I74" i="1"/>
  <c r="H73" i="1"/>
  <c r="I73" i="1"/>
  <c r="H76" i="1"/>
  <c r="I76" i="1"/>
  <c r="M48" i="3"/>
  <c r="H29" i="2"/>
  <c r="K22" i="9" s="1"/>
  <c r="K13" i="9"/>
  <c r="H92" i="2"/>
  <c r="H17" i="2"/>
  <c r="H91" i="2"/>
  <c r="H16" i="2"/>
  <c r="K7" i="9"/>
  <c r="L7" i="9"/>
  <c r="H98" i="2"/>
  <c r="I98" i="2"/>
  <c r="H96" i="2"/>
  <c r="I96" i="2"/>
  <c r="I95" i="2"/>
  <c r="H95" i="2"/>
  <c r="I72" i="1"/>
  <c r="H32" i="1"/>
  <c r="H94" i="2"/>
  <c r="I93" i="2"/>
  <c r="H19" i="2"/>
  <c r="H93" i="2"/>
  <c r="I19" i="2"/>
  <c r="I29" i="2"/>
  <c r="J88" i="2"/>
  <c r="I16" i="2" l="1"/>
  <c r="I77" i="1"/>
  <c r="L24" i="9" s="1"/>
  <c r="J70" i="1"/>
  <c r="H77" i="1"/>
  <c r="K24" i="9" s="1"/>
  <c r="H99" i="2"/>
  <c r="I92" i="2"/>
  <c r="J91" i="2"/>
  <c r="I9" i="1"/>
  <c r="I17" i="2"/>
  <c r="K88" i="2"/>
  <c r="J29" i="2"/>
  <c r="I94" i="2"/>
  <c r="I32" i="1"/>
  <c r="J72" i="1"/>
  <c r="L22" i="9"/>
  <c r="I91" i="2"/>
  <c r="L70" i="1" l="1"/>
  <c r="J77" i="1"/>
  <c r="M24" i="9" s="1"/>
  <c r="J92" i="2"/>
  <c r="J16" i="2"/>
  <c r="I99" i="2"/>
  <c r="K29" i="2"/>
  <c r="L88" i="2"/>
  <c r="L29" i="2" s="1"/>
  <c r="J17" i="2"/>
  <c r="K72" i="1"/>
  <c r="J94" i="2"/>
  <c r="J32" i="1"/>
  <c r="J9" i="1"/>
  <c r="M22" i="9"/>
  <c r="K92" i="2" l="1"/>
  <c r="K70" i="1"/>
  <c r="K77" i="1" s="1"/>
  <c r="N24" i="9" s="1"/>
  <c r="J99" i="2"/>
  <c r="K16" i="2"/>
  <c r="K91" i="2"/>
  <c r="L17" i="2"/>
  <c r="K94" i="2"/>
  <c r="K32" i="1"/>
  <c r="K17" i="2"/>
  <c r="O22" i="9"/>
  <c r="K9" i="1"/>
  <c r="N22" i="9"/>
  <c r="L94" i="2" l="1"/>
  <c r="L72" i="1"/>
  <c r="L77" i="1" s="1"/>
  <c r="O24" i="9" s="1"/>
  <c r="K99" i="2"/>
  <c r="L9" i="1"/>
  <c r="L91" i="2"/>
  <c r="L92" i="2"/>
  <c r="L32" i="1"/>
  <c r="L16" i="2"/>
  <c r="L99" i="2" l="1"/>
  <c r="K9" i="3" l="1"/>
  <c r="L9" i="3"/>
  <c r="L14" i="3" s="1"/>
  <c r="L16" i="3" s="1"/>
  <c r="J9" i="3"/>
  <c r="I9" i="3"/>
  <c r="I8" i="3" s="1"/>
  <c r="I34" i="3"/>
  <c r="J34" i="3" s="1"/>
  <c r="K34" i="3" s="1"/>
  <c r="L34" i="3" s="1"/>
  <c r="J50" i="3" l="1"/>
  <c r="K50" i="3"/>
  <c r="J14" i="3"/>
  <c r="K8" i="3"/>
  <c r="K14" i="3"/>
  <c r="K16" i="3" s="1"/>
  <c r="L50" i="3"/>
  <c r="L8" i="3"/>
  <c r="L20" i="3"/>
  <c r="O15" i="9"/>
  <c r="O9" i="9" s="1"/>
  <c r="J8" i="3"/>
  <c r="J49" i="3" s="1"/>
  <c r="I14" i="3"/>
  <c r="J66" i="9" l="1"/>
  <c r="J70" i="9"/>
  <c r="J69" i="9"/>
  <c r="I67" i="9"/>
  <c r="J68" i="9"/>
  <c r="J67" i="9"/>
  <c r="I70" i="9"/>
  <c r="I69" i="9"/>
  <c r="I66" i="9"/>
  <c r="K70" i="9"/>
  <c r="K66" i="9"/>
  <c r="K68" i="9"/>
  <c r="I68" i="9"/>
  <c r="K67" i="9"/>
  <c r="K69" i="9"/>
  <c r="L70" i="9"/>
  <c r="H67" i="9"/>
  <c r="H69" i="9"/>
  <c r="L66" i="9"/>
  <c r="H68" i="9"/>
  <c r="H70" i="9"/>
  <c r="L68" i="9"/>
  <c r="L69" i="9"/>
  <c r="L67" i="9"/>
  <c r="H66" i="9"/>
  <c r="I16" i="3"/>
  <c r="I52" i="3"/>
  <c r="M15" i="9"/>
  <c r="M16" i="9" s="1"/>
  <c r="J16" i="3"/>
  <c r="K53" i="3" s="1"/>
  <c r="K52" i="3"/>
  <c r="J20" i="3"/>
  <c r="J21" i="3" s="1"/>
  <c r="M19" i="9" s="1"/>
  <c r="K20" i="3"/>
  <c r="N15" i="9"/>
  <c r="L52" i="3"/>
  <c r="J52" i="3"/>
  <c r="L49" i="3"/>
  <c r="O16" i="9"/>
  <c r="K49" i="3"/>
  <c r="L15" i="9"/>
  <c r="L9" i="9" s="1"/>
  <c r="I20" i="3"/>
  <c r="L21" i="3"/>
  <c r="O19" i="9" s="1"/>
  <c r="M9" i="9" l="1"/>
  <c r="M11" i="9" s="1"/>
  <c r="M52" i="3"/>
  <c r="J53" i="3"/>
  <c r="K54" i="3"/>
  <c r="L54" i="3"/>
  <c r="O17" i="9"/>
  <c r="N9" i="9"/>
  <c r="O11" i="9" s="1"/>
  <c r="K21" i="3"/>
  <c r="N19" i="9" s="1"/>
  <c r="J54" i="3"/>
  <c r="N16" i="9"/>
  <c r="N17" i="9"/>
  <c r="L53" i="3"/>
  <c r="J22" i="3"/>
  <c r="L22" i="3"/>
  <c r="I21" i="3"/>
  <c r="L19" i="9" s="1"/>
  <c r="O26" i="9"/>
  <c r="O10" i="9"/>
  <c r="L16" i="9"/>
  <c r="M17" i="9"/>
  <c r="K47" i="9" l="1"/>
  <c r="J45" i="9"/>
  <c r="H47" i="9"/>
  <c r="L46" i="9"/>
  <c r="H48" i="9"/>
  <c r="L45" i="9"/>
  <c r="I48" i="9"/>
  <c r="L44" i="9"/>
  <c r="J47" i="9"/>
  <c r="I45" i="9"/>
  <c r="H44" i="9"/>
  <c r="J48" i="9"/>
  <c r="K45" i="9"/>
  <c r="L48" i="9"/>
  <c r="I47" i="9"/>
  <c r="K44" i="9"/>
  <c r="I44" i="9"/>
  <c r="K48" i="9"/>
  <c r="L47" i="9"/>
  <c r="K46" i="9"/>
  <c r="J44" i="9"/>
  <c r="J46" i="9"/>
  <c r="I46" i="9"/>
  <c r="H46" i="9"/>
  <c r="H45" i="9"/>
  <c r="O35" i="9"/>
  <c r="O32" i="9"/>
  <c r="O34" i="9"/>
  <c r="O31" i="9"/>
  <c r="O33" i="9"/>
  <c r="M10" i="9"/>
  <c r="M26" i="9"/>
  <c r="N11" i="9"/>
  <c r="K22" i="3"/>
  <c r="L55" i="3" s="1"/>
  <c r="N10" i="9"/>
  <c r="N26" i="9"/>
  <c r="I22" i="3"/>
  <c r="J55" i="3" s="1"/>
  <c r="O27" i="9"/>
  <c r="L10" i="9"/>
  <c r="L26" i="9"/>
  <c r="N27" i="9" l="1"/>
  <c r="N35" i="9"/>
  <c r="N32" i="9"/>
  <c r="N31" i="9"/>
  <c r="N34" i="9"/>
  <c r="N33" i="9"/>
  <c r="M27" i="9"/>
  <c r="M33" i="9"/>
  <c r="M35" i="9"/>
  <c r="M32" i="9"/>
  <c r="M34" i="9"/>
  <c r="M31" i="9"/>
  <c r="L32" i="9"/>
  <c r="L33" i="9"/>
  <c r="L34" i="9"/>
  <c r="L31" i="9"/>
  <c r="L35" i="9"/>
  <c r="O28" i="9"/>
  <c r="K55" i="3"/>
  <c r="M28" i="9"/>
  <c r="N28" i="9"/>
  <c r="L27" i="9"/>
  <c r="H49" i="3"/>
  <c r="K15" i="9"/>
  <c r="K9" i="9" s="1"/>
  <c r="H50" i="3"/>
  <c r="I50" i="3"/>
  <c r="I49" i="3"/>
  <c r="H20" i="3" l="1"/>
  <c r="I54" i="3" s="1"/>
  <c r="H16" i="3"/>
  <c r="H53" i="3" s="1"/>
  <c r="L17" i="9"/>
  <c r="M50" i="3"/>
  <c r="K16" i="9"/>
  <c r="M49" i="3"/>
  <c r="I53" i="3"/>
  <c r="H54" i="3"/>
  <c r="K17" i="9"/>
  <c r="H21" i="3" l="1"/>
  <c r="K19" i="9" s="1"/>
  <c r="K26" i="9" s="1"/>
  <c r="M53" i="3"/>
  <c r="L11" i="9"/>
  <c r="K10" i="9"/>
  <c r="K11" i="9"/>
  <c r="M54" i="3"/>
  <c r="K31" i="9" l="1"/>
  <c r="H31" i="9" s="1"/>
  <c r="K33" i="9"/>
  <c r="H33" i="9" s="1"/>
  <c r="K34" i="9"/>
  <c r="H34" i="9" s="1"/>
  <c r="K32" i="9"/>
  <c r="H32" i="9" s="1"/>
  <c r="K35" i="9"/>
  <c r="H35" i="9" s="1"/>
  <c r="H22" i="3"/>
  <c r="H55" i="3" s="1"/>
  <c r="K28" i="9"/>
  <c r="L28" i="9"/>
  <c r="K27" i="9"/>
  <c r="P67" i="9" l="1"/>
  <c r="I76" i="9" s="1"/>
  <c r="P76" i="9" s="1"/>
  <c r="Q67" i="9"/>
  <c r="J76" i="9" s="1"/>
  <c r="Q76" i="9" s="1"/>
  <c r="R67" i="9"/>
  <c r="K76" i="9" s="1"/>
  <c r="R76" i="9" s="1"/>
  <c r="S67" i="9"/>
  <c r="L76" i="9" s="1"/>
  <c r="S76" i="9" s="1"/>
  <c r="O67" i="9"/>
  <c r="H76" i="9" s="1"/>
  <c r="O76" i="9" s="1"/>
  <c r="Q68" i="9"/>
  <c r="J77" i="9" s="1"/>
  <c r="Q77" i="9" s="1"/>
  <c r="P68" i="9"/>
  <c r="I77" i="9" s="1"/>
  <c r="P77" i="9" s="1"/>
  <c r="O68" i="9"/>
  <c r="H77" i="9" s="1"/>
  <c r="O77" i="9" s="1"/>
  <c r="R68" i="9"/>
  <c r="K77" i="9" s="1"/>
  <c r="R77" i="9" s="1"/>
  <c r="S68" i="9"/>
  <c r="L77" i="9" s="1"/>
  <c r="S77" i="9" s="1"/>
  <c r="P70" i="9"/>
  <c r="I79" i="9" s="1"/>
  <c r="P79" i="9" s="1"/>
  <c r="O70" i="9"/>
  <c r="H79" i="9" s="1"/>
  <c r="O79" i="9" s="1"/>
  <c r="R70" i="9"/>
  <c r="K79" i="9" s="1"/>
  <c r="R79" i="9" s="1"/>
  <c r="Q70" i="9"/>
  <c r="J79" i="9" s="1"/>
  <c r="Q79" i="9" s="1"/>
  <c r="S70" i="9"/>
  <c r="L79" i="9" s="1"/>
  <c r="S79" i="9" s="1"/>
  <c r="O69" i="9"/>
  <c r="H78" i="9" s="1"/>
  <c r="O78" i="9" s="1"/>
  <c r="P69" i="9"/>
  <c r="I78" i="9" s="1"/>
  <c r="P78" i="9" s="1"/>
  <c r="S69" i="9"/>
  <c r="L78" i="9" s="1"/>
  <c r="S78" i="9" s="1"/>
  <c r="R69" i="9"/>
  <c r="K78" i="9" s="1"/>
  <c r="R78" i="9" s="1"/>
  <c r="Q69" i="9"/>
  <c r="J78" i="9" s="1"/>
  <c r="Q78" i="9" s="1"/>
  <c r="Q66" i="9"/>
  <c r="J75" i="9" s="1"/>
  <c r="Q75" i="9" s="1"/>
  <c r="R66" i="9"/>
  <c r="K75" i="9" s="1"/>
  <c r="R75" i="9" s="1"/>
  <c r="S66" i="9"/>
  <c r="L75" i="9" s="1"/>
  <c r="S75" i="9" s="1"/>
  <c r="O66" i="9"/>
  <c r="H75" i="9" s="1"/>
  <c r="O75" i="9" s="1"/>
  <c r="P66" i="9"/>
  <c r="I75" i="9" s="1"/>
  <c r="P75" i="9" s="1"/>
  <c r="R45" i="9"/>
  <c r="K54" i="9" s="1"/>
  <c r="R54" i="9" s="1"/>
  <c r="P45" i="9"/>
  <c r="I54" i="9" s="1"/>
  <c r="P54" i="9" s="1"/>
  <c r="Q45" i="9"/>
  <c r="J54" i="9" s="1"/>
  <c r="Q54" i="9" s="1"/>
  <c r="S45" i="9"/>
  <c r="L54" i="9" s="1"/>
  <c r="S54" i="9" s="1"/>
  <c r="O45" i="9"/>
  <c r="H54" i="9" s="1"/>
  <c r="R48" i="9"/>
  <c r="K57" i="9" s="1"/>
  <c r="R57" i="9" s="1"/>
  <c r="O48" i="9"/>
  <c r="H57" i="9" s="1"/>
  <c r="O57" i="9" s="1"/>
  <c r="S48" i="9"/>
  <c r="L57" i="9" s="1"/>
  <c r="S57" i="9" s="1"/>
  <c r="P48" i="9"/>
  <c r="I57" i="9" s="1"/>
  <c r="P57" i="9" s="1"/>
  <c r="Q48" i="9"/>
  <c r="J57" i="9" s="1"/>
  <c r="Q57" i="9" s="1"/>
  <c r="P46" i="9"/>
  <c r="I55" i="9" s="1"/>
  <c r="P55" i="9" s="1"/>
  <c r="R46" i="9"/>
  <c r="K55" i="9" s="1"/>
  <c r="R55" i="9" s="1"/>
  <c r="S46" i="9"/>
  <c r="L55" i="9" s="1"/>
  <c r="S55" i="9" s="1"/>
  <c r="O46" i="9"/>
  <c r="H55" i="9" s="1"/>
  <c r="Q46" i="9"/>
  <c r="J55" i="9" s="1"/>
  <c r="Q55" i="9" s="1"/>
  <c r="R47" i="9"/>
  <c r="K56" i="9" s="1"/>
  <c r="R56" i="9" s="1"/>
  <c r="P47" i="9"/>
  <c r="I56" i="9" s="1"/>
  <c r="P56" i="9" s="1"/>
  <c r="S47" i="9"/>
  <c r="L56" i="9" s="1"/>
  <c r="S56" i="9" s="1"/>
  <c r="Q47" i="9"/>
  <c r="J56" i="9" s="1"/>
  <c r="Q56" i="9" s="1"/>
  <c r="O47" i="9"/>
  <c r="H56" i="9" s="1"/>
  <c r="O56" i="9" s="1"/>
  <c r="Q44" i="9"/>
  <c r="J53" i="9" s="1"/>
  <c r="Q53" i="9" s="1"/>
  <c r="R44" i="9"/>
  <c r="K53" i="9" s="1"/>
  <c r="R53" i="9" s="1"/>
  <c r="O44" i="9"/>
  <c r="H53" i="9" s="1"/>
  <c r="P44" i="9"/>
  <c r="I53" i="9" s="1"/>
  <c r="P53" i="9" s="1"/>
  <c r="S44" i="9"/>
  <c r="L53" i="9" s="1"/>
  <c r="S53" i="9" s="1"/>
  <c r="I55" i="3"/>
  <c r="M55" i="3" s="1"/>
  <c r="O54" i="9" l="1"/>
  <c r="O53" i="9"/>
  <c r="O55"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tc={43960CEE-E17E-A548-B3EB-A8FCAC32381A}</author>
    <author>tc={A48CE072-5C09-9E4B-8529-38AAE45FA8E6}</author>
    <author>tc={9E333AFF-2B90-BC4E-878C-9711526C6E89}</author>
  </authors>
  <commentList>
    <comment ref="F11" authorId="0" shapeId="0" xr:uid="{43960CEE-E17E-A548-B3EB-A8FCAC32381A}">
      <text>
        <t xml:space="preserve">[Threaded comment]
Your version of Excel allows you to read this threaded comment; however, any edits to it will get removed if the file is opened in a newer version of Excel. Learn more: https://go.microsoft.com/fwlink/?linkid=870924
Comment:
    very bad year, how to adjust?
</t>
      </text>
    </comment>
    <comment ref="B19" authorId="1" shapeId="0" xr:uid="{A48CE072-5C09-9E4B-8529-38AAE45FA8E6}">
      <text>
        <t xml:space="preserve">[Threaded comment]
Your version of Excel allows you to read this threaded comment; however, any edits to it will get removed if the file is opened in a newer version of Excel. Learn more: https://go.microsoft.com/fwlink/?linkid=870924
Comment:
    use tax provision?
</t>
      </text>
    </comment>
    <comment ref="S19" authorId="2" shapeId="0" xr:uid="{9E333AFF-2B90-BC4E-878C-9711526C6E89}">
      <text>
        <t>[Threaded comment]
Your version of Excel allows you to read this threaded comment; however, any edits to it will get removed if the file is opened in a newer version of Excel. Learn more: https://go.microsoft.com/fwlink/?linkid=870924
Comment:
    use what type of shares ?
full diluted assets shares or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tc={382819B2-45F9-5F49-86AF-011FBBE420C4}</author>
    <author>tc={3EEBBC4D-5D3D-6C46-93EE-E5E67F812D84}</author>
    <author>tc={B6D3F350-764C-EB4F-A80C-01D14DAEABF4}</author>
    <author>tc={251BB5F1-A542-514E-86D1-8984C089FF19}</author>
    <author>tc={504C0097-99AC-A248-B23C-6075384BF6E2}</author>
    <author>tc={C7DB870B-09F8-094A-983E-E8E94A9215B6}</author>
    <author>Microsoft Office User</author>
  </authors>
  <commentList>
    <comment ref="C14" authorId="0" shapeId="0" xr:uid="{382819B2-45F9-5F49-86AF-011FBBE420C4}">
      <text>
        <t>[Threaded comment]
Your version of Excel allows you to read this threaded comment; however, any edits to it will get removed if the file is opened in a newer version of Excel. Learn more: https://go.microsoft.com/fwlink/?linkid=870924
Comment:
    rarely bad year, ignore?</t>
      </text>
    </comment>
    <comment ref="A23" authorId="1" shapeId="0" xr:uid="{3EEBBC4D-5D3D-6C46-93EE-E5E67F812D84}">
      <text>
        <t xml:space="preserve">[Threaded comment]
Your version of Excel allows you to read this threaded comment; however, any edits to it will get removed if the file is opened in a newer version of Excel. Learn more: https://go.microsoft.com/fwlink/?linkid=870924
Comment:
    difference between comprehensive income vs non-operating income?
</t>
      </text>
    </comment>
    <comment ref="R25" authorId="2" shapeId="0" xr:uid="{B6D3F350-764C-EB4F-A80C-01D14DAEABF4}">
      <text>
        <t>[Threaded comment]
Your version of Excel allows you to read this threaded comment; however, any edits to it will get removed if the file is opened in a newer version of Excel. Learn more: https://go.microsoft.com/fwlink/?linkid=870924
Comment:
    how to determine terminal rate</t>
      </text>
    </comment>
    <comment ref="D31" authorId="3" shapeId="0" xr:uid="{251BB5F1-A542-514E-86D1-8984C089FF19}">
      <text>
        <t xml:space="preserve">[Threaded comment]
Your version of Excel allows you to read this threaded comment; however, any edits to it will get removed if the file is opened in a newer version of Excel. Learn more: https://go.microsoft.com/fwlink/?linkid=870924
Comment:
    right item？
</t>
      </text>
    </comment>
    <comment ref="H42" authorId="4" shapeId="0" xr:uid="{504C0097-99AC-A248-B23C-6075384BF6E2}">
      <text>
        <t xml:space="preserve">[Threaded comment]
Your version of Excel allows you to read this threaded comment; however, any edits to it will get removed if the file is opened in a newer version of Excel. Learn more: https://go.microsoft.com/fwlink/?linkid=870924
Comment:
    negative number - adjusted by using only past 4 years 
</t>
      </text>
    </comment>
    <comment ref="F54" authorId="5" shapeId="0" xr:uid="{C7DB870B-09F8-094A-983E-E8E94A9215B6}">
      <text>
        <t xml:space="preserve">[Threaded comment]
Your version of Excel allows you to read this threaded comment; however, any edits to it will get removed if the file is opened in a newer version of Excel. Learn more: https://go.microsoft.com/fwlink/?linkid=870924
Comment:
    遇到有些减小的负数 手动调整吗
</t>
      </text>
    </comment>
    <comment ref="A81" authorId="6" shapeId="0" xr:uid="{2194E8DD-860F-F441-8098-F8BF5DC4BCF7}">
      <text>
        <r>
          <rPr>
            <b/>
            <sz val="10"/>
            <color rgb="FF000000"/>
            <rFont val="Tahoma"/>
            <family val="2"/>
          </rPr>
          <t>Microsoft Office User:</t>
        </r>
        <r>
          <rPr>
            <sz val="10"/>
            <color rgb="FF000000"/>
            <rFont val="Tahoma"/>
            <family val="2"/>
          </rPr>
          <t xml:space="preserve">
</t>
        </r>
        <r>
          <rPr>
            <sz val="10"/>
            <color rgb="FF000000"/>
            <rFont val="Tahoma"/>
            <family val="2"/>
          </rPr>
          <t>ignore all below?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tc={FB68847B-5656-B740-87CB-4D133855CAF8}</author>
    <author>tc={98ECDB14-E1F0-3F44-A99F-2FF4621BF2C4}</author>
    <author>tc={BE8872D6-0F72-AB47-9C36-107CBD485923}</author>
    <author>tc={1D685111-5AC0-5E46-84DC-0AB3A1877882}</author>
  </authors>
  <commentList>
    <comment ref="A4" authorId="0" shapeId="0" xr:uid="{FB68847B-5656-B740-87CB-4D133855CAF8}">
      <text>
        <t xml:space="preserve">[Threaded comment]
Your version of Excel allows you to read this threaded comment; however, any edits to it will get removed if the file is opened in a newer version of Excel. Learn more: https://go.microsoft.com/fwlink/?linkid=870924
Comment:
    ignore?
</t>
      </text>
    </comment>
    <comment ref="A5" authorId="1" shapeId="0" xr:uid="{98ECDB14-E1F0-3F44-A99F-2FF4621BF2C4}">
      <text>
        <t>[Threaded comment]
Your version of Excel allows you to read this threaded comment; however, any edits to it will get removed if the file is opened in a newer version of Excel. Learn more: https://go.microsoft.com/fwlink/?linkid=870924
Comment:
    ignore?</t>
      </text>
    </comment>
    <comment ref="A29" authorId="2" shapeId="0" xr:uid="{BE8872D6-0F72-AB47-9C36-107CBD485923}">
      <text>
        <t>[Threaded comment]
Your version of Excel allows you to read this threaded comment; however, any edits to it will get removed if the file is opened in a newer version of Excel. Learn more: https://go.microsoft.com/fwlink/?linkid=870924
Comment:
    不常见的item就不估了？</t>
      </text>
    </comment>
    <comment ref="A55" authorId="3" shapeId="0" xr:uid="{1D685111-5AC0-5E46-84DC-0AB3A1877882}">
      <text>
        <t xml:space="preserve">[Threaded comment]
Your version of Excel allows you to read this threaded comment; however, any edits to it will get removed if the file is opened in a newer version of Excel. Learn more: https://go.microsoft.com/fwlink/?linkid=870924
Comment:
    divide by total COGS or auto sales COGS?
Reply:
    turnover days: why account receivable *365? 2 period avegae *365 =! a year </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tc={CB4610F2-A0CD-7E46-898A-3A86CA757075}</author>
    <author>tc={E673100B-729F-514C-B0C1-6C1226F380E7}</author>
    <author>tc={2FA14FFA-4670-B14A-8573-E49ED4C61E5E}</author>
    <author>tc={D93FD0F0-A4A1-5346-A003-96695AAE26E7}</author>
  </authors>
  <commentList>
    <comment ref="L5" authorId="0" shapeId="0" xr:uid="{CB4610F2-A0CD-7E46-898A-3A86CA757075}">
      <text>
        <t>[Threaded comment]
Your version of Excel allows you to read this threaded comment; however, any edits to it will get removed if the file is opened in a newer version of Excel. Learn more: https://go.microsoft.com/fwlink/?linkid=870924
Comment:
    terminal year also use margin?</t>
      </text>
    </comment>
    <comment ref="A16" authorId="1" shapeId="0" xr:uid="{E673100B-729F-514C-B0C1-6C1226F380E7}">
      <text>
        <t xml:space="preserve">[Threaded comment]
Your version of Excel allows you to read this threaded comment; however, any edits to it will get removed if the file is opened in a newer version of Excel. Learn more: https://go.microsoft.com/fwlink/?linkid=870924
Comment:
    see cash changes: 
Subtract the current year accounts receivable balance from the previous year balance, increase in AR = less cashflow received </t>
      </text>
    </comment>
    <comment ref="A18" authorId="2" shapeId="0" xr:uid="{2FA14FFA-4670-B14A-8573-E49ED4C61E5E}">
      <text>
        <t xml:space="preserve">[Threaded comment]
Your version of Excel allows you to read this threaded comment; however, any edits to it will get removed if the file is opened in a newer version of Excel. Learn more: https://go.microsoft.com/fwlink/?linkid=870924
Comment:
    this is not current asset? </t>
      </text>
    </comment>
    <comment ref="A77" authorId="3" shapeId="0" xr:uid="{D93FD0F0-A4A1-5346-A003-96695AAE26E7}">
      <text>
        <t xml:space="preserve">[Threaded comment]
Your version of Excel allows you to read this threaded comment; however, any edits to it will get removed if the file is opened in a newer version of Excel. Learn more: https://go.microsoft.com/fwlink/?linkid=870924
Comment:
    is this changes in Working Capital, if not, which are not wc items
</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2"/>
        </ext>
      </extLst>
    </bk>
    <bk>
      <extLst>
        <ext uri="{3e2802c4-a4d2-4d8b-9148-e3be6c30e623}">
          <xlrd:rvb i="5"/>
        </ext>
      </extLst>
    </bk>
  </futureMetadata>
  <cellMetadata count="1">
    <bk>
      <rc t="1" v="0"/>
    </bk>
  </cellMetadata>
  <valueMetadata count="2">
    <bk>
      <rc t="2" v="0"/>
    </bk>
    <bk>
      <rc t="2" v="1"/>
    </bk>
  </valueMetadata>
</metadata>
</file>

<file path=xl/sharedStrings.xml><?xml version="1.0" encoding="utf-8"?>
<sst xmlns="http://schemas.openxmlformats.org/spreadsheetml/2006/main" count="360" uniqueCount="255">
  <si>
    <t>Current assets</t>
  </si>
  <si>
    <t>Cash and cash equivalents</t>
  </si>
  <si>
    <t>Restricted cash</t>
  </si>
  <si>
    <t>Short-term marketable securities</t>
  </si>
  <si>
    <t>Accounts receivable, net</t>
  </si>
  <si>
    <t>Inventory</t>
  </si>
  <si>
    <t>Prepaid expenses and other current assets</t>
  </si>
  <si>
    <t>Total current assets</t>
  </si>
  <si>
    <t>Operating lease vehicles, net</t>
  </si>
  <si>
    <t>Solar energy systems, net</t>
  </si>
  <si>
    <t>Property, plant and equipment, net</t>
  </si>
  <si>
    <t>Operating lease right-of-use assets</t>
  </si>
  <si>
    <t>Digital assets, net</t>
  </si>
  <si>
    <t>Intangible assets, net</t>
  </si>
  <si>
    <t>Goodwill</t>
  </si>
  <si>
    <t>MyPower customer notes receivable, net of current portion</t>
  </si>
  <si>
    <t>Restricted cash, net of current portion</t>
  </si>
  <si>
    <t>Other non-current assets</t>
  </si>
  <si>
    <t>Total assets</t>
  </si>
  <si>
    <t>Current liabilities</t>
  </si>
  <si>
    <t>Accounts payable</t>
  </si>
  <si>
    <t>Accrued liabilities and other</t>
  </si>
  <si>
    <t>Deferred revenue</t>
  </si>
  <si>
    <t>Resale value guarantees</t>
  </si>
  <si>
    <t>Customer deposits</t>
  </si>
  <si>
    <t>Current portion of debt and finance leases</t>
  </si>
  <si>
    <t>Total current liabilities</t>
  </si>
  <si>
    <t>Debt and finance leases, net of current portion</t>
  </si>
  <si>
    <t>Solar bonds issued to related parties, net of current portion</t>
  </si>
  <si>
    <t>Convertible senior notes issued to related parties</t>
  </si>
  <si>
    <t>Deferred revenue, net of current portion</t>
  </si>
  <si>
    <t>Resale value guarantees, net of current portion</t>
  </si>
  <si>
    <t>Other long-term liabilities</t>
  </si>
  <si>
    <t>Total liabilities</t>
  </si>
  <si>
    <t>Additional paid-in capital</t>
  </si>
  <si>
    <t>Accumulated other comprehensive income</t>
  </si>
  <si>
    <t>Retained earnings (accumulated deficit)</t>
  </si>
  <si>
    <t>Total stockholders' equity</t>
  </si>
  <si>
    <t>Total liabilities and equity</t>
  </si>
  <si>
    <t>Cash paid during the period for taxes, net of refunds</t>
  </si>
  <si>
    <t>Cash paid during the period for interest, net of amounts capitalized</t>
  </si>
  <si>
    <t>Supplemental Disclosures</t>
  </si>
  <si>
    <t>Estimated fair value of facilities under build-to-suit leases</t>
  </si>
  <si>
    <t>Acquisitions of property and equipment included in liabilities</t>
  </si>
  <si>
    <t>Equity issued in connection with business combination</t>
  </si>
  <si>
    <t>Supplemental Non-Cash Investing and Financing Activities</t>
  </si>
  <si>
    <t>Cash and cash equivalents and restricted cash, end of period</t>
  </si>
  <si>
    <t>Cash and cash equivalents and restricted cash, beginning of period</t>
  </si>
  <si>
    <t>Net (decrease) increase in cash and cash equivalents and restricted cash</t>
  </si>
  <si>
    <t>Effect of exchange rate changes on cash and cash equivalents and restricted cash</t>
  </si>
  <si>
    <t>Net cash (used in) provided by financing activities</t>
  </si>
  <si>
    <t>Payments for buy-outs of noncontrolling interests in subsidiaries</t>
  </si>
  <si>
    <t>Distributions paid to noncontrolling interests in subsidiaries</t>
  </si>
  <si>
    <t>Proceeds from investments by noncontrolling interests in subsidiaries</t>
  </si>
  <si>
    <t>Payments for settlements of warrants</t>
  </si>
  <si>
    <t>Proceeds from issuance of warrants</t>
  </si>
  <si>
    <t>Purchase of convertible note hedges</t>
  </si>
  <si>
    <t>Debt issuance costs</t>
  </si>
  <si>
    <t>Principal payments on finance leases</t>
  </si>
  <si>
    <t>Proceeds from exercises of stock options and other stock issuances</t>
  </si>
  <si>
    <t>Collateralized lease repayments</t>
  </si>
  <si>
    <t>Repayments of borrowings issued to related parties</t>
  </si>
  <si>
    <t>Repayments of convertible and other debt</t>
  </si>
  <si>
    <t>Proceeds from issuances of convertible and other debt</t>
  </si>
  <si>
    <t>Proceeds from issuances of common stock in public offerings, net of issuance costs</t>
  </si>
  <si>
    <t>Cash Flows from Financing Activities</t>
  </si>
  <si>
    <t>Net cash used in investing activities</t>
  </si>
  <si>
    <t>Business combinations, net of cash acquired</t>
  </si>
  <si>
    <t>Purchase of intangible assets</t>
  </si>
  <si>
    <t>Receipt of government grants</t>
  </si>
  <si>
    <t>Purchases of marketable securities</t>
  </si>
  <si>
    <t>Proceeds from sales of digital assets</t>
  </si>
  <si>
    <t>Purchases of digital assets</t>
  </si>
  <si>
    <t>Purchases of solar energy systems, net of sales</t>
  </si>
  <si>
    <t>Maturities of short-term marketable securities</t>
  </si>
  <si>
    <t>Purchases of property and equipment excluding finance leases, net of sales</t>
  </si>
  <si>
    <t>Cash Flows from Investing Activities</t>
  </si>
  <si>
    <t>Net cash provided by operating activities</t>
  </si>
  <si>
    <t>Resale value guarantee</t>
  </si>
  <si>
    <t>Accounts payable and accrued liabilities</t>
  </si>
  <si>
    <t>Operating lease vehicles</t>
  </si>
  <si>
    <t>Accounts receivable</t>
  </si>
  <si>
    <t>Changes in operating assets and liabilities:</t>
  </si>
  <si>
    <t>Operating cash flow related to repayment of discounted convertible senior notes</t>
  </si>
  <si>
    <t>Digital assets gain, net</t>
  </si>
  <si>
    <t>Non-cash interest and other operating activities</t>
  </si>
  <si>
    <t>Loss (gain) related to SolarCity acquisition</t>
  </si>
  <si>
    <t>Foreign currency transaction net unrealized (gain) loss</t>
  </si>
  <si>
    <t>Loss on disposals of fixed assets</t>
  </si>
  <si>
    <t>Inventory and purchase commitments write-downs</t>
  </si>
  <si>
    <t>Amortization of debt discounts and issuance costs</t>
  </si>
  <si>
    <t>Stock-based compensation</t>
  </si>
  <si>
    <t>Depreciation, amortization and impairment</t>
  </si>
  <si>
    <t>Adjustments to reconcile net income (loss) to net cash provided by operating activities:</t>
  </si>
  <si>
    <t>Net income (loss)</t>
  </si>
  <si>
    <t>Cash Flows from Operating Activities</t>
  </si>
  <si>
    <t>   common stockholders</t>
  </si>
  <si>
    <t>Comprehensive income (loss) attributable to</t>
  </si>
  <si>
    <t>   noncontrolling interests in subsidiaries</t>
  </si>
  <si>
    <t>   noncontrolling interests and redeemable</t>
  </si>
  <si>
    <t>Less: Comprehensive income attributable to</t>
  </si>
  <si>
    <t>Comprehensive income (loss)</t>
  </si>
  <si>
    <t>Unrealized net loss on marketable securities</t>
  </si>
  <si>
    <t>Foreign currency translation adjustment</t>
  </si>
  <si>
    <t>Other comprehensive income (loss):</t>
  </si>
  <si>
    <t>Diluted</t>
  </si>
  <si>
    <t>Basic</t>
  </si>
  <si>
    <t>   income (loss) per share of common stock</t>
  </si>
  <si>
    <t>Weighted average shares used in computing net</t>
  </si>
  <si>
    <t>   attributable to common stockholders</t>
  </si>
  <si>
    <t>Net income (loss) per share of common stock</t>
  </si>
  <si>
    <t>Net income (loss) attributable to common stockholders</t>
  </si>
  <si>
    <t>   redeemable noncontrolling interests in subsidiaries</t>
  </si>
  <si>
    <t>Net income attributable to noncontrolling interests and</t>
  </si>
  <si>
    <t>Provision for income taxes</t>
  </si>
  <si>
    <t>Other income (expense), net</t>
  </si>
  <si>
    <t>Interest expense</t>
  </si>
  <si>
    <t>Interest income</t>
  </si>
  <si>
    <t>Total operating expenses</t>
  </si>
  <si>
    <t>Restructuring and other</t>
  </si>
  <si>
    <t>Selling, general and administrative</t>
  </si>
  <si>
    <t>Research and development</t>
  </si>
  <si>
    <t>Services and other</t>
  </si>
  <si>
    <t>Energy generation and storage</t>
  </si>
  <si>
    <t>Total automotive cost of revenues</t>
  </si>
  <si>
    <t>Automotive leasing</t>
  </si>
  <si>
    <t>Automotive sales</t>
  </si>
  <si>
    <t>Total automotive revenues</t>
  </si>
  <si>
    <t>Automotive regulatory credits</t>
  </si>
  <si>
    <t>Assumption</t>
  </si>
  <si>
    <t>Income Statement</t>
  </si>
  <si>
    <t>Balance Sheet</t>
  </si>
  <si>
    <t>Net Income</t>
  </si>
  <si>
    <t>Common stock</t>
  </si>
  <si>
    <t>Gross Profit</t>
  </si>
  <si>
    <t>EBIT</t>
  </si>
  <si>
    <t>EBITDA</t>
  </si>
  <si>
    <t>Basic EPS</t>
  </si>
  <si>
    <t>Diluted EPS</t>
  </si>
  <si>
    <t>Shares outstanding</t>
  </si>
  <si>
    <t xml:space="preserve">Effective Tax Rate </t>
  </si>
  <si>
    <t xml:space="preserve">Effective Interest Rate </t>
  </si>
  <si>
    <t>% Margins</t>
  </si>
  <si>
    <t>Selling General &amp; Administrative Expense</t>
  </si>
  <si>
    <t>Depreciation &amp; Amortization Expense</t>
  </si>
  <si>
    <t>Capital Expenditures</t>
  </si>
  <si>
    <t>Comprehensive Income</t>
  </si>
  <si>
    <t>Dividend: as % Of Net Income</t>
  </si>
  <si>
    <t>Pre-tax Income</t>
  </si>
  <si>
    <t>Total Revenues</t>
  </si>
  <si>
    <t>Cashflow Statement</t>
  </si>
  <si>
    <t>Discounted Cash Flow Analysis</t>
  </si>
  <si>
    <t>Revenue</t>
  </si>
  <si>
    <t>% Margin</t>
  </si>
  <si>
    <t xml:space="preserve"> EBIT</t>
  </si>
  <si>
    <t>Unlevered Free Cash Flow</t>
  </si>
  <si>
    <t>Effective Tax Rate</t>
  </si>
  <si>
    <t xml:space="preserve">Less: Capital Expenditures </t>
  </si>
  <si>
    <t>Less: Income Tax Expense</t>
  </si>
  <si>
    <t xml:space="preserve">USD in millions </t>
  </si>
  <si>
    <t>Less: Change in Working Capital</t>
  </si>
  <si>
    <t>Terminal</t>
  </si>
  <si>
    <t xml:space="preserve">YoY Growth </t>
  </si>
  <si>
    <t>Changes in operating assets and liabilities: (turnover rate)</t>
  </si>
  <si>
    <t>Model S</t>
  </si>
  <si>
    <t>Model X</t>
  </si>
  <si>
    <t>Model 3</t>
  </si>
  <si>
    <t>Model Y</t>
  </si>
  <si>
    <t>Average Selling Price Model S</t>
  </si>
  <si>
    <t>Average Selling Price Model X</t>
  </si>
  <si>
    <t>Average Selling Price Model 3</t>
  </si>
  <si>
    <t>Average Selling Price Model Y</t>
  </si>
  <si>
    <t>Revenue Model S</t>
  </si>
  <si>
    <t>Revenue Model Y</t>
  </si>
  <si>
    <t>Revenue Model 3</t>
  </si>
  <si>
    <t>Revenue Model X</t>
  </si>
  <si>
    <t>Revenue Recognition</t>
  </si>
  <si>
    <t>Total Automotive sales</t>
  </si>
  <si>
    <t>Benz FSD L3</t>
  </si>
  <si>
    <t>https://www.teslarati.com/tesla-fsd-beta-vs-mercedes-benz-drivepilot-comparison-video/</t>
  </si>
  <si>
    <r>
      <t>but it would only be usable on highways that are pre-mapped in the daytime, and during dry conditions. When it’s snowing, or raining, or if it’s nighttime, DrivePilot would not be able to operate.</t>
    </r>
    <r>
      <rPr>
        <sz val="16"/>
        <color rgb="FF222222"/>
        <rFont val="Arial"/>
        <family val="2"/>
      </rPr>
      <t> </t>
    </r>
  </si>
  <si>
    <t xml:space="preserve">Tesla L2 </t>
  </si>
  <si>
    <t>more capable than competing solutions that are classified as SAE Level 3.</t>
  </si>
  <si>
    <t>Rivan</t>
  </si>
  <si>
    <t>Lucid</t>
  </si>
  <si>
    <t>Nio</t>
  </si>
  <si>
    <t>Xpeng</t>
  </si>
  <si>
    <t>Li</t>
  </si>
  <si>
    <t>Ford</t>
  </si>
  <si>
    <t>GM</t>
  </si>
  <si>
    <t>https://money.usnews.com/investing/stock-market-news/slideshows/upstart-tesla-competitors-to-watch</t>
  </si>
  <si>
    <t>NonCurrent Assets</t>
  </si>
  <si>
    <t>Total non-current assets</t>
  </si>
  <si>
    <t xml:space="preserve">Projected </t>
  </si>
  <si>
    <t>Projected</t>
  </si>
  <si>
    <t>Prepaid expenses and other current assets (% margin)</t>
  </si>
  <si>
    <t>Deferred revenue (% margin)</t>
  </si>
  <si>
    <t>Customer deposits (% margin)</t>
  </si>
  <si>
    <t>Short Term Borrowings</t>
  </si>
  <si>
    <t>Repayment</t>
  </si>
  <si>
    <t>Long Term Borrowi ngs</t>
  </si>
  <si>
    <t>Revolver</t>
  </si>
  <si>
    <t>Total Interest Expense</t>
  </si>
  <si>
    <t>Beginning Balance</t>
  </si>
  <si>
    <t>Drawdown</t>
  </si>
  <si>
    <t>Ending Balance</t>
  </si>
  <si>
    <t>Long Term Borrowings</t>
  </si>
  <si>
    <t>Interest</t>
  </si>
  <si>
    <t xml:space="preserve">Drawdown </t>
  </si>
  <si>
    <t>Bank Loan Interest</t>
  </si>
  <si>
    <t>Accrued liabilities and other (% margin)</t>
  </si>
  <si>
    <t>Resale value guarantees  (% margin)</t>
  </si>
  <si>
    <t>NonCurrent Liabilities</t>
  </si>
  <si>
    <t>Equity</t>
  </si>
  <si>
    <t>Total Unit</t>
  </si>
  <si>
    <t>Unit in thousand</t>
  </si>
  <si>
    <t>Total Revenues(M)</t>
  </si>
  <si>
    <t>WACC</t>
  </si>
  <si>
    <t>RF rate</t>
  </si>
  <si>
    <t>Beta</t>
  </si>
  <si>
    <t>Required Return</t>
  </si>
  <si>
    <t>Cost of Debt</t>
  </si>
  <si>
    <t>Effctive Tax Rate</t>
  </si>
  <si>
    <t>Cost of Equity</t>
  </si>
  <si>
    <t>Equity/Capital</t>
  </si>
  <si>
    <t>Debt/Capital</t>
  </si>
  <si>
    <t>After-tax Cost of Debt</t>
  </si>
  <si>
    <t>∆ in working capital:</t>
  </si>
  <si>
    <t>YoY Growth</t>
  </si>
  <si>
    <t>Growth</t>
  </si>
  <si>
    <t>Pre-tax Income EBT</t>
  </si>
  <si>
    <t>COGS</t>
  </si>
  <si>
    <t>operating cost</t>
  </si>
  <si>
    <t>Average</t>
  </si>
  <si>
    <t>Perpetuity Growth Rate</t>
  </si>
  <si>
    <t>Unit change</t>
  </si>
  <si>
    <t>avg price</t>
  </si>
  <si>
    <t>avg unit</t>
  </si>
  <si>
    <t>Growth actual</t>
  </si>
  <si>
    <t>Accounts receivable, net (turnover days)</t>
  </si>
  <si>
    <t>Inventory (turnover days)</t>
  </si>
  <si>
    <t>Accounts payable (turnover days)</t>
  </si>
  <si>
    <t xml:space="preserve">Less: Depreciation &amp; Amortization </t>
  </si>
  <si>
    <t xml:space="preserve">Period </t>
  </si>
  <si>
    <t>NVP of Terminal Value</t>
  </si>
  <si>
    <t>Enterprise Value</t>
  </si>
  <si>
    <t>Equity Value</t>
  </si>
  <si>
    <t xml:space="preserve">NPV 5yr </t>
  </si>
  <si>
    <t>Net Debt</t>
  </si>
  <si>
    <t>non-core assets</t>
  </si>
  <si>
    <t>Implied Share Price</t>
  </si>
  <si>
    <t>shares outstanding (M)</t>
  </si>
  <si>
    <t xml:space="preserve">Exit Multiple </t>
  </si>
  <si>
    <t>EBITDA Exit Multiple</t>
  </si>
  <si>
    <t>Gordon Growth Method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</si>
</sst>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2" formatCode="_(&quot;$&quot;* #,##0_);_(&quot;$&quot;* \(#,##0\);_(&quot;$&quot;* &quot;-&quot;_);_(@_)"/>
    <numFmt numFmtId="43" formatCode="_(* #,##0.00_);_(* \(#,##0.00\);_(* &quot;-&quot;??_);_(@_)"/>
    <numFmt numFmtId="164" formatCode="_(* #,##0_);_(* \(#,##0\);_(* &quot;-&quot;??_);_(@_)"/>
    <numFmt numFmtId="165" formatCode="0.0%"/>
    <numFmt numFmtId="166" formatCode="0\A"/>
    <numFmt numFmtId="167" formatCode="0\P"/>
    <numFmt numFmtId="168" formatCode="General\A"/>
    <numFmt numFmtId="169" formatCode="General\P"/>
    <numFmt numFmtId="170" formatCode="#,##0.0"/>
    <numFmt numFmtId="186" formatCode="0\x"/>
  </numFmts>
  <fonts count="24" x14ac:knownFonts="1">
    <font>
      <sz val="11"/>
      <color theme="1"/>
      <name val="Calibri"/>
      <family val="2"/>
      <scheme val="minor"/>
    </font>
    <font>
      <b/>
      <sz val="11"/>
      <color theme="1"/>
      <name val="Calibri"/>
      <family val="2"/>
      <scheme val="minor"/>
    </font>
    <font>
      <sz val="11"/>
      <color theme="1"/>
      <name val="Calibri"/>
      <family val="2"/>
      <scheme val="minor"/>
    </font>
    <font>
      <sz val="11"/>
      <color theme="0"/>
      <name val="Calibri"/>
      <family val="2"/>
      <scheme val="minor"/>
    </font>
    <font>
      <i/>
      <sz val="11"/>
      <color theme="1"/>
      <name val="Calibri"/>
      <family val="2"/>
      <scheme val="minor"/>
    </font>
    <font>
      <sz val="10"/>
      <color rgb="FF000000"/>
      <name val="Tahoma"/>
      <family val="2"/>
    </font>
    <font>
      <b/>
      <sz val="10"/>
      <color rgb="FF000000"/>
      <name val="Tahoma"/>
      <family val="2"/>
    </font>
    <font>
      <sz val="11"/>
      <color rgb="FFFF0000"/>
      <name val="Calibri"/>
      <family val="2"/>
      <scheme val="minor"/>
    </font>
    <font>
      <sz val="11"/>
      <name val="Calibri"/>
      <family val="2"/>
      <scheme val="minor"/>
    </font>
    <font>
      <b/>
      <i/>
      <sz val="11"/>
      <color theme="1"/>
      <name val="Calibri"/>
      <family val="2"/>
      <scheme val="minor"/>
    </font>
    <font>
      <b/>
      <sz val="11"/>
      <color theme="0"/>
      <name val="Calibri"/>
      <family val="2"/>
      <scheme val="minor"/>
    </font>
    <font>
      <sz val="11"/>
      <color theme="0" tint="-0.499984740745262"/>
      <name val="Calibri"/>
      <family val="2"/>
      <scheme val="minor"/>
    </font>
    <font>
      <i/>
      <sz val="11"/>
      <name val="Calibri"/>
      <family val="2"/>
      <scheme val="minor"/>
    </font>
    <font>
      <i/>
      <sz val="11"/>
      <color rgb="FFFF0000"/>
      <name val="Calibri"/>
      <family val="2"/>
      <scheme val="minor"/>
    </font>
    <font>
      <sz val="11"/>
      <color theme="0" tint="-0.34998626667073579"/>
      <name val="Calibri"/>
      <family val="2"/>
      <scheme val="minor"/>
    </font>
    <font>
      <b/>
      <sz val="11"/>
      <color theme="0" tint="-0.499984740745262"/>
      <name val="Calibri"/>
      <family val="2"/>
      <scheme val="minor"/>
    </font>
    <font>
      <i/>
      <sz val="11"/>
      <color theme="0" tint="-0.499984740745262"/>
      <name val="Calibri"/>
      <family val="2"/>
      <scheme val="minor"/>
    </font>
    <font>
      <sz val="16"/>
      <color rgb="FF222222"/>
      <name val="Arial"/>
      <family val="2"/>
    </font>
    <font>
      <u/>
      <sz val="11"/>
      <color theme="1"/>
      <name val="Calibri"/>
      <family val="2"/>
      <scheme val="minor"/>
    </font>
    <font>
      <sz val="12"/>
      <color rgb="FF9C5700"/>
      <name val="Calibri"/>
      <family val="2"/>
      <scheme val="minor"/>
    </font>
    <font>
      <i/>
      <sz val="11"/>
      <color rgb="FF00B0F0"/>
      <name val="Calibri"/>
      <family val="2"/>
      <scheme val="minor"/>
    </font>
    <font>
      <sz val="11"/>
      <color rgb="FF00B0F0"/>
      <name val="Calibri"/>
      <family val="2"/>
      <scheme val="minor"/>
    </font>
    <font>
      <sz val="12"/>
      <name val="Calibri"/>
      <family val="2"/>
      <scheme val="minor"/>
    </font>
    <font>
      <b/>
      <i/>
      <sz val="11"/>
      <name val="Calibri"/>
      <family val="2"/>
      <scheme val="minor"/>
    </font>
  </fonts>
  <fills count="7">
    <fill>
      <patternFill patternType="none"/>
    </fill>
    <fill>
      <patternFill patternType="gray125"/>
    </fill>
    <fill>
      <patternFill patternType="solid">
        <fgColor theme="4" tint="-0.499984740745262"/>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FFEB9C"/>
      </patternFill>
    </fill>
    <fill>
      <patternFill patternType="solid">
        <fgColor rgb="FFFFEB9C"/>
        <bgColor indexed="64"/>
      </patternFill>
    </fill>
  </fills>
  <borders count="1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thin">
        <color auto="1"/>
      </left>
      <right/>
      <top/>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s>
  <cellStyleXfs count="4">
    <xf numFmtId="0" fontId="0" fillId="0" borderId="0"/>
    <xf numFmtId="43" fontId="2" fillId="0" borderId="0" applyFont="0" applyFill="0" applyBorder="0" applyAlignment="0" applyProtection="0"/>
    <xf numFmtId="9" fontId="2" fillId="0" borderId="0" applyFont="0" applyFill="0" applyBorder="0" applyAlignment="0" applyProtection="0"/>
    <xf numFmtId="0" fontId="19" fillId="5" borderId="0" applyNumberFormat="0" applyBorder="0" applyAlignment="0" applyProtection="0"/>
  </cellStyleXfs>
  <cellXfs count="205">
    <xf numFmtId="0" fontId="0" fillId="0" borderId="0" xfId="0"/>
    <xf numFmtId="0" fontId="0" fillId="3" borderId="0" xfId="0" applyFill="1"/>
    <xf numFmtId="0" fontId="0" fillId="4" borderId="0" xfId="0" applyFill="1"/>
    <xf numFmtId="0" fontId="1" fillId="4" borderId="0" xfId="0" applyFont="1" applyFill="1"/>
    <xf numFmtId="164" fontId="0" fillId="3" borderId="0" xfId="1" applyNumberFormat="1" applyFont="1" applyFill="1"/>
    <xf numFmtId="1" fontId="0" fillId="3" borderId="0" xfId="0" applyNumberFormat="1" applyFill="1"/>
    <xf numFmtId="3" fontId="0" fillId="3" borderId="0" xfId="1" applyNumberFormat="1" applyFont="1" applyFill="1"/>
    <xf numFmtId="0" fontId="1" fillId="3" borderId="0" xfId="0" applyFont="1" applyFill="1"/>
    <xf numFmtId="1" fontId="0" fillId="3" borderId="0" xfId="1" applyNumberFormat="1" applyFont="1" applyFill="1"/>
    <xf numFmtId="0" fontId="0" fillId="3" borderId="0" xfId="0" applyFont="1" applyFill="1"/>
    <xf numFmtId="3" fontId="0" fillId="3" borderId="0" xfId="0" applyNumberFormat="1" applyFill="1"/>
    <xf numFmtId="0" fontId="11" fillId="3" borderId="0" xfId="0" applyFont="1" applyFill="1"/>
    <xf numFmtId="1" fontId="11" fillId="3" borderId="0" xfId="1" applyNumberFormat="1" applyFont="1" applyFill="1"/>
    <xf numFmtId="3" fontId="0" fillId="3" borderId="0" xfId="0" applyNumberFormat="1" applyFont="1" applyFill="1"/>
    <xf numFmtId="3" fontId="1" fillId="3" borderId="0" xfId="0" applyNumberFormat="1" applyFont="1" applyFill="1"/>
    <xf numFmtId="0" fontId="1" fillId="3" borderId="0" xfId="0" applyFont="1" applyFill="1" applyBorder="1"/>
    <xf numFmtId="0" fontId="0" fillId="3" borderId="0" xfId="0" applyFill="1" applyBorder="1"/>
    <xf numFmtId="3" fontId="1" fillId="3" borderId="0" xfId="1" applyNumberFormat="1" applyFont="1" applyFill="1"/>
    <xf numFmtId="3" fontId="0" fillId="3" borderId="4" xfId="1" applyNumberFormat="1" applyFont="1" applyFill="1" applyBorder="1"/>
    <xf numFmtId="0" fontId="0" fillId="3" borderId="0" xfId="0" applyFont="1" applyFill="1" applyBorder="1"/>
    <xf numFmtId="0" fontId="1" fillId="3" borderId="0" xfId="0" applyFont="1" applyFill="1" applyBorder="1" applyAlignment="1">
      <alignment horizontal="left"/>
    </xf>
    <xf numFmtId="3" fontId="1" fillId="3" borderId="4" xfId="1" applyNumberFormat="1" applyFont="1" applyFill="1" applyBorder="1"/>
    <xf numFmtId="3" fontId="0" fillId="3" borderId="4" xfId="0" applyNumberFormat="1" applyFont="1" applyFill="1" applyBorder="1"/>
    <xf numFmtId="0" fontId="10" fillId="2" borderId="0" xfId="0" applyFont="1" applyFill="1" applyBorder="1" applyAlignment="1">
      <alignment horizontal="center" vertical="top"/>
    </xf>
    <xf numFmtId="2" fontId="11" fillId="3" borderId="0" xfId="1" applyNumberFormat="1" applyFont="1" applyFill="1"/>
    <xf numFmtId="0" fontId="8" fillId="3" borderId="0" xfId="0" applyFont="1" applyFill="1"/>
    <xf numFmtId="2" fontId="8" fillId="3" borderId="0" xfId="1" applyNumberFormat="1" applyFont="1" applyFill="1"/>
    <xf numFmtId="3" fontId="8" fillId="3" borderId="0" xfId="1" applyNumberFormat="1" applyFont="1" applyFill="1"/>
    <xf numFmtId="0" fontId="4" fillId="3" borderId="0" xfId="0" applyFont="1" applyFill="1" applyAlignment="1">
      <alignment horizontal="left"/>
    </xf>
    <xf numFmtId="0" fontId="4" fillId="3" borderId="0" xfId="0" applyFont="1" applyFill="1" applyBorder="1" applyAlignment="1">
      <alignment horizontal="left"/>
    </xf>
    <xf numFmtId="165" fontId="12" fillId="3" borderId="0" xfId="1" applyNumberFormat="1" applyFont="1" applyFill="1"/>
    <xf numFmtId="164" fontId="1" fillId="3" borderId="0" xfId="1" applyNumberFormat="1" applyFont="1" applyFill="1"/>
    <xf numFmtId="164" fontId="2" fillId="3" borderId="0" xfId="1" applyNumberFormat="1" applyFont="1" applyFill="1"/>
    <xf numFmtId="164" fontId="0" fillId="3" borderId="4" xfId="1" applyNumberFormat="1" applyFont="1" applyFill="1" applyBorder="1"/>
    <xf numFmtId="0" fontId="11" fillId="3" borderId="0" xfId="0" applyFont="1" applyFill="1" applyBorder="1"/>
    <xf numFmtId="0" fontId="0" fillId="3" borderId="0" xfId="0" applyFill="1" applyBorder="1" applyAlignment="1">
      <alignment horizontal="left" indent="2"/>
    </xf>
    <xf numFmtId="0" fontId="0" fillId="3" borderId="0" xfId="0" applyFont="1" applyFill="1" applyBorder="1" applyAlignment="1">
      <alignment horizontal="left" indent="2"/>
    </xf>
    <xf numFmtId="0" fontId="8" fillId="3" borderId="0" xfId="0" applyFont="1" applyFill="1" applyBorder="1"/>
    <xf numFmtId="0" fontId="12" fillId="3" borderId="0" xfId="0" applyFont="1" applyFill="1" applyBorder="1"/>
    <xf numFmtId="42" fontId="12" fillId="3" borderId="0" xfId="1" applyNumberFormat="1" applyFont="1" applyFill="1" applyBorder="1" applyAlignment="1"/>
    <xf numFmtId="3" fontId="12" fillId="3" borderId="0" xfId="1" applyNumberFormat="1" applyFont="1" applyFill="1" applyBorder="1"/>
    <xf numFmtId="3" fontId="12" fillId="3" borderId="0" xfId="1" applyNumberFormat="1" applyFont="1" applyFill="1" applyBorder="1" applyAlignment="1"/>
    <xf numFmtId="0" fontId="4" fillId="3" borderId="0" xfId="0" applyFont="1" applyFill="1" applyBorder="1" applyAlignment="1">
      <alignment horizontal="left" vertical="center"/>
    </xf>
    <xf numFmtId="0" fontId="0" fillId="3" borderId="0" xfId="0" applyFill="1" applyBorder="1" applyAlignment="1">
      <alignment horizontal="left" indent="1"/>
    </xf>
    <xf numFmtId="0" fontId="0" fillId="3" borderId="0" xfId="0" applyFill="1" applyBorder="1" applyAlignment="1">
      <alignment horizontal="left" indent="3"/>
    </xf>
    <xf numFmtId="0" fontId="1" fillId="3" borderId="0" xfId="0" applyFont="1" applyFill="1" applyBorder="1" applyAlignment="1">
      <alignment horizontal="left" indent="1"/>
    </xf>
    <xf numFmtId="0" fontId="4" fillId="3" borderId="0" xfId="0" applyFont="1" applyFill="1"/>
    <xf numFmtId="0" fontId="4" fillId="3" borderId="0" xfId="0" applyFont="1" applyFill="1" applyAlignment="1">
      <alignment horizontal="left" indent="2"/>
    </xf>
    <xf numFmtId="0" fontId="3" fillId="2" borderId="0" xfId="0" applyFont="1" applyFill="1" applyBorder="1"/>
    <xf numFmtId="166" fontId="3" fillId="2" borderId="0" xfId="0" applyNumberFormat="1" applyFont="1" applyFill="1" applyBorder="1"/>
    <xf numFmtId="167" fontId="3" fillId="2" borderId="0" xfId="0" applyNumberFormat="1" applyFont="1" applyFill="1" applyBorder="1"/>
    <xf numFmtId="165" fontId="0" fillId="3" borderId="0" xfId="0" applyNumberFormat="1" applyFill="1"/>
    <xf numFmtId="165" fontId="0" fillId="3" borderId="0" xfId="0" applyNumberFormat="1" applyFill="1" applyBorder="1"/>
    <xf numFmtId="165" fontId="8" fillId="3" borderId="0" xfId="2" applyNumberFormat="1" applyFont="1" applyFill="1"/>
    <xf numFmtId="168" fontId="10" fillId="2" borderId="0" xfId="0" applyNumberFormat="1" applyFont="1" applyFill="1" applyBorder="1" applyAlignment="1">
      <alignment horizontal="center" vertical="top"/>
    </xf>
    <xf numFmtId="169" fontId="10" fillId="2" borderId="0" xfId="0" applyNumberFormat="1" applyFont="1" applyFill="1" applyBorder="1" applyAlignment="1">
      <alignment horizontal="center" vertical="top"/>
    </xf>
    <xf numFmtId="3" fontId="0" fillId="3" borderId="4" xfId="0" applyNumberFormat="1" applyFill="1" applyBorder="1"/>
    <xf numFmtId="165" fontId="7" fillId="3" borderId="0" xfId="0" applyNumberFormat="1" applyFont="1" applyFill="1"/>
    <xf numFmtId="165" fontId="12" fillId="3" borderId="0" xfId="0" applyNumberFormat="1" applyFont="1" applyFill="1"/>
    <xf numFmtId="165" fontId="4" fillId="3" borderId="0" xfId="0" applyNumberFormat="1" applyFont="1" applyFill="1"/>
    <xf numFmtId="165" fontId="13" fillId="3" borderId="0" xfId="1" applyNumberFormat="1" applyFont="1" applyFill="1"/>
    <xf numFmtId="3" fontId="14" fillId="3" borderId="0" xfId="0" applyNumberFormat="1" applyFont="1" applyFill="1"/>
    <xf numFmtId="0" fontId="14" fillId="3" borderId="0" xfId="0" applyFont="1" applyFill="1"/>
    <xf numFmtId="165" fontId="14" fillId="3" borderId="0" xfId="0" applyNumberFormat="1" applyFont="1" applyFill="1"/>
    <xf numFmtId="165" fontId="14" fillId="3" borderId="0" xfId="0" applyNumberFormat="1" applyFont="1" applyFill="1" applyBorder="1"/>
    <xf numFmtId="3" fontId="0" fillId="3" borderId="7" xfId="1" applyNumberFormat="1" applyFont="1" applyFill="1" applyBorder="1"/>
    <xf numFmtId="3" fontId="0" fillId="3" borderId="5" xfId="1" applyNumberFormat="1" applyFont="1" applyFill="1" applyBorder="1"/>
    <xf numFmtId="3" fontId="1" fillId="3" borderId="7" xfId="1" applyNumberFormat="1" applyFont="1" applyFill="1" applyBorder="1"/>
    <xf numFmtId="0" fontId="0" fillId="3" borderId="7" xfId="0" applyFill="1" applyBorder="1"/>
    <xf numFmtId="1" fontId="11" fillId="3" borderId="7" xfId="1" applyNumberFormat="1" applyFont="1" applyFill="1" applyBorder="1"/>
    <xf numFmtId="2" fontId="11" fillId="3" borderId="7" xfId="1" applyNumberFormat="1" applyFont="1" applyFill="1" applyBorder="1"/>
    <xf numFmtId="0" fontId="11" fillId="3" borderId="7" xfId="0" applyFont="1" applyFill="1" applyBorder="1"/>
    <xf numFmtId="168" fontId="15" fillId="2" borderId="0" xfId="0" applyNumberFormat="1" applyFont="1" applyFill="1" applyBorder="1" applyAlignment="1">
      <alignment horizontal="center" vertical="top"/>
    </xf>
    <xf numFmtId="168" fontId="15" fillId="2" borderId="7" xfId="0" applyNumberFormat="1" applyFont="1" applyFill="1" applyBorder="1" applyAlignment="1">
      <alignment horizontal="center" vertical="top"/>
    </xf>
    <xf numFmtId="3" fontId="11" fillId="3" borderId="0" xfId="1" applyNumberFormat="1" applyFont="1" applyFill="1"/>
    <xf numFmtId="3" fontId="11" fillId="3" borderId="7" xfId="1" applyNumberFormat="1" applyFont="1" applyFill="1" applyBorder="1"/>
    <xf numFmtId="3" fontId="11" fillId="3" borderId="4" xfId="1" applyNumberFormat="1" applyFont="1" applyFill="1" applyBorder="1"/>
    <xf numFmtId="3" fontId="11" fillId="3" borderId="5" xfId="1" applyNumberFormat="1" applyFont="1" applyFill="1" applyBorder="1"/>
    <xf numFmtId="3" fontId="15" fillId="3" borderId="0" xfId="1" applyNumberFormat="1" applyFont="1" applyFill="1"/>
    <xf numFmtId="3" fontId="15" fillId="3" borderId="7" xfId="1" applyNumberFormat="1" applyFont="1" applyFill="1" applyBorder="1"/>
    <xf numFmtId="3" fontId="11" fillId="3" borderId="0" xfId="1" applyNumberFormat="1" applyFont="1" applyFill="1" applyBorder="1"/>
    <xf numFmtId="3" fontId="11" fillId="3" borderId="4" xfId="0" applyNumberFormat="1" applyFont="1" applyFill="1" applyBorder="1"/>
    <xf numFmtId="3" fontId="11" fillId="3" borderId="5" xfId="0" applyNumberFormat="1" applyFont="1" applyFill="1" applyBorder="1"/>
    <xf numFmtId="3" fontId="11" fillId="3" borderId="0" xfId="0" applyNumberFormat="1" applyFont="1" applyFill="1"/>
    <xf numFmtId="3" fontId="11" fillId="3" borderId="7" xfId="0" applyNumberFormat="1" applyFont="1" applyFill="1" applyBorder="1"/>
    <xf numFmtId="3" fontId="15" fillId="3" borderId="0" xfId="0" applyNumberFormat="1" applyFont="1" applyFill="1"/>
    <xf numFmtId="3" fontId="15" fillId="3" borderId="7" xfId="0" applyNumberFormat="1" applyFont="1" applyFill="1" applyBorder="1"/>
    <xf numFmtId="165" fontId="11" fillId="3" borderId="0" xfId="2" applyNumberFormat="1" applyFont="1" applyFill="1"/>
    <xf numFmtId="165" fontId="11" fillId="3" borderId="7" xfId="2" applyNumberFormat="1" applyFont="1" applyFill="1" applyBorder="1"/>
    <xf numFmtId="165" fontId="16" fillId="3" borderId="0" xfId="1" applyNumberFormat="1" applyFont="1" applyFill="1"/>
    <xf numFmtId="165" fontId="16" fillId="3" borderId="7" xfId="1" applyNumberFormat="1" applyFont="1" applyFill="1" applyBorder="1"/>
    <xf numFmtId="165" fontId="16" fillId="3" borderId="0" xfId="0" applyNumberFormat="1" applyFont="1" applyFill="1" applyAlignment="1">
      <alignment horizontal="left"/>
    </xf>
    <xf numFmtId="165" fontId="16" fillId="3" borderId="0" xfId="0" applyNumberFormat="1" applyFont="1" applyFill="1" applyBorder="1" applyAlignment="1">
      <alignment horizontal="left"/>
    </xf>
    <xf numFmtId="3" fontId="15" fillId="3" borderId="0" xfId="1" applyNumberFormat="1" applyFont="1" applyFill="1" applyBorder="1"/>
    <xf numFmtId="3" fontId="15" fillId="3" borderId="4" xfId="1" applyNumberFormat="1" applyFont="1" applyFill="1" applyBorder="1"/>
    <xf numFmtId="3" fontId="15" fillId="3" borderId="5" xfId="1" applyNumberFormat="1" applyFont="1" applyFill="1" applyBorder="1"/>
    <xf numFmtId="1" fontId="0" fillId="3" borderId="7" xfId="0" applyNumberFormat="1" applyFill="1" applyBorder="1"/>
    <xf numFmtId="164" fontId="0" fillId="3" borderId="7" xfId="1" applyNumberFormat="1" applyFont="1" applyFill="1" applyBorder="1"/>
    <xf numFmtId="164" fontId="2" fillId="3" borderId="7" xfId="1" applyNumberFormat="1" applyFont="1" applyFill="1" applyBorder="1"/>
    <xf numFmtId="164" fontId="0" fillId="3" borderId="5" xfId="1" applyNumberFormat="1" applyFont="1" applyFill="1" applyBorder="1"/>
    <xf numFmtId="164" fontId="1" fillId="3" borderId="7" xfId="1" applyNumberFormat="1" applyFont="1" applyFill="1" applyBorder="1"/>
    <xf numFmtId="0" fontId="4" fillId="3" borderId="7" xfId="0" applyFont="1" applyFill="1" applyBorder="1"/>
    <xf numFmtId="0" fontId="4" fillId="3" borderId="0" xfId="0" applyFont="1" applyFill="1" applyBorder="1"/>
    <xf numFmtId="0" fontId="4" fillId="3" borderId="0" xfId="0" applyFont="1" applyFill="1" applyBorder="1" applyAlignment="1">
      <alignment horizontal="left" indent="1"/>
    </xf>
    <xf numFmtId="3" fontId="16" fillId="3" borderId="0" xfId="1" applyNumberFormat="1" applyFont="1" applyFill="1" applyBorder="1"/>
    <xf numFmtId="3" fontId="16" fillId="3" borderId="7" xfId="1" applyNumberFormat="1" applyFont="1" applyFill="1" applyBorder="1"/>
    <xf numFmtId="3" fontId="4" fillId="3" borderId="0" xfId="1" applyNumberFormat="1" applyFont="1" applyFill="1"/>
    <xf numFmtId="0" fontId="4" fillId="3" borderId="0" xfId="0" applyFont="1" applyFill="1" applyBorder="1" applyAlignment="1">
      <alignment horizontal="left" indent="3"/>
    </xf>
    <xf numFmtId="165" fontId="4" fillId="3" borderId="0" xfId="1" applyNumberFormat="1" applyFont="1" applyFill="1"/>
    <xf numFmtId="1" fontId="4" fillId="3" borderId="0" xfId="1" applyNumberFormat="1" applyFont="1" applyFill="1"/>
    <xf numFmtId="170" fontId="0" fillId="3" borderId="0" xfId="0" applyNumberFormat="1" applyFill="1" applyAlignment="1">
      <alignment horizontal="right"/>
    </xf>
    <xf numFmtId="0" fontId="0" fillId="3" borderId="0" xfId="0" applyFill="1" applyAlignment="1">
      <alignment horizontal="left"/>
    </xf>
    <xf numFmtId="3" fontId="0" fillId="3" borderId="0" xfId="0" applyNumberFormat="1" applyFill="1" applyAlignment="1">
      <alignment horizontal="right"/>
    </xf>
    <xf numFmtId="0" fontId="1" fillId="3" borderId="0" xfId="0" applyFont="1" applyFill="1" applyBorder="1" applyAlignment="1">
      <alignment horizontal="left" vertical="center"/>
    </xf>
    <xf numFmtId="164" fontId="4" fillId="3" borderId="0" xfId="1" applyNumberFormat="1" applyFont="1" applyFill="1"/>
    <xf numFmtId="0" fontId="4" fillId="3" borderId="0" xfId="0" applyFont="1" applyFill="1" applyBorder="1" applyAlignment="1">
      <alignment horizontal="left" indent="2"/>
    </xf>
    <xf numFmtId="164" fontId="4" fillId="3" borderId="7" xfId="1" applyNumberFormat="1" applyFont="1" applyFill="1" applyBorder="1"/>
    <xf numFmtId="3" fontId="4" fillId="3" borderId="0" xfId="0" applyNumberFormat="1" applyFont="1" applyFill="1"/>
    <xf numFmtId="3" fontId="1" fillId="3" borderId="0" xfId="1" applyNumberFormat="1" applyFont="1" applyFill="1" applyBorder="1"/>
    <xf numFmtId="0" fontId="18" fillId="3" borderId="0" xfId="0" applyFont="1" applyFill="1" applyBorder="1"/>
    <xf numFmtId="164" fontId="0" fillId="3" borderId="0" xfId="1" applyNumberFormat="1" applyFont="1" applyFill="1" applyBorder="1"/>
    <xf numFmtId="164" fontId="4" fillId="3" borderId="0" xfId="1" applyNumberFormat="1" applyFont="1" applyFill="1" applyAlignment="1">
      <alignment horizontal="right"/>
    </xf>
    <xf numFmtId="0" fontId="0" fillId="3" borderId="4" xfId="0" applyFill="1" applyBorder="1"/>
    <xf numFmtId="3" fontId="0" fillId="3" borderId="4" xfId="0" applyNumberFormat="1" applyFill="1" applyBorder="1" applyAlignment="1">
      <alignment horizontal="right"/>
    </xf>
    <xf numFmtId="0" fontId="4" fillId="3" borderId="0" xfId="0" applyNumberFormat="1" applyFont="1" applyFill="1"/>
    <xf numFmtId="165" fontId="4" fillId="3" borderId="0" xfId="2" applyNumberFormat="1" applyFont="1" applyFill="1"/>
    <xf numFmtId="170" fontId="0" fillId="3" borderId="0" xfId="0" applyNumberFormat="1" applyFill="1"/>
    <xf numFmtId="0" fontId="0" fillId="3" borderId="0" xfId="0" applyNumberFormat="1" applyFont="1" applyFill="1"/>
    <xf numFmtId="164" fontId="2" fillId="3" borderId="0" xfId="1" applyNumberFormat="1" applyFont="1" applyFill="1" applyBorder="1"/>
    <xf numFmtId="3" fontId="21" fillId="3" borderId="0" xfId="0" applyNumberFormat="1" applyFont="1" applyFill="1" applyAlignment="1">
      <alignment horizontal="right"/>
    </xf>
    <xf numFmtId="3" fontId="21" fillId="3" borderId="4" xfId="0" applyNumberFormat="1" applyFont="1" applyFill="1" applyBorder="1" applyAlignment="1">
      <alignment horizontal="right"/>
    </xf>
    <xf numFmtId="3" fontId="21" fillId="3" borderId="0" xfId="0" applyNumberFormat="1" applyFont="1" applyFill="1"/>
    <xf numFmtId="164" fontId="0" fillId="3" borderId="0" xfId="0" applyNumberFormat="1" applyFill="1"/>
    <xf numFmtId="3" fontId="19" fillId="5" borderId="0" xfId="3" applyNumberFormat="1"/>
    <xf numFmtId="0" fontId="0" fillId="3" borderId="6" xfId="0" applyFill="1" applyBorder="1" applyAlignment="1">
      <alignment horizontal="left" indent="2"/>
    </xf>
    <xf numFmtId="0" fontId="9" fillId="3" borderId="0" xfId="0" applyFont="1" applyFill="1" applyBorder="1"/>
    <xf numFmtId="165" fontId="12" fillId="3" borderId="0" xfId="0" applyNumberFormat="1" applyFont="1" applyFill="1" applyAlignment="1">
      <alignment horizontal="right"/>
    </xf>
    <xf numFmtId="0" fontId="0" fillId="3" borderId="0" xfId="0" applyFont="1" applyFill="1" applyBorder="1" applyAlignment="1">
      <alignment horizontal="left"/>
    </xf>
    <xf numFmtId="3" fontId="0" fillId="3" borderId="0" xfId="0" applyNumberFormat="1" applyFont="1" applyFill="1" applyBorder="1"/>
    <xf numFmtId="4" fontId="0" fillId="3" borderId="0" xfId="0" applyNumberFormat="1" applyFont="1" applyFill="1"/>
    <xf numFmtId="43" fontId="0" fillId="3" borderId="0" xfId="0" applyNumberFormat="1" applyFont="1" applyFill="1"/>
    <xf numFmtId="165" fontId="8" fillId="5" borderId="0" xfId="3" applyNumberFormat="1" applyFont="1"/>
    <xf numFmtId="43" fontId="8" fillId="3" borderId="0" xfId="0" applyNumberFormat="1" applyFont="1" applyFill="1"/>
    <xf numFmtId="0" fontId="4" fillId="3" borderId="0" xfId="0" applyFont="1" applyFill="1" applyAlignment="1">
      <alignment horizontal="right"/>
    </xf>
    <xf numFmtId="165" fontId="12" fillId="3" borderId="0" xfId="3" applyNumberFormat="1" applyFont="1" applyFill="1"/>
    <xf numFmtId="165" fontId="12" fillId="6" borderId="0" xfId="0" applyNumberFormat="1" applyFont="1" applyFill="1"/>
    <xf numFmtId="165" fontId="22" fillId="6" borderId="0" xfId="3" applyNumberFormat="1" applyFont="1" applyFill="1"/>
    <xf numFmtId="0" fontId="4" fillId="6" borderId="0" xfId="0" applyFont="1" applyFill="1"/>
    <xf numFmtId="1" fontId="12" fillId="6" borderId="0" xfId="0" applyNumberFormat="1" applyFont="1" applyFill="1"/>
    <xf numFmtId="0" fontId="1" fillId="3" borderId="1" xfId="0" applyNumberFormat="1" applyFont="1" applyFill="1" applyBorder="1"/>
    <xf numFmtId="0" fontId="4" fillId="3" borderId="2" xfId="0" applyNumberFormat="1" applyFont="1" applyFill="1" applyBorder="1"/>
    <xf numFmtId="165" fontId="4" fillId="3" borderId="3" xfId="2" applyNumberFormat="1" applyFont="1" applyFill="1" applyBorder="1"/>
    <xf numFmtId="1" fontId="22" fillId="6" borderId="0" xfId="3" applyNumberFormat="1" applyFont="1" applyFill="1"/>
    <xf numFmtId="3" fontId="0" fillId="6" borderId="0" xfId="0" applyNumberFormat="1" applyFill="1"/>
    <xf numFmtId="165" fontId="0" fillId="3" borderId="7" xfId="0" applyNumberFormat="1" applyFill="1" applyBorder="1"/>
    <xf numFmtId="3" fontId="4" fillId="6" borderId="0" xfId="0" applyNumberFormat="1" applyFont="1" applyFill="1"/>
    <xf numFmtId="165" fontId="20" fillId="5" borderId="0" xfId="3" applyNumberFormat="1" applyFont="1"/>
    <xf numFmtId="165" fontId="12" fillId="5" borderId="0" xfId="3" applyNumberFormat="1" applyFont="1"/>
    <xf numFmtId="3" fontId="8" fillId="3" borderId="0" xfId="0" applyNumberFormat="1" applyFont="1" applyFill="1"/>
    <xf numFmtId="0" fontId="10" fillId="4" borderId="0" xfId="0" applyFont="1" applyFill="1" applyBorder="1" applyAlignment="1">
      <alignment horizontal="center" vertical="top"/>
    </xf>
    <xf numFmtId="168" fontId="15" fillId="4" borderId="0" xfId="0" applyNumberFormat="1" applyFont="1" applyFill="1" applyBorder="1" applyAlignment="1">
      <alignment horizontal="center" vertical="top"/>
    </xf>
    <xf numFmtId="168" fontId="15" fillId="4" borderId="7" xfId="0" applyNumberFormat="1" applyFont="1" applyFill="1" applyBorder="1" applyAlignment="1">
      <alignment horizontal="center" vertical="top"/>
    </xf>
    <xf numFmtId="168" fontId="10" fillId="4" borderId="0" xfId="0" applyNumberFormat="1" applyFont="1" applyFill="1" applyBorder="1" applyAlignment="1">
      <alignment horizontal="center" vertical="top"/>
    </xf>
    <xf numFmtId="169" fontId="10" fillId="4" borderId="0" xfId="0" applyNumberFormat="1" applyFont="1" applyFill="1" applyBorder="1" applyAlignment="1">
      <alignment horizontal="center" vertical="top"/>
    </xf>
    <xf numFmtId="0" fontId="18" fillId="4" borderId="0" xfId="0" applyFont="1" applyFill="1"/>
    <xf numFmtId="9" fontId="0" fillId="4" borderId="0" xfId="0" applyNumberFormat="1" applyFill="1"/>
    <xf numFmtId="165" fontId="8" fillId="3" borderId="0" xfId="3" applyNumberFormat="1" applyFont="1" applyFill="1"/>
    <xf numFmtId="165" fontId="8" fillId="6" borderId="0" xfId="3" applyNumberFormat="1" applyFont="1" applyFill="1"/>
    <xf numFmtId="3" fontId="23" fillId="3" borderId="0" xfId="1" applyNumberFormat="1" applyFont="1" applyFill="1" applyBorder="1"/>
    <xf numFmtId="1" fontId="4" fillId="3" borderId="7" xfId="1" applyNumberFormat="1" applyFont="1" applyFill="1" applyBorder="1"/>
    <xf numFmtId="165" fontId="4" fillId="3" borderId="7" xfId="1" applyNumberFormat="1" applyFont="1" applyFill="1" applyBorder="1"/>
    <xf numFmtId="0" fontId="3" fillId="2" borderId="0" xfId="0" applyFont="1" applyFill="1" applyAlignment="1">
      <alignment horizontal="center"/>
    </xf>
    <xf numFmtId="0" fontId="0" fillId="3" borderId="0" xfId="0" applyFill="1" applyAlignment="1">
      <alignment horizontal="center"/>
    </xf>
    <xf numFmtId="0" fontId="3" fillId="3" borderId="0" xfId="0" applyFont="1" applyFill="1" applyAlignment="1">
      <alignment horizontal="center"/>
    </xf>
    <xf numFmtId="3" fontId="0" fillId="3" borderId="0" xfId="0" applyNumberFormat="1" applyFill="1" applyBorder="1"/>
    <xf numFmtId="3" fontId="1" fillId="3" borderId="0" xfId="0" applyNumberFormat="1" applyFont="1" applyFill="1" applyBorder="1"/>
    <xf numFmtId="3" fontId="4" fillId="3" borderId="0" xfId="0" applyNumberFormat="1" applyFont="1" applyFill="1" applyBorder="1"/>
    <xf numFmtId="165" fontId="12" fillId="3" borderId="0" xfId="1" applyNumberFormat="1" applyFont="1" applyFill="1" applyBorder="1"/>
    <xf numFmtId="165" fontId="16" fillId="3" borderId="0" xfId="1" applyNumberFormat="1" applyFont="1" applyFill="1" applyBorder="1"/>
    <xf numFmtId="3" fontId="4" fillId="6" borderId="0" xfId="1" applyNumberFormat="1" applyFont="1" applyFill="1"/>
    <xf numFmtId="0" fontId="21" fillId="3" borderId="0" xfId="0" applyFont="1" applyFill="1"/>
    <xf numFmtId="0" fontId="0" fillId="3" borderId="0" xfId="0" applyFill="1" applyAlignment="1"/>
    <xf numFmtId="165" fontId="0" fillId="3" borderId="5" xfId="0" applyNumberFormat="1" applyFill="1" applyBorder="1" applyAlignment="1">
      <alignment horizontal="right"/>
    </xf>
    <xf numFmtId="0" fontId="0" fillId="3" borderId="5" xfId="0" applyFill="1" applyBorder="1" applyAlignment="1">
      <alignment horizontal="right"/>
    </xf>
    <xf numFmtId="0" fontId="0" fillId="3" borderId="4" xfId="0" applyFill="1" applyBorder="1" applyAlignment="1">
      <alignment horizontal="right"/>
    </xf>
    <xf numFmtId="0" fontId="0" fillId="3" borderId="0" xfId="0" applyFont="1" applyFill="1" applyAlignment="1">
      <alignment horizontal="right"/>
    </xf>
    <xf numFmtId="0" fontId="1" fillId="3" borderId="0" xfId="0" applyFont="1" applyFill="1" applyAlignment="1">
      <alignment horizontal="center"/>
    </xf>
    <xf numFmtId="165" fontId="0" fillId="3" borderId="4" xfId="0" applyNumberFormat="1" applyFont="1" applyFill="1" applyBorder="1" applyAlignment="1">
      <alignment horizontal="center"/>
    </xf>
    <xf numFmtId="165" fontId="21" fillId="3" borderId="4" xfId="0" applyNumberFormat="1" applyFont="1" applyFill="1" applyBorder="1" applyAlignment="1">
      <alignment horizontal="center"/>
    </xf>
    <xf numFmtId="0" fontId="0" fillId="3" borderId="0" xfId="0" applyFont="1" applyFill="1" applyAlignment="1">
      <alignment horizontal="center"/>
    </xf>
    <xf numFmtId="165" fontId="0" fillId="3" borderId="5" xfId="0" applyNumberFormat="1" applyFont="1" applyFill="1" applyBorder="1" applyAlignment="1">
      <alignment horizontal="center"/>
    </xf>
    <xf numFmtId="3" fontId="0" fillId="3" borderId="0" xfId="0" applyNumberFormat="1" applyFont="1" applyFill="1" applyAlignment="1">
      <alignment horizontal="center"/>
    </xf>
    <xf numFmtId="165" fontId="0" fillId="3" borderId="7" xfId="0" applyNumberFormat="1" applyFont="1" applyFill="1" applyBorder="1" applyAlignment="1">
      <alignment horizontal="center"/>
    </xf>
    <xf numFmtId="0" fontId="0" fillId="3" borderId="0" xfId="0" applyFont="1" applyFill="1" applyAlignment="1">
      <alignment horizontal="center"/>
    </xf>
    <xf numFmtId="3" fontId="0" fillId="3" borderId="8" xfId="0" applyNumberFormat="1" applyFont="1" applyFill="1" applyBorder="1" applyAlignment="1">
      <alignment horizontal="center"/>
    </xf>
    <xf numFmtId="3" fontId="0" fillId="3" borderId="9" xfId="0" applyNumberFormat="1" applyFont="1" applyFill="1" applyBorder="1" applyAlignment="1">
      <alignment horizontal="center"/>
    </xf>
    <xf numFmtId="3" fontId="0" fillId="3" borderId="10" xfId="0" applyNumberFormat="1" applyFont="1" applyFill="1" applyBorder="1" applyAlignment="1">
      <alignment horizontal="center"/>
    </xf>
    <xf numFmtId="3" fontId="0" fillId="3" borderId="6" xfId="0" applyNumberFormat="1" applyFont="1" applyFill="1" applyBorder="1" applyAlignment="1">
      <alignment horizontal="center"/>
    </xf>
    <xf numFmtId="3" fontId="0" fillId="3" borderId="0" xfId="0" applyNumberFormat="1" applyFont="1" applyFill="1" applyBorder="1" applyAlignment="1">
      <alignment horizontal="center"/>
    </xf>
    <xf numFmtId="3" fontId="0" fillId="3" borderId="7" xfId="0" applyNumberFormat="1" applyFont="1" applyFill="1" applyBorder="1" applyAlignment="1">
      <alignment horizontal="center"/>
    </xf>
    <xf numFmtId="3" fontId="0" fillId="3" borderId="11" xfId="0" applyNumberFormat="1" applyFont="1" applyFill="1" applyBorder="1" applyAlignment="1">
      <alignment horizontal="center"/>
    </xf>
    <xf numFmtId="3" fontId="0" fillId="3" borderId="4" xfId="0" applyNumberFormat="1" applyFont="1" applyFill="1" applyBorder="1" applyAlignment="1">
      <alignment horizontal="center"/>
    </xf>
    <xf numFmtId="3" fontId="0" fillId="3" borderId="5" xfId="0" applyNumberFormat="1" applyFont="1" applyFill="1" applyBorder="1" applyAlignment="1">
      <alignment horizontal="center"/>
    </xf>
    <xf numFmtId="186" fontId="0" fillId="3" borderId="4" xfId="0" applyNumberFormat="1" applyFont="1" applyFill="1" applyBorder="1" applyAlignment="1">
      <alignment horizontal="center"/>
    </xf>
    <xf numFmtId="186" fontId="21" fillId="3" borderId="4" xfId="0" applyNumberFormat="1" applyFont="1" applyFill="1" applyBorder="1" applyAlignment="1">
      <alignment horizontal="center"/>
    </xf>
  </cellXfs>
  <cellStyles count="4">
    <cellStyle name="Comma" xfId="1" builtinId="3"/>
    <cellStyle name="Neutral" xfId="3" builtinId="28"/>
    <cellStyle name="Normal" xfId="0" builtinId="0"/>
    <cellStyle name="Percent" xfId="2" builtinId="5"/>
  </cellStyles>
  <dxfs count="0"/>
  <tableStyles count="0" defaultTableStyle="TableStyleMedium9" defaultPivotStyle="PivotStyleLight16"/>
  <colors>
    <mruColors>
      <color rgb="FFFFEB9C"/>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Structure" Target="richData/rdrichvaluestructure.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06/relationships/rdRichValue" Target="richData/rdrichvalu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SupportingPropertyBagStructure" Target="richData/rdsupportingpropertybagstructure.xml"/><Relationship Id="rId10" Type="http://schemas.openxmlformats.org/officeDocument/2006/relationships/sharedStrings" Target="sharedStrings.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ichStyles" Target="richData/rich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16</xdr:col>
      <xdr:colOff>571322</xdr:colOff>
      <xdr:row>25</xdr:row>
      <xdr:rowOff>23813</xdr:rowOff>
    </xdr:from>
    <xdr:to>
      <xdr:col>24</xdr:col>
      <xdr:colOff>459710</xdr:colOff>
      <xdr:row>58</xdr:row>
      <xdr:rowOff>75433</xdr:rowOff>
    </xdr:to>
    <xdr:pic>
      <xdr:nvPicPr>
        <xdr:cNvPr id="4" name="Picture 3">
          <a:extLst>
            <a:ext uri="{FF2B5EF4-FFF2-40B4-BE49-F238E27FC236}">
              <a16:creationId xmlns:a16="http://schemas.microsoft.com/office/drawing/2014/main" id="{6C0AB685-BE5B-DF49-A964-20C5E8F3C979}"/>
            </a:ext>
          </a:extLst>
        </xdr:cNvPr>
        <xdr:cNvPicPr>
          <a:picLocks noChangeAspect="1"/>
        </xdr:cNvPicPr>
      </xdr:nvPicPr>
      <xdr:blipFill>
        <a:blip xmlns:r="http://schemas.openxmlformats.org/officeDocument/2006/relationships" r:embed="rId1"/>
        <a:stretch>
          <a:fillRect/>
        </a:stretch>
      </xdr:blipFill>
      <xdr:spPr>
        <a:xfrm>
          <a:off x="14993760" y="2293938"/>
          <a:ext cx="5285888" cy="6426567"/>
        </a:xfrm>
        <a:prstGeom prst="rect">
          <a:avLst/>
        </a:prstGeom>
      </xdr:spPr>
    </xdr:pic>
    <xdr:clientData/>
  </xdr:twoCellAnchor>
  <xdr:twoCellAnchor editAs="oneCell">
    <xdr:from>
      <xdr:col>17</xdr:col>
      <xdr:colOff>477212</xdr:colOff>
      <xdr:row>0</xdr:row>
      <xdr:rowOff>136072</xdr:rowOff>
    </xdr:from>
    <xdr:to>
      <xdr:col>25</xdr:col>
      <xdr:colOff>569410</xdr:colOff>
      <xdr:row>27</xdr:row>
      <xdr:rowOff>3490</xdr:rowOff>
    </xdr:to>
    <xdr:pic>
      <xdr:nvPicPr>
        <xdr:cNvPr id="5" name="Picture 4">
          <a:extLst>
            <a:ext uri="{FF2B5EF4-FFF2-40B4-BE49-F238E27FC236}">
              <a16:creationId xmlns:a16="http://schemas.microsoft.com/office/drawing/2014/main" id="{BFF2453D-EF1A-6846-8C02-EC09D4022947}"/>
            </a:ext>
          </a:extLst>
        </xdr:cNvPr>
        <xdr:cNvPicPr>
          <a:picLocks noChangeAspect="1"/>
        </xdr:cNvPicPr>
      </xdr:nvPicPr>
      <xdr:blipFill>
        <a:blip xmlns:r="http://schemas.openxmlformats.org/officeDocument/2006/relationships" r:embed="rId2"/>
        <a:stretch>
          <a:fillRect/>
        </a:stretch>
      </xdr:blipFill>
      <xdr:spPr>
        <a:xfrm>
          <a:off x="17005355" y="136072"/>
          <a:ext cx="5462483" cy="291315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Qin Liu" id="{A5E54E6E-41AD-D94F-B6C2-9D584932DDAF}" userId="S::ql2373@columbia.edu::78896682-b43a-42b2-b16b-874ca3b2fa3c" providerId="AD"/>
</personList>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6">
  <rv s="0">
    <v>https://www.bing.com/financeapi/forcetrigger?t=r6dwra&amp;q=US10Y&amp;form=skydnc</v>
    <v>Learn more on Bing</v>
  </rv>
  <rv s="1">
    <v>0</v>
    <v>US Treasury 10Y</v>
    <v>2</v>
    <v>3</v>
    <v>Finance</v>
    <v>4</v>
    <v>en-US</v>
    <v>r6dwra</v>
    <v>268435456</v>
    <v>1</v>
    <v>Powered by Refinitiv</v>
    <v>0.67190000000000005</v>
    <v>6.7530000000000003E-3</v>
    <v>US</v>
    <v>USD</v>
    <v>Bond</v>
    <v>44614.124039351853</v>
    <v>0</v>
    <v>48259</v>
    <v>US Treasury 10Y</v>
    <v>99.5</v>
    <v>100.17189999999999</v>
    <v>US10Y</v>
    <v>US Treasury 10Y</v>
    <v>1.8770999999999999E-2</v>
    <v>1.951E-2</v>
    <v>1.345E-2</v>
    <v>2.0449999999999999E-2</v>
  </rv>
  <rv s="2">
    <v>1</v>
  </rv>
  <rv s="0">
    <v>https://www.bing.com/financeapi/forcetrigger?t=a24kar&amp;q=XNAS%3aTSLA&amp;form=skydnc</v>
    <v>Learn more on Bing</v>
  </rv>
  <rv s="3">
    <v>5</v>
    <v>TESLA, INC. (XNAS:TSLA)</v>
    <v>6</v>
    <v>7</v>
    <v>Finance</v>
    <v>8</v>
    <v>en-US</v>
    <v>a24kar</v>
    <v>268435456</v>
    <v>1</v>
    <v>Powered by Refinitiv</v>
    <v>1243.49</v>
    <v>539.49</v>
    <v>2.0539999999999998</v>
    <v>-19.37</v>
    <v>-2.2103000000000001E-2</v>
    <v>-4.9800000000000004</v>
    <v>-5.8109999999999993E-3</v>
    <v>USD</v>
    <v>Tesla, Inc. designs, develops, manufactures, sells and leases electric vehicles and energy generation and storage systems, and offers services related to its sustainable energy products. The Company's segments include automotive, and energy generation and storage. The automotive segment includes the design, development, manufacturing, sales and leasing of electric vehicles as well as sales of automotive regulatory credits. The energy generation and storage segment include the design, manufacture, installation, sales and leasing of solar energy systems and energy storage products, services related to its products, and sales of solar energy system incentives. Its automotive products include Model 3, Model Y, Model S and Model X. Model 3 is a four-door sedan. Model Y is a sport utility vehicle (SUV) built on the Model 3 platform. Model S is a four-door sedan. Model X is an SUV. The Company's energy storage products include Powerwall, Powerpack and Megapack.</v>
    <v>99290</v>
    <v>Nasdaq Stock Market</v>
    <v>XNAS</v>
    <v>XNAS</v>
    <v>13101 Harold Green Road, AUSTIN, TX, 78725 US</v>
    <v>886.87</v>
    <v>Automobiles &amp; Auto Parts</v>
    <v>Stock</v>
    <v>44610.882986573437</v>
    <v>3</v>
    <v>837.61</v>
    <v>885695400000</v>
    <v>TESLA, INC.</v>
    <v>TESLA, INC.</v>
    <v>886</v>
    <v>178.06129999999999</v>
    <v>876.35</v>
    <v>856.98</v>
    <v>852</v>
    <v>1033508000</v>
    <v>TSLA</v>
    <v>TESLA, INC. (XNAS:TSLA)</v>
    <v>22833947</v>
    <v>27342543</v>
    <v>2003</v>
  </rv>
  <rv s="2">
    <v>4</v>
  </rv>
</rvData>
</file>

<file path=xl/richData/rdrichvaluestructure.xml><?xml version="1.0" encoding="utf-8"?>
<rvStructures xmlns="http://schemas.microsoft.com/office/spreadsheetml/2017/richdata" count="4">
  <s t="_hyperlink">
    <k n="Address" t="s"/>
    <k n="Text" t="s"/>
  </s>
  <s t="_linkedentitycore">
    <k n="_Display" t="spb"/>
    <k n="_DisplayString" t="s"/>
    <k n="_Flags" t="spb"/>
    <k n="_Format" t="spb"/>
    <k n="_Icon" t="s"/>
    <k n="_SubLabel" t="spb"/>
    <k n="%EntityCulture" t="s"/>
    <k n="%EntityId" t="s"/>
    <k n="%EntityServiceId"/>
    <k n="%IsRefreshable" t="b"/>
    <k n="%ProviderInfo" t="s"/>
    <k n="Change"/>
    <k n="Change (%)"/>
    <k n="Country/region" t="s"/>
    <k n="Currency" t="s"/>
    <k n="Instrument type" t="s"/>
    <k n="Last trade time"/>
    <k n="LearnMoreOnLink" t="r"/>
    <k n="Maturity"/>
    <k n="Name" t="s"/>
    <k n="Previous close"/>
    <k n="Price"/>
    <k n="Ticker symbol" t="s"/>
    <k n="UniqueName" t="s"/>
    <k n="Yield last month"/>
    <k n="Yield last week"/>
    <k n="Yield last year"/>
    <k n="Yield yesterday"/>
  </s>
  <s t="_linkedentity">
    <k n="%cvi" t="r"/>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2">
    <a count="28">
      <v t="s">%EntityServiceId</v>
      <v t="s">_Format</v>
      <v t="s">%IsRefreshable</v>
      <v t="s">%EntityCulture</v>
      <v t="s">%EntityId</v>
      <v t="s">_Icon</v>
      <v t="s">_Display</v>
      <v t="s">Name</v>
      <v t="s">Price</v>
      <v t="s">_SubLabel</v>
      <v t="s">Last trade time</v>
      <v t="s">Ticker symbol</v>
      <v t="s">Change</v>
      <v t="s">Change (%)</v>
      <v t="s">Currency</v>
      <v t="s">Previous close</v>
      <v t="s">Yield yesterday</v>
      <v t="s">Yield last week</v>
      <v t="s">Yield last month</v>
      <v t="s">Yield last year</v>
      <v t="s">Maturity</v>
      <v t="s">Country/region</v>
      <v t="s">Instrument type</v>
      <v t="s">_Flags</v>
      <v t="s">UniqueName</v>
      <v t="s">_DisplayString</v>
      <v t="s">LearnMoreOnLink</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9">
    <spb s="0">
      <v>0</v>
      <v>Name</v>
      <v>LearnMoreOnLink</v>
    </spb>
    <spb s="1">
      <v>0</v>
      <v>0</v>
      <v>0</v>
    </spb>
    <spb s="2">
      <v>1</v>
      <v>1</v>
      <v>1</v>
    </spb>
    <spb s="3">
      <v>1</v>
      <v>2</v>
      <v>2</v>
      <v>3</v>
      <v>4</v>
      <v>2</v>
      <v>5</v>
      <v>4</v>
      <v>4</v>
      <v>4</v>
      <v>4</v>
      <v>6</v>
    </spb>
    <spb s="4">
      <v>GMT</v>
    </spb>
    <spb s="0">
      <v>1</v>
      <v>Name</v>
      <v>LearnMoreOnLink</v>
    </spb>
    <spb s="5">
      <v>1</v>
      <v>1</v>
      <v>1</v>
      <v>1</v>
    </spb>
    <spb s="6">
      <v>2</v>
      <v>7</v>
      <v>7</v>
      <v>2</v>
      <v>1</v>
      <v>2</v>
      <v>2</v>
      <v>2</v>
      <v>8</v>
      <v>8</v>
      <v>4</v>
      <v>9</v>
      <v>2</v>
      <v>2</v>
      <v>2</v>
      <v>8</v>
      <v>5</v>
      <v>10</v>
      <v>6</v>
      <v>8</v>
      <v>2</v>
      <v>2</v>
      <v>4</v>
    </spb>
    <spb s="7">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8">
  <s>
    <k n="^Order" t="spba"/>
    <k n="TitleProperty" t="s"/>
    <k n="SubTitleProperty" t="s"/>
  </s>
  <s>
    <k n="ShowInCardView" t="b"/>
    <k n="ShowInDotNotation" t="b"/>
    <k n="ShowInAutoComplete" t="b"/>
  </s>
  <s>
    <k n="UniqueName" t="spb"/>
    <k n="`%ProviderInfo" t="spb"/>
    <k n="LearnMoreOnLink" t="spb"/>
  </s>
  <s>
    <k n="Name" t="i"/>
    <k n="Price" t="i"/>
    <k n="Change" t="i"/>
    <k n="Maturity" t="i"/>
    <k n="Change (%)" t="i"/>
    <k n="Previous close" t="i"/>
    <k n="Last trade time" t="i"/>
    <k n="Yield last week" t="i"/>
    <k n="Yield last year" t="i"/>
    <k n="Yield yesterday" t="i"/>
    <k n="Yield last month" t="i"/>
    <k n="`%EntityServiceId" t="i"/>
  </s>
  <s>
    <k n="Last trade time" t="s"/>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x:dxf>
      <x:numFmt numFmtId="19" formatCode="m/d/yy"/>
    </x:dxf>
  </dxfs>
  <richProperties>
    <rPr n="IsTitleField" t="b"/>
    <rPr n="NumberFormat" t="s"/>
  </richProperties>
  <richStyles>
    <rSty>
      <rpv i="0">1</rpv>
    </rSty>
    <rSty dxfid="1">
      <rpv i="1">_([$$-en-US]* #,##0.00_);_([$$-en-US]* (#,##0.00);_([$$-en-US]* "-"??_);_(@_)</rpv>
    </rSty>
    <rSty dxfid="7"/>
    <rSty dxfid="3"/>
    <rSty dxfid="2"/>
    <rSty dxfid="0">
      <rpv i="1">0.00</rpv>
    </rSty>
    <rSty dxfid="5">
      <rpv i="1">#,##0.00</rpv>
    </rSty>
    <rSty dxfid="4">
      <rpv i="1">#,##0</rpv>
    </rSty>
    <rSty dxfid="1">
      <rpv i="1">_([$$-en-US]* #,##0_);_([$$-en-US]* (#,##0);_([$$-en-US]* "-"_);_(@_)</rpv>
    </rSty>
    <rSty dxfid="6">
      <rpv i="1">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F11" dT="2022-02-17T04:57:22.10" personId="{A5E54E6E-41AD-D94F-B6C2-9D584932DDAF}" id="{43960CEE-E17E-A548-B3EB-A8FCAC32381A}">
    <text xml:space="preserve">very bad year, how to adjust?
</text>
  </threadedComment>
  <threadedComment ref="B19" dT="2022-02-17T03:56:19.40" personId="{A5E54E6E-41AD-D94F-B6C2-9D584932DDAF}" id="{A48CE072-5C09-9E4B-8529-38AAE45FA8E6}">
    <text xml:space="preserve">use tax provision?
</text>
  </threadedComment>
  <threadedComment ref="S19" dT="2022-02-24T02:31:37.51" personId="{A5E54E6E-41AD-D94F-B6C2-9D584932DDAF}" id="{9E333AFF-2B90-BC4E-878C-9711526C6E89}">
    <text>use what type of shares ?
full diluted assets shares or ?</text>
  </threadedComment>
</ThreadedComments>
</file>

<file path=xl/threadedComments/threadedComment2.xml><?xml version="1.0" encoding="utf-8"?>
<ThreadedComments xmlns="http://schemas.microsoft.com/office/spreadsheetml/2018/threadedcomments" xmlns:x="http://schemas.openxmlformats.org/spreadsheetml/2006/main">
  <threadedComment ref="C14" dT="2022-02-17T04:52:59.19" personId="{A5E54E6E-41AD-D94F-B6C2-9D584932DDAF}" id="{382819B2-45F9-5F49-86AF-011FBBE420C4}">
    <text>rarely bad year, ignore?</text>
  </threadedComment>
  <threadedComment ref="A23" dT="2022-02-17T03:53:59.40" personId="{A5E54E6E-41AD-D94F-B6C2-9D584932DDAF}" id="{3EEBBC4D-5D3D-6C46-93EE-E5E67F812D84}">
    <text xml:space="preserve">difference between comprehensive income vs non-operating income?
</text>
  </threadedComment>
  <threadedComment ref="R25" dT="2022-02-17T04:35:40.01" personId="{A5E54E6E-41AD-D94F-B6C2-9D584932DDAF}" id="{B6D3F350-764C-EB4F-A80C-01D14DAEABF4}">
    <text>how to determine terminal rate</text>
  </threadedComment>
  <threadedComment ref="D31" dT="2022-02-22T03:17:38.36" personId="{A5E54E6E-41AD-D94F-B6C2-9D584932DDAF}" id="{251BB5F1-A542-514E-86D1-8984C089FF19}">
    <text xml:space="preserve">right item？
</text>
  </threadedComment>
  <threadedComment ref="H42" dT="2022-02-17T04:47:55.11" personId="{A5E54E6E-41AD-D94F-B6C2-9D584932DDAF}" id="{504C0097-99AC-A248-B23C-6075384BF6E2}">
    <text xml:space="preserve">negative number - adjusted by using only past 4 years 
</text>
  </threadedComment>
  <threadedComment ref="F54" dT="2022-02-17T05:20:19.63" personId="{A5E54E6E-41AD-D94F-B6C2-9D584932DDAF}" id="{C7DB870B-09F8-094A-983E-E8E94A9215B6}">
    <text xml:space="preserve">遇到有些减小的负数 手动调整吗
</text>
  </threadedComment>
</ThreadedComments>
</file>

<file path=xl/threadedComments/threadedComment3.xml><?xml version="1.0" encoding="utf-8"?>
<ThreadedComments xmlns="http://schemas.microsoft.com/office/spreadsheetml/2018/threadedcomments" xmlns:x="http://schemas.openxmlformats.org/spreadsheetml/2006/main">
  <threadedComment ref="A4" dT="2022-02-22T00:55:30.41" personId="{A5E54E6E-41AD-D94F-B6C2-9D584932DDAF}" id="{FB68847B-5656-B740-87CB-4D133855CAF8}">
    <text xml:space="preserve">ignore?
</text>
  </threadedComment>
  <threadedComment ref="A5" dT="2022-02-22T00:55:44.27" personId="{A5E54E6E-41AD-D94F-B6C2-9D584932DDAF}" id="{98ECDB14-E1F0-3F44-A99F-2FF4621BF2C4}">
    <text>ignore?</text>
  </threadedComment>
  <threadedComment ref="A29" dT="2022-02-22T23:08:05.07" personId="{A5E54E6E-41AD-D94F-B6C2-9D584932DDAF}" id="{BE8872D6-0F72-AB47-9C36-107CBD485923}">
    <text>不常见的item就不估了？</text>
  </threadedComment>
  <threadedComment ref="A55" dT="2022-02-21T23:55:08.80" personId="{A5E54E6E-41AD-D94F-B6C2-9D584932DDAF}" id="{1D685111-5AC0-5E46-84DC-0AB3A1877882}">
    <text>divide by total COGS or auto sales COGS?</text>
  </threadedComment>
  <threadedComment ref="A55" dT="2022-02-22T00:35:50.24" personId="{A5E54E6E-41AD-D94F-B6C2-9D584932DDAF}" id="{D3EDB667-C706-1642-8C5A-8776B059F7C9}" parentId="{1D685111-5AC0-5E46-84DC-0AB3A1877882}">
    <text xml:space="preserve">turnover days: why account receivable *365? 2 period avegae *365 =! a year </text>
  </threadedComment>
</ThreadedComments>
</file>

<file path=xl/threadedComments/threadedComment4.xml><?xml version="1.0" encoding="utf-8"?>
<ThreadedComments xmlns="http://schemas.microsoft.com/office/spreadsheetml/2018/threadedcomments" xmlns:x="http://schemas.openxmlformats.org/spreadsheetml/2006/main">
  <threadedComment ref="L5" dT="2022-02-22T02:52:09.92" personId="{A5E54E6E-41AD-D94F-B6C2-9D584932DDAF}" id="{CB4610F2-A0CD-7E46-898A-3A86CA757075}">
    <text>terminal year also use margin?</text>
  </threadedComment>
  <threadedComment ref="A16" dT="2022-02-22T01:47:13.07" personId="{A5E54E6E-41AD-D94F-B6C2-9D584932DDAF}" id="{E673100B-729F-514C-B0C1-6C1226F380E7}" done="1">
    <text xml:space="preserve">see cash changes: 
Subtract the current year accounts receivable balance from the previous year balance, increase in AR = less cashflow received </text>
  </threadedComment>
  <threadedComment ref="A18" dT="2022-02-22T02:21:48.90" personId="{A5E54E6E-41AD-D94F-B6C2-9D584932DDAF}" id="{2FA14FFA-4670-B14A-8573-E49ED4C61E5E}">
    <text xml:space="preserve">this is not current asset? </text>
  </threadedComment>
  <threadedComment ref="A77" dT="2022-02-17T03:51:03.82" personId="{A5E54E6E-41AD-D94F-B6C2-9D584932DDAF}" id="{D93FD0F0-A4A1-5346-A003-96695AAE26E7}">
    <text xml:space="preserve">is this changes in Working Capital, if not, which are not wc items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1.x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738BA4-23CD-E847-A318-F68CC92A41B9}">
  <dimension ref="B2:W79"/>
  <sheetViews>
    <sheetView tabSelected="1" topLeftCell="A37" zoomScale="170" zoomScaleNormal="170" workbookViewId="0">
      <selection activeCell="S59" sqref="S59"/>
    </sheetView>
  </sheetViews>
  <sheetFormatPr baseColWidth="10" defaultRowHeight="15" x14ac:dyDescent="0.2"/>
  <cols>
    <col min="1" max="1" width="10.83203125" style="1"/>
    <col min="2" max="3" width="10.5" style="1" customWidth="1"/>
    <col min="4" max="4" width="11" style="1" customWidth="1"/>
    <col min="5" max="5" width="10.83203125" style="1" hidden="1" customWidth="1"/>
    <col min="6" max="6" width="0.1640625" style="1" customWidth="1"/>
    <col min="7" max="18" width="10.83203125" style="1"/>
    <col min="19" max="19" width="10.5" style="1" customWidth="1"/>
    <col min="20" max="20" width="10.83203125" style="1"/>
    <col min="21" max="21" width="13.33203125" style="1" bestFit="1" customWidth="1"/>
    <col min="22" max="16384" width="10.83203125" style="1"/>
  </cols>
  <sheetData>
    <row r="2" spans="2:19" x14ac:dyDescent="0.2">
      <c r="B2" s="46" t="s">
        <v>159</v>
      </c>
      <c r="C2" s="46"/>
      <c r="D2" s="46"/>
    </row>
    <row r="5" spans="2:19" x14ac:dyDescent="0.2">
      <c r="B5" s="48" t="s">
        <v>151</v>
      </c>
      <c r="C5" s="48"/>
      <c r="D5" s="48"/>
      <c r="E5" s="49">
        <v>2016</v>
      </c>
      <c r="F5" s="49">
        <v>2017</v>
      </c>
      <c r="G5" s="49">
        <v>2018</v>
      </c>
      <c r="H5" s="49">
        <v>2019</v>
      </c>
      <c r="I5" s="49">
        <v>2020</v>
      </c>
      <c r="J5" s="49">
        <v>2021</v>
      </c>
      <c r="K5" s="50">
        <v>2022</v>
      </c>
      <c r="L5" s="50">
        <v>2023</v>
      </c>
      <c r="M5" s="50">
        <v>2024</v>
      </c>
      <c r="N5" s="50">
        <v>2025</v>
      </c>
      <c r="O5" s="50">
        <v>2026</v>
      </c>
      <c r="Q5" s="171" t="s">
        <v>217</v>
      </c>
      <c r="R5" s="171"/>
      <c r="S5" s="171"/>
    </row>
    <row r="6" spans="2:19" x14ac:dyDescent="0.2">
      <c r="B6" s="1" t="s">
        <v>152</v>
      </c>
      <c r="E6" s="61">
        <f>income!B2</f>
        <v>7000.1320000000005</v>
      </c>
      <c r="F6" s="61">
        <f>income!C2</f>
        <v>11758.751</v>
      </c>
      <c r="G6" s="10">
        <f>income!D2</f>
        <v>21461.268</v>
      </c>
      <c r="H6" s="10">
        <f>income!E2</f>
        <v>24578</v>
      </c>
      <c r="I6" s="10">
        <f>income!F2</f>
        <v>31536</v>
      </c>
      <c r="J6" s="10">
        <f>income!G2</f>
        <v>53823</v>
      </c>
      <c r="K6" s="10">
        <f>income!H2</f>
        <v>96470.659136478251</v>
      </c>
      <c r="L6" s="10">
        <f>income!I2</f>
        <v>123017.22504733669</v>
      </c>
      <c r="M6" s="10">
        <f>income!J2</f>
        <v>147672.89037534822</v>
      </c>
      <c r="N6" s="10">
        <f>income!K2</f>
        <v>141410.72866390232</v>
      </c>
      <c r="O6" s="10">
        <f>income!L2</f>
        <v>186368.81702452476</v>
      </c>
      <c r="Q6" s="127" t="s">
        <v>218</v>
      </c>
      <c r="R6" s="124"/>
      <c r="S6" s="51" cm="1">
        <f t="array" ref="S6">_FV(Q17,"Yield yesterday",TRUE)</f>
        <v>2.0449999999999999E-2</v>
      </c>
    </row>
    <row r="7" spans="2:19" x14ac:dyDescent="0.2">
      <c r="B7" s="47" t="s">
        <v>228</v>
      </c>
      <c r="C7" s="47"/>
      <c r="D7" s="47"/>
      <c r="E7" s="62"/>
      <c r="F7" s="63">
        <f>F6/E6-1</f>
        <v>0.67978989539054391</v>
      </c>
      <c r="G7" s="51"/>
      <c r="H7" s="51">
        <f t="shared" ref="H7:J7" si="0">H6/G6-1</f>
        <v>0.14522590184326489</v>
      </c>
      <c r="I7" s="51">
        <f t="shared" si="0"/>
        <v>0.28309870615998056</v>
      </c>
      <c r="J7" s="51">
        <f t="shared" si="0"/>
        <v>0.70671613394216126</v>
      </c>
      <c r="K7" s="51">
        <f t="shared" ref="K7" si="1">K6/J6-1</f>
        <v>0.79236867392152521</v>
      </c>
      <c r="L7" s="51">
        <f t="shared" ref="L7" si="2">L6/K6-1</f>
        <v>0.27517761512650885</v>
      </c>
      <c r="M7" s="51">
        <f t="shared" ref="M7" si="3">M6/L6-1</f>
        <v>0.2004244959884609</v>
      </c>
      <c r="N7" s="51">
        <f t="shared" ref="N7" si="4">N6/M6-1</f>
        <v>-4.2405628382630178E-2</v>
      </c>
      <c r="O7" s="51">
        <f t="shared" ref="O7" si="5">O6/N6-1</f>
        <v>0.31792558305442653</v>
      </c>
      <c r="Q7" s="127" t="s">
        <v>219</v>
      </c>
      <c r="R7" s="124"/>
      <c r="S7" s="126" cm="1">
        <f t="array" ref="S7">_FV(Q18,"Beta")</f>
        <v>2.0539999999999998</v>
      </c>
    </row>
    <row r="8" spans="2:19" x14ac:dyDescent="0.2">
      <c r="E8" s="62"/>
      <c r="F8" s="62"/>
      <c r="Q8" s="127" t="s">
        <v>220</v>
      </c>
      <c r="R8" s="124"/>
      <c r="S8" s="59">
        <v>0.1</v>
      </c>
    </row>
    <row r="9" spans="2:19" x14ac:dyDescent="0.2">
      <c r="B9" s="1" t="s">
        <v>136</v>
      </c>
      <c r="E9" s="61">
        <f>income!B16</f>
        <v>279.7589999999999</v>
      </c>
      <c r="F9" s="61">
        <f>income!C16</f>
        <v>3.9170000000001437</v>
      </c>
      <c r="G9" s="10">
        <f>G15+G13</f>
        <v>1512.9769999999999</v>
      </c>
      <c r="H9" s="10">
        <f>H15+H13</f>
        <v>2085</v>
      </c>
      <c r="I9" s="10">
        <f t="shared" ref="I9:O9" si="6">I15+I13</f>
        <v>4316</v>
      </c>
      <c r="J9" s="10">
        <f t="shared" si="6"/>
        <v>9434</v>
      </c>
      <c r="K9" s="10">
        <f>K15+K13</f>
        <v>11560.31118462073</v>
      </c>
      <c r="L9" s="10">
        <f t="shared" si="6"/>
        <v>14741.450046524971</v>
      </c>
      <c r="M9" s="10">
        <f t="shared" si="6"/>
        <v>17695.997742238811</v>
      </c>
      <c r="N9" s="10">
        <f t="shared" si="6"/>
        <v>16945.58783812157</v>
      </c>
      <c r="O9" s="10">
        <f t="shared" si="6"/>
        <v>22333.023731756373</v>
      </c>
      <c r="Q9" s="127" t="s">
        <v>221</v>
      </c>
      <c r="R9" s="124"/>
      <c r="S9" s="125">
        <f>income!H31</f>
        <v>6.3135966114029801E-2</v>
      </c>
    </row>
    <row r="10" spans="2:19" x14ac:dyDescent="0.2">
      <c r="B10" s="47" t="s">
        <v>153</v>
      </c>
      <c r="C10" s="47"/>
      <c r="D10" s="47"/>
      <c r="E10" s="64">
        <f>E9/E6</f>
        <v>3.9964817806292775E-2</v>
      </c>
      <c r="F10" s="64">
        <f t="shared" ref="F10:O10" si="7">F9/F6</f>
        <v>3.3311361045064599E-4</v>
      </c>
      <c r="G10" s="52">
        <f t="shared" si="7"/>
        <v>7.0498024627435804E-2</v>
      </c>
      <c r="H10" s="52">
        <f t="shared" si="7"/>
        <v>8.4831963544633418E-2</v>
      </c>
      <c r="I10" s="52">
        <f t="shared" si="7"/>
        <v>0.13685946220192796</v>
      </c>
      <c r="J10" s="52">
        <f t="shared" si="7"/>
        <v>0.17527822678037269</v>
      </c>
      <c r="K10" s="52">
        <f t="shared" si="7"/>
        <v>0.11983240591593983</v>
      </c>
      <c r="L10" s="52">
        <f t="shared" si="7"/>
        <v>0.11983240591593984</v>
      </c>
      <c r="M10" s="52">
        <f t="shared" si="7"/>
        <v>0.11983240591593983</v>
      </c>
      <c r="N10" s="52">
        <f t="shared" si="7"/>
        <v>0.11983240591593983</v>
      </c>
      <c r="O10" s="52">
        <f t="shared" si="7"/>
        <v>0.11983240591593985</v>
      </c>
      <c r="Q10" s="127" t="s">
        <v>222</v>
      </c>
      <c r="R10" s="124"/>
      <c r="S10" s="59">
        <f>J20</f>
        <v>0.11020022071574964</v>
      </c>
    </row>
    <row r="11" spans="2:19" x14ac:dyDescent="0.2">
      <c r="B11" s="47" t="s">
        <v>228</v>
      </c>
      <c r="C11" s="47"/>
      <c r="D11" s="47"/>
      <c r="E11" s="63"/>
      <c r="F11" s="57">
        <f>F9/E9-1</f>
        <v>-0.98599866313505502</v>
      </c>
      <c r="G11" s="51"/>
      <c r="H11" s="51">
        <f>H9/G9-1</f>
        <v>0.3780777896821963</v>
      </c>
      <c r="I11" s="51">
        <f>I9/H9-1</f>
        <v>1.0700239808153476</v>
      </c>
      <c r="J11" s="51">
        <f>J9/I9-1</f>
        <v>1.1858202038924932</v>
      </c>
      <c r="K11" s="51">
        <f t="shared" ref="K11:O11" si="8">K9/J9-1</f>
        <v>0.22538808401746135</v>
      </c>
      <c r="L11" s="51">
        <f t="shared" si="8"/>
        <v>0.27517761512650907</v>
      </c>
      <c r="M11" s="51">
        <f t="shared" si="8"/>
        <v>0.2004244959884609</v>
      </c>
      <c r="N11" s="51">
        <f t="shared" si="8"/>
        <v>-4.2405628382630178E-2</v>
      </c>
      <c r="O11" s="51">
        <f t="shared" si="8"/>
        <v>0.31792558305442675</v>
      </c>
      <c r="Q11" s="127" t="s">
        <v>226</v>
      </c>
      <c r="R11" s="124"/>
      <c r="S11" s="59">
        <f>S9*(1-S10)</f>
        <v>5.6178368713161626E-2</v>
      </c>
    </row>
    <row r="12" spans="2:19" x14ac:dyDescent="0.2">
      <c r="E12" s="62"/>
      <c r="F12" s="62"/>
      <c r="Q12" s="127" t="s">
        <v>223</v>
      </c>
      <c r="R12" s="124"/>
      <c r="S12" s="59">
        <f>S6+S7*(S8-S6)</f>
        <v>0.1838457</v>
      </c>
    </row>
    <row r="13" spans="2:19" x14ac:dyDescent="0.2">
      <c r="B13" s="1" t="s">
        <v>242</v>
      </c>
      <c r="E13" s="61">
        <f>cashflow!B5</f>
        <v>947.09899999999993</v>
      </c>
      <c r="F13" s="61">
        <f>cashflow!C5</f>
        <v>1636.0030000000002</v>
      </c>
      <c r="G13" s="10">
        <f>cashflow!D5</f>
        <v>1901.05</v>
      </c>
      <c r="H13" s="10">
        <f>cashflow!E5</f>
        <v>2154</v>
      </c>
      <c r="I13" s="10">
        <f>cashflow!F5</f>
        <v>2322</v>
      </c>
      <c r="J13" s="10">
        <f>cashflow!G5</f>
        <v>2911</v>
      </c>
      <c r="K13" s="10">
        <f>cashflow!H5</f>
        <v>7330.1947580386932</v>
      </c>
      <c r="L13" s="10">
        <f>cashflow!I5</f>
        <v>9347.3002699686167</v>
      </c>
      <c r="M13" s="10">
        <f>cashflow!J5</f>
        <v>11220.728215429883</v>
      </c>
      <c r="N13" s="10">
        <f>cashflow!K5</f>
        <v>10744.90618454387</v>
      </c>
      <c r="O13" s="10">
        <f>cashflow!L5</f>
        <v>14160.986748130092</v>
      </c>
      <c r="Q13" s="127" t="s">
        <v>224</v>
      </c>
      <c r="R13" s="124"/>
      <c r="S13" s="125">
        <f>balance!G48/balance!G49</f>
        <v>0.48589271056316491</v>
      </c>
    </row>
    <row r="14" spans="2:19" x14ac:dyDescent="0.2">
      <c r="E14" s="62"/>
      <c r="F14" s="62"/>
      <c r="Q14" s="127" t="s">
        <v>225</v>
      </c>
      <c r="R14" s="124"/>
      <c r="S14" s="59">
        <f>1-S13</f>
        <v>0.51410728943683504</v>
      </c>
    </row>
    <row r="15" spans="2:19" x14ac:dyDescent="0.2">
      <c r="B15" s="1" t="s">
        <v>154</v>
      </c>
      <c r="E15" s="61">
        <f>income!B14</f>
        <v>-667.34</v>
      </c>
      <c r="F15" s="61">
        <f>income!C14</f>
        <v>-1632.086</v>
      </c>
      <c r="G15" s="10">
        <f>income!D14</f>
        <v>-388.07299999999998</v>
      </c>
      <c r="H15" s="10">
        <f>income!E14</f>
        <v>-69</v>
      </c>
      <c r="I15" s="10">
        <f>income!F14</f>
        <v>1994</v>
      </c>
      <c r="J15" s="10">
        <f>income!G14</f>
        <v>6523</v>
      </c>
      <c r="K15" s="10">
        <f>income!H14</f>
        <v>4230.1164265820371</v>
      </c>
      <c r="L15" s="10">
        <f>income!I14</f>
        <v>5394.1497765563545</v>
      </c>
      <c r="M15" s="10">
        <f>income!J14</f>
        <v>6475.2695268089301</v>
      </c>
      <c r="N15" s="10">
        <f>income!K14</f>
        <v>6200.6816535776998</v>
      </c>
      <c r="O15" s="10">
        <f>income!L14</f>
        <v>8172.0369836262798</v>
      </c>
      <c r="Q15" s="149" t="s">
        <v>217</v>
      </c>
      <c r="R15" s="150"/>
      <c r="S15" s="151">
        <f>S12*S13+S11*S14</f>
        <v>0.11821099436248907</v>
      </c>
    </row>
    <row r="16" spans="2:19" x14ac:dyDescent="0.2">
      <c r="B16" s="47" t="s">
        <v>153</v>
      </c>
      <c r="C16" s="47"/>
      <c r="D16" s="47"/>
      <c r="E16" s="63">
        <f>E15/E6</f>
        <v>-9.533248801594027E-2</v>
      </c>
      <c r="F16" s="63">
        <f t="shared" ref="F16:J16" si="9">F15/F6</f>
        <v>-0.13879756446921956</v>
      </c>
      <c r="G16" s="51">
        <f t="shared" si="9"/>
        <v>-1.8082482358451512E-2</v>
      </c>
      <c r="H16" s="51">
        <f t="shared" si="9"/>
        <v>-2.8073887216209618E-3</v>
      </c>
      <c r="I16" s="51">
        <f t="shared" si="9"/>
        <v>6.3229325215626589E-2</v>
      </c>
      <c r="J16" s="51">
        <f t="shared" si="9"/>
        <v>0.12119354179440016</v>
      </c>
      <c r="K16" s="51">
        <f t="shared" ref="K16:O16" si="10">K15/K6</f>
        <v>4.3848735609835925E-2</v>
      </c>
      <c r="L16" s="51">
        <f t="shared" si="10"/>
        <v>4.3848735609835945E-2</v>
      </c>
      <c r="M16" s="51">
        <f t="shared" si="10"/>
        <v>4.3848735609835938E-2</v>
      </c>
      <c r="N16" s="51">
        <f t="shared" si="10"/>
        <v>4.3848735609835925E-2</v>
      </c>
      <c r="O16" s="51">
        <f t="shared" si="10"/>
        <v>4.3848735609835952E-2</v>
      </c>
    </row>
    <row r="17" spans="2:23" x14ac:dyDescent="0.2">
      <c r="B17" s="47" t="s">
        <v>228</v>
      </c>
      <c r="C17" s="47"/>
      <c r="D17" s="47"/>
      <c r="E17" s="63"/>
      <c r="F17" s="63">
        <f>F15/E15-1</f>
        <v>1.4456588845266278</v>
      </c>
      <c r="G17" s="51"/>
      <c r="H17" s="51">
        <f t="shared" ref="H17:J17" si="11">H15/G15-1</f>
        <v>-0.82219840081634121</v>
      </c>
      <c r="I17" s="51">
        <f t="shared" si="11"/>
        <v>-29.89855072463768</v>
      </c>
      <c r="J17" s="51">
        <f t="shared" si="11"/>
        <v>2.2713139418254764</v>
      </c>
      <c r="K17" s="51">
        <f t="shared" ref="K17" si="12">K15/J15-1</f>
        <v>-0.35150752313628131</v>
      </c>
      <c r="L17" s="51">
        <f t="shared" ref="L17" si="13">L15/K15-1</f>
        <v>0.27517761512650951</v>
      </c>
      <c r="M17" s="51">
        <f t="shared" ref="M17" si="14">M15/L15-1</f>
        <v>0.20042449598846068</v>
      </c>
      <c r="N17" s="51">
        <f t="shared" ref="N17" si="15">N15/M15-1</f>
        <v>-4.24056283826304E-2</v>
      </c>
      <c r="O17" s="51">
        <f t="shared" ref="O17" si="16">O15/N15-1</f>
        <v>0.3179255830544272</v>
      </c>
      <c r="Q17" s="1" t="e" vm="1">
        <v>#VALUE!</v>
      </c>
      <c r="R17" s="124"/>
      <c r="S17" s="124"/>
    </row>
    <row r="18" spans="2:23" x14ac:dyDescent="0.2">
      <c r="E18" s="62"/>
      <c r="F18" s="62"/>
      <c r="Q18" s="1" t="e" vm="2">
        <v>#VALUE!</v>
      </c>
      <c r="S18" s="124"/>
      <c r="U18" s="117"/>
    </row>
    <row r="19" spans="2:23" x14ac:dyDescent="0.2">
      <c r="B19" s="1" t="s">
        <v>158</v>
      </c>
      <c r="E19" s="61">
        <f>income!B21</f>
        <v>26.698</v>
      </c>
      <c r="F19" s="61">
        <f>income!C21</f>
        <v>31.545999999999999</v>
      </c>
      <c r="G19" s="10">
        <f>-income!D21</f>
        <v>-57.837000000000003</v>
      </c>
      <c r="H19" s="10">
        <f>-income!E21</f>
        <v>-110</v>
      </c>
      <c r="I19" s="10">
        <f>-income!F21</f>
        <v>-292</v>
      </c>
      <c r="J19" s="10">
        <f>-income!G21</f>
        <v>-699</v>
      </c>
      <c r="K19" s="10">
        <f>-income!H21</f>
        <v>-619.93471182369058</v>
      </c>
      <c r="L19" s="10">
        <f>-income!I21</f>
        <v>-790.52686735747363</v>
      </c>
      <c r="M19" s="10">
        <f>-income!J21</f>
        <v>-948.96781631293209</v>
      </c>
      <c r="N19" s="10">
        <f>-income!K21</f>
        <v>-908.72623974728958</v>
      </c>
      <c r="O19" s="10">
        <f>-income!L21</f>
        <v>-1197.633559355804</v>
      </c>
      <c r="Q19" s="124" t="s">
        <v>251</v>
      </c>
      <c r="R19" s="124"/>
      <c r="S19" s="5">
        <f>1033508000/1000000</f>
        <v>1033.508</v>
      </c>
    </row>
    <row r="20" spans="2:23" x14ac:dyDescent="0.2">
      <c r="B20" s="47" t="s">
        <v>156</v>
      </c>
      <c r="C20" s="47"/>
      <c r="D20" s="47"/>
      <c r="E20" s="63">
        <f>income!B30</f>
        <v>3.5771516772336767E-2</v>
      </c>
      <c r="F20" s="63">
        <f>income!C30</f>
        <v>1.4280463116876531E-2</v>
      </c>
      <c r="G20" s="51">
        <f>income!D30</f>
        <v>5.7563859486735439E-2</v>
      </c>
      <c r="H20" s="51">
        <f>income!E30</f>
        <v>0.16541353383458646</v>
      </c>
      <c r="I20" s="51">
        <f>income!F30</f>
        <v>0.2530329289428076</v>
      </c>
      <c r="J20" s="51">
        <f>income!G30</f>
        <v>0.11020022071574964</v>
      </c>
      <c r="K20" s="51">
        <f>income!H30</f>
        <v>0.14655263574496979</v>
      </c>
      <c r="L20" s="51">
        <f>income!I30</f>
        <v>0.14655263574496979</v>
      </c>
      <c r="M20" s="51">
        <f>income!J30</f>
        <v>0.14655263574496979</v>
      </c>
      <c r="N20" s="51">
        <f>income!K30</f>
        <v>0.14655263574496979</v>
      </c>
      <c r="O20" s="51">
        <f>income!L30</f>
        <v>0.14655263574496979</v>
      </c>
    </row>
    <row r="21" spans="2:23" x14ac:dyDescent="0.2">
      <c r="E21" s="62"/>
      <c r="F21" s="62"/>
      <c r="Q21" s="124"/>
      <c r="R21" s="124"/>
      <c r="S21" s="124"/>
    </row>
    <row r="22" spans="2:23" x14ac:dyDescent="0.2">
      <c r="B22" s="1" t="s">
        <v>157</v>
      </c>
      <c r="E22" s="61"/>
      <c r="F22" s="61">
        <f>cashflow!C29</f>
        <v>-3414.8139999999999</v>
      </c>
      <c r="G22" s="10">
        <f>cashflow!D29</f>
        <v>-2100.7240000000002</v>
      </c>
      <c r="H22" s="10">
        <f>cashflow!E29</f>
        <v>-1327</v>
      </c>
      <c r="I22" s="10">
        <f>cashflow!F29</f>
        <v>-3157</v>
      </c>
      <c r="J22" s="10">
        <f>cashflow!G29</f>
        <v>-6482</v>
      </c>
      <c r="K22" s="10">
        <f>cashflow!H29</f>
        <v>-2406.4443486740697</v>
      </c>
      <c r="L22" s="10">
        <f>cashflow!I29</f>
        <v>-3068.6439654768656</v>
      </c>
      <c r="M22" s="10">
        <f>cashflow!J29</f>
        <v>-3683.6753856255982</v>
      </c>
      <c r="N22" s="10">
        <f>cashflow!K29</f>
        <v>-3527.4668161405175</v>
      </c>
      <c r="O22" s="10">
        <f>cashflow!L29</f>
        <v>-4648.938760367133</v>
      </c>
      <c r="Q22" s="124"/>
      <c r="R22" s="124"/>
      <c r="S22" s="124"/>
    </row>
    <row r="23" spans="2:23" x14ac:dyDescent="0.2">
      <c r="E23" s="62"/>
      <c r="F23" s="62"/>
      <c r="Q23" s="124"/>
      <c r="R23" s="124"/>
      <c r="S23" s="124"/>
    </row>
    <row r="24" spans="2:23" x14ac:dyDescent="0.2">
      <c r="B24" s="1" t="s">
        <v>160</v>
      </c>
      <c r="E24" s="61">
        <f>SUM(cashflow!B16:B25)</f>
        <v>31.742000000000061</v>
      </c>
      <c r="F24" s="61">
        <f>SUM(cashflow!C16:C25)</f>
        <v>-496.60299999999961</v>
      </c>
      <c r="G24" s="10">
        <f>cashflow!D99</f>
        <v>-734.5400000000003</v>
      </c>
      <c r="H24" s="10">
        <f>cashflow!E99</f>
        <v>296.70200000000017</v>
      </c>
      <c r="I24" s="10">
        <f>cashflow!F99</f>
        <v>1490</v>
      </c>
      <c r="J24" s="10">
        <f>cashflow!G99</f>
        <v>3940</v>
      </c>
      <c r="K24" s="10">
        <f>balance!H77</f>
        <v>-2900.1716612592618</v>
      </c>
      <c r="L24" s="10">
        <f>balance!I77</f>
        <v>1602.31201554573</v>
      </c>
      <c r="M24" s="10">
        <f>balance!J77</f>
        <v>1488.1800131514456</v>
      </c>
      <c r="N24" s="10">
        <f>balance!K77</f>
        <v>-377.97495115689799</v>
      </c>
      <c r="O24" s="10">
        <f>balance!L77</f>
        <v>2713.6046680420645</v>
      </c>
      <c r="Q24" s="124"/>
      <c r="R24" s="124"/>
      <c r="S24" s="124"/>
    </row>
    <row r="25" spans="2:23" x14ac:dyDescent="0.2">
      <c r="E25" s="62"/>
      <c r="F25" s="62"/>
      <c r="Q25" s="124"/>
      <c r="R25" s="124"/>
      <c r="S25" s="124"/>
    </row>
    <row r="26" spans="2:23" x14ac:dyDescent="0.2">
      <c r="B26" s="1" t="s">
        <v>155</v>
      </c>
      <c r="E26" s="61">
        <f>E9+E19+E22+E24</f>
        <v>338.19899999999996</v>
      </c>
      <c r="F26" s="61">
        <f t="shared" ref="F26:J26" si="17">F9+F19+F22+F24</f>
        <v>-3875.9539999999993</v>
      </c>
      <c r="G26" s="10">
        <f>G9+G19+G22+G24</f>
        <v>-1380.1240000000007</v>
      </c>
      <c r="H26" s="10">
        <f>H9+H19+H22+H24</f>
        <v>944.70200000000023</v>
      </c>
      <c r="I26" s="10">
        <f t="shared" si="17"/>
        <v>2357</v>
      </c>
      <c r="J26" s="10">
        <f t="shared" si="17"/>
        <v>6193</v>
      </c>
      <c r="K26" s="10">
        <f>K9+K19+K22+K24</f>
        <v>5633.7604628637082</v>
      </c>
      <c r="L26" s="10">
        <f t="shared" ref="L26:M26" si="18">L9+L19+L22+L24</f>
        <v>12484.591229236361</v>
      </c>
      <c r="M26" s="10">
        <f t="shared" si="18"/>
        <v>14551.534553451726</v>
      </c>
      <c r="N26" s="10">
        <f>N9+N19+N22+N24</f>
        <v>12131.419831076866</v>
      </c>
      <c r="O26" s="10">
        <f>O9+O19+O22+O24</f>
        <v>19200.056080075501</v>
      </c>
      <c r="Q26" s="124"/>
      <c r="R26" s="124"/>
      <c r="S26" s="124"/>
    </row>
    <row r="27" spans="2:23" x14ac:dyDescent="0.2">
      <c r="B27" s="47" t="s">
        <v>153</v>
      </c>
      <c r="C27" s="47"/>
      <c r="D27" s="47"/>
      <c r="E27" s="64">
        <f>E26/E6</f>
        <v>4.8313231807628761E-2</v>
      </c>
      <c r="F27" s="64">
        <f t="shared" ref="F27:J27" si="19">F26/F6</f>
        <v>-0.32962293359218164</v>
      </c>
      <c r="G27" s="52">
        <f t="shared" si="19"/>
        <v>-6.4307663461450684E-2</v>
      </c>
      <c r="H27" s="52">
        <f t="shared" si="19"/>
        <v>3.8436894783953138E-2</v>
      </c>
      <c r="I27" s="52">
        <f t="shared" si="19"/>
        <v>7.4739979705733137E-2</v>
      </c>
      <c r="J27" s="52">
        <f t="shared" si="19"/>
        <v>0.11506233394645411</v>
      </c>
      <c r="K27" s="52">
        <f t="shared" ref="K27:O27" si="20">K26/K6</f>
        <v>5.8398693585098832E-2</v>
      </c>
      <c r="L27" s="52">
        <f t="shared" si="20"/>
        <v>0.1014865294224636</v>
      </c>
      <c r="M27" s="52">
        <f t="shared" si="20"/>
        <v>9.8538970263704451E-2</v>
      </c>
      <c r="N27" s="52">
        <f t="shared" si="20"/>
        <v>8.5788539141964215E-2</v>
      </c>
      <c r="O27" s="52">
        <f t="shared" si="20"/>
        <v>0.10302182729178838</v>
      </c>
      <c r="Q27" s="124"/>
      <c r="R27" s="124"/>
      <c r="S27" s="172"/>
      <c r="T27" s="172"/>
      <c r="U27" s="172"/>
      <c r="V27" s="172"/>
      <c r="W27" s="172"/>
    </row>
    <row r="28" spans="2:23" x14ac:dyDescent="0.2">
      <c r="B28" s="47" t="s">
        <v>228</v>
      </c>
      <c r="C28" s="47"/>
      <c r="D28" s="47"/>
      <c r="E28" s="63"/>
      <c r="F28" s="63">
        <f>F26/E26-1</f>
        <v>-12.460572030076966</v>
      </c>
      <c r="G28" s="51"/>
      <c r="H28" s="51">
        <f>H26/G26-1</f>
        <v>-1.6845051604058763</v>
      </c>
      <c r="I28" s="51">
        <f>I26/H26-1</f>
        <v>1.494966666737235</v>
      </c>
      <c r="J28" s="51">
        <f>J26/I26-1</f>
        <v>1.6274925753075946</v>
      </c>
      <c r="K28" s="51">
        <f t="shared" ref="K28:L28" si="21">K26/J26-1</f>
        <v>-9.0301879079007219E-2</v>
      </c>
      <c r="L28" s="51">
        <f t="shared" si="21"/>
        <v>1.2160316029642293</v>
      </c>
      <c r="M28" s="51">
        <f>(M26-L26)/-L26</f>
        <v>-0.16555955147133739</v>
      </c>
      <c r="N28" s="51">
        <f>(N26-M26)/M26</f>
        <v>-0.16631336808397237</v>
      </c>
      <c r="O28" s="51">
        <f>(O26-N26)/N26</f>
        <v>0.58267180160487242</v>
      </c>
      <c r="Q28" s="124"/>
      <c r="R28" s="124"/>
      <c r="S28" s="124"/>
    </row>
    <row r="30" spans="2:23" x14ac:dyDescent="0.2">
      <c r="B30" s="181"/>
      <c r="C30" s="181"/>
      <c r="D30" s="181"/>
      <c r="G30" s="183" t="s">
        <v>217</v>
      </c>
      <c r="H30" s="184" t="s">
        <v>247</v>
      </c>
      <c r="J30" s="185" t="s">
        <v>243</v>
      </c>
      <c r="K30" s="180">
        <v>0</v>
      </c>
      <c r="L30" s="1">
        <f>K30+1</f>
        <v>1</v>
      </c>
      <c r="M30" s="1">
        <f t="shared" ref="M30:O30" si="22">L30+1</f>
        <v>2</v>
      </c>
      <c r="N30" s="1">
        <f t="shared" si="22"/>
        <v>3</v>
      </c>
      <c r="O30" s="1">
        <f t="shared" si="22"/>
        <v>4</v>
      </c>
    </row>
    <row r="31" spans="2:23" x14ac:dyDescent="0.2">
      <c r="D31" s="181"/>
      <c r="G31" s="154">
        <v>9.8210994362489076E-2</v>
      </c>
      <c r="H31" s="10">
        <f>SUM(K31:O31)</f>
        <v>51425.840262951453</v>
      </c>
      <c r="K31" s="158">
        <f>K$26/(1+G31)^K$30</f>
        <v>5633.7604628637082</v>
      </c>
      <c r="L31" s="158">
        <f>L$26/(1+$G31)^L$30</f>
        <v>11368.117140808319</v>
      </c>
      <c r="M31" s="158">
        <f>M$26/(1+$G31)^M$30</f>
        <v>12065.274873163977</v>
      </c>
      <c r="N31" s="158">
        <f>N$26/(1+$G31)^N$30</f>
        <v>9159.1310083252247</v>
      </c>
      <c r="O31" s="158">
        <f>O$26/(1+$G31)^O$30</f>
        <v>13199.556777790223</v>
      </c>
    </row>
    <row r="32" spans="2:23" x14ac:dyDescent="0.2">
      <c r="D32" s="181"/>
      <c r="G32" s="154">
        <v>0.10821099436248907</v>
      </c>
      <c r="H32" s="10">
        <f>SUM(K32:O32)</f>
        <v>50390.767825809562</v>
      </c>
      <c r="J32" s="16"/>
      <c r="K32" s="158">
        <f>K$26/(1+G32)^K$30</f>
        <v>5633.7604628637082</v>
      </c>
      <c r="L32" s="158">
        <f>L$26/(1+$G32)^L$30</f>
        <v>11265.536339872049</v>
      </c>
      <c r="M32" s="158">
        <f>M$26/(1+$G32)^M$30</f>
        <v>11848.514001558768</v>
      </c>
      <c r="N32" s="158">
        <f>N$26/(1+$G32)^N$30</f>
        <v>8913.4179153779514</v>
      </c>
      <c r="O32" s="158">
        <f>O$26/(1+$G32)^O$30</f>
        <v>12729.539106137083</v>
      </c>
    </row>
    <row r="33" spans="2:19" x14ac:dyDescent="0.2">
      <c r="D33" s="181"/>
      <c r="G33" s="154">
        <v>0.11821099436248907</v>
      </c>
      <c r="H33" s="10">
        <f>SUM(K33:O33)</f>
        <v>49392.766316538604</v>
      </c>
      <c r="K33" s="158">
        <f>K$26/(1+G33)^K$30</f>
        <v>5633.7604628637082</v>
      </c>
      <c r="L33" s="158">
        <f>L$26/(1+$G33)^L$30</f>
        <v>11164.790269616367</v>
      </c>
      <c r="M33" s="158">
        <f>M$26/(1+$G33)^M$30</f>
        <v>11637.542471440878</v>
      </c>
      <c r="N33" s="158">
        <f>N$26/(1+$G33)^N$30</f>
        <v>8676.4158425455098</v>
      </c>
      <c r="O33" s="158">
        <f>O$26/(1+$G33)^O$30</f>
        <v>12280.257270072145</v>
      </c>
    </row>
    <row r="34" spans="2:19" x14ac:dyDescent="0.2">
      <c r="D34" s="181"/>
      <c r="G34" s="154">
        <v>0.12821099436248906</v>
      </c>
      <c r="H34" s="10">
        <f>SUM(K34:O34)</f>
        <v>48430.11182585721</v>
      </c>
      <c r="K34" s="158">
        <f>K$26/(1+G34)^K$30</f>
        <v>5633.7604628637082</v>
      </c>
      <c r="L34" s="158">
        <f>L$26/(1+$G34)^L$30</f>
        <v>11065.830143138208</v>
      </c>
      <c r="M34" s="158">
        <f>M$26/(1+$G34)^M$30</f>
        <v>11432.155937801601</v>
      </c>
      <c r="N34" s="158">
        <f>N$26/(1+$G34)^N$30</f>
        <v>8447.7421572284547</v>
      </c>
      <c r="O34" s="158">
        <f>O$26/(1+$G34)^O$30</f>
        <v>11850.623124825242</v>
      </c>
    </row>
    <row r="35" spans="2:19" x14ac:dyDescent="0.2">
      <c r="D35" s="181"/>
      <c r="G35" s="154">
        <v>0.13821099436248907</v>
      </c>
      <c r="H35" s="10">
        <f>SUM(K35:O35)</f>
        <v>47501.177128931973</v>
      </c>
      <c r="K35" s="158">
        <f>K$26/(1+G35)^K$30</f>
        <v>5633.7604628637082</v>
      </c>
      <c r="L35" s="158">
        <f>L$26/(1+$G35)^L$30</f>
        <v>10968.608888046252</v>
      </c>
      <c r="M35" s="158">
        <f>M$26/(1+$G35)^M$30</f>
        <v>11232.158992609569</v>
      </c>
      <c r="N35" s="158">
        <f>N$26/(1+$G35)^N$30</f>
        <v>8227.0342195550638</v>
      </c>
      <c r="O35" s="158">
        <f>O$26/(1+$G35)^O$30</f>
        <v>11439.614565857384</v>
      </c>
    </row>
    <row r="36" spans="2:19" x14ac:dyDescent="0.2">
      <c r="D36" s="181"/>
    </row>
    <row r="37" spans="2:19" x14ac:dyDescent="0.2">
      <c r="K37" s="158"/>
      <c r="L37" s="158"/>
      <c r="M37" s="158"/>
      <c r="N37" s="158"/>
      <c r="O37" s="158"/>
    </row>
    <row r="39" spans="2:19" x14ac:dyDescent="0.2">
      <c r="H39" s="52"/>
      <c r="K39" s="158"/>
      <c r="L39" s="158"/>
      <c r="M39" s="158"/>
      <c r="N39" s="158"/>
      <c r="O39" s="158"/>
    </row>
    <row r="40" spans="2:19" x14ac:dyDescent="0.2">
      <c r="B40" s="7" t="s">
        <v>254</v>
      </c>
      <c r="H40" s="52"/>
      <c r="K40" s="158"/>
      <c r="L40" s="158"/>
      <c r="M40" s="158"/>
      <c r="N40" s="158"/>
      <c r="O40" s="158"/>
    </row>
    <row r="41" spans="2:19" x14ac:dyDescent="0.2">
      <c r="H41" s="186" t="s">
        <v>244</v>
      </c>
      <c r="I41" s="186"/>
      <c r="J41" s="186"/>
      <c r="K41" s="186"/>
      <c r="L41" s="186"/>
      <c r="O41" s="186" t="s">
        <v>245</v>
      </c>
      <c r="P41" s="186"/>
      <c r="Q41" s="186"/>
      <c r="R41" s="186"/>
      <c r="S41" s="186"/>
    </row>
    <row r="42" spans="2:19" x14ac:dyDescent="0.2">
      <c r="H42" s="172" t="s">
        <v>234</v>
      </c>
      <c r="I42" s="172"/>
      <c r="J42" s="172"/>
      <c r="K42" s="172"/>
      <c r="L42" s="172"/>
      <c r="O42" s="172" t="s">
        <v>234</v>
      </c>
      <c r="P42" s="172"/>
      <c r="Q42" s="172"/>
      <c r="R42" s="172"/>
      <c r="S42" s="172"/>
    </row>
    <row r="43" spans="2:19" x14ac:dyDescent="0.2">
      <c r="G43" s="182" t="s">
        <v>217</v>
      </c>
      <c r="H43" s="187">
        <f>I43-0.5%</f>
        <v>2.5000000000000001E-2</v>
      </c>
      <c r="I43" s="187">
        <f>J43-0.5%</f>
        <v>3.0000000000000002E-2</v>
      </c>
      <c r="J43" s="188">
        <v>3.5000000000000003E-2</v>
      </c>
      <c r="K43" s="187">
        <f>J43+0.5%</f>
        <v>0.04</v>
      </c>
      <c r="L43" s="187">
        <f>K43+0.5%</f>
        <v>4.4999999999999998E-2</v>
      </c>
      <c r="M43" s="189"/>
      <c r="N43" s="190" t="s">
        <v>217</v>
      </c>
      <c r="O43" s="187">
        <f>P43-0.5%</f>
        <v>2.5000000000000001E-2</v>
      </c>
      <c r="P43" s="187">
        <f>Q43-0.5%</f>
        <v>3.0000000000000002E-2</v>
      </c>
      <c r="Q43" s="188">
        <v>3.5000000000000003E-2</v>
      </c>
      <c r="R43" s="187">
        <f>Q43+0.5%</f>
        <v>0.04</v>
      </c>
      <c r="S43" s="187">
        <f>R43+0.5%</f>
        <v>4.4999999999999998E-2</v>
      </c>
    </row>
    <row r="44" spans="2:19" x14ac:dyDescent="0.2">
      <c r="G44" s="154">
        <f t="shared" ref="G44" si="23">G45-1%</f>
        <v>9.8210994362489076E-2</v>
      </c>
      <c r="H44" s="191">
        <f>$O$26*(1+H$43)/($G44-H$43)/(1+$G44)^$O$30</f>
        <v>184802.10267663127</v>
      </c>
      <c r="I44" s="191">
        <f>$O$26*(1+I$43)/($G44-I$43)/(1+$G44)^$O$30</f>
        <v>199316.01361613427</v>
      </c>
      <c r="J44" s="191">
        <f>$O$26*(1+J$43)/($G44-J$43)/(1+$G44)^$O$30</f>
        <v>216126.03001733459</v>
      </c>
      <c r="K44" s="191">
        <f>$O$26*(1+K$43)/($G44-K$43)/(1+$G44)^$O$30</f>
        <v>235823.81986843026</v>
      </c>
      <c r="L44" s="191">
        <f>$O$26*(1+L$43)/($G44-L$43)/(1+$G44)^$O$30</f>
        <v>259223.4367737073</v>
      </c>
      <c r="M44" s="189"/>
      <c r="N44" s="192">
        <f>G44</f>
        <v>9.8210994362489076E-2</v>
      </c>
      <c r="O44" s="191">
        <f>H44+$H31</f>
        <v>236227.94293958272</v>
      </c>
      <c r="P44" s="191">
        <f>I44+$H31</f>
        <v>250741.85387908571</v>
      </c>
      <c r="Q44" s="191">
        <f>J44+$H31</f>
        <v>267551.87028028606</v>
      </c>
      <c r="R44" s="191">
        <f>K44+$H31</f>
        <v>287249.66013138171</v>
      </c>
      <c r="S44" s="191">
        <f>L44+$H31</f>
        <v>310649.27703665878</v>
      </c>
    </row>
    <row r="45" spans="2:19" x14ac:dyDescent="0.2">
      <c r="G45" s="154">
        <f>G46-1%</f>
        <v>0.10821099436248907</v>
      </c>
      <c r="H45" s="191">
        <f>$O$26*(1+H$43)/($G45-H$43)/(1+$G45)^$O$30</f>
        <v>156803.52919412238</v>
      </c>
      <c r="I45" s="191">
        <f>$O$26*(1+I$43)/($G45-I$43)/(1+$G45)^$O$30</f>
        <v>167641.71567174947</v>
      </c>
      <c r="J45" s="191">
        <f>$O$26*(1+J$43)/($G45-J$43)/(1+$G45)^$O$30</f>
        <v>179960.30636625746</v>
      </c>
      <c r="K45" s="191">
        <f>$O$26*(1+K$43)/($G45-K$43)/(1+$G45)^$O$30</f>
        <v>194084.85089704057</v>
      </c>
      <c r="L45" s="191">
        <f>$O$26*(1+L$43)/($G45-L$43)/(1+$G45)^$O$30</f>
        <v>210443.90299620401</v>
      </c>
      <c r="M45" s="189"/>
      <c r="N45" s="192">
        <f t="shared" ref="N45:N48" si="24">G45</f>
        <v>0.10821099436248907</v>
      </c>
      <c r="O45" s="191">
        <f>H45+$H32</f>
        <v>207194.29701993195</v>
      </c>
      <c r="P45" s="191">
        <f>I45+$H32</f>
        <v>218032.48349755903</v>
      </c>
      <c r="Q45" s="191">
        <f>J45+$H32</f>
        <v>230351.07419206703</v>
      </c>
      <c r="R45" s="191">
        <f>K45+$H32</f>
        <v>244475.61872285014</v>
      </c>
      <c r="S45" s="191">
        <f>L45+$H32</f>
        <v>260834.67082201358</v>
      </c>
    </row>
    <row r="46" spans="2:19" x14ac:dyDescent="0.2">
      <c r="G46" s="154">
        <f>S15</f>
        <v>0.11821099436248907</v>
      </c>
      <c r="H46" s="191">
        <f>$O$26*(1+H$43)/($G46-H$43)/(1+$G46)^$O$30</f>
        <v>135040.54739372511</v>
      </c>
      <c r="I46" s="191">
        <f>$O$26*(1+I$43)/($G46-I$43)/(1+$G46)^$O$30</f>
        <v>143391.02602331663</v>
      </c>
      <c r="J46" s="191">
        <f>$O$26*(1+J$43)/($G46-J$43)/(1+$G46)^$O$30</f>
        <v>152745.03533939595</v>
      </c>
      <c r="K46" s="191">
        <f>$O$26*(1+K$43)/($G46-K$43)/(1+$G46)^$O$30</f>
        <v>163295.04138104117</v>
      </c>
      <c r="L46" s="191">
        <f>$O$26*(1+L$43)/($G46-L$43)/(1+$G46)^$O$30</f>
        <v>175286.08863972122</v>
      </c>
      <c r="M46" s="189"/>
      <c r="N46" s="192">
        <f t="shared" si="24"/>
        <v>0.11821099436248907</v>
      </c>
      <c r="O46" s="191">
        <f>H46+$H33</f>
        <v>184433.3137102637</v>
      </c>
      <c r="P46" s="191">
        <f>I46+$H33</f>
        <v>192783.79233985522</v>
      </c>
      <c r="Q46" s="191">
        <f>J46+$H33</f>
        <v>202137.80165593454</v>
      </c>
      <c r="R46" s="191">
        <f>K46+$H33</f>
        <v>212687.80769757979</v>
      </c>
      <c r="S46" s="191">
        <f>L46+$H33</f>
        <v>224678.85495625983</v>
      </c>
    </row>
    <row r="47" spans="2:19" x14ac:dyDescent="0.2">
      <c r="G47" s="154">
        <f>G46+1%</f>
        <v>0.12821099436248906</v>
      </c>
      <c r="H47" s="191">
        <f>$O$26*(1+H$43)/($G47-H$43)/(1+$G47)^$O$30</f>
        <v>117689.87187822821</v>
      </c>
      <c r="I47" s="191">
        <f>$O$26*(1+I$43)/($G47-I$43)/(1+$G47)^$O$30</f>
        <v>124284.88172635833</v>
      </c>
      <c r="J47" s="191">
        <f>$O$26*(1+J$43)/($G47-J$43)/(1+$G47)^$O$30</f>
        <v>131587.4271922808</v>
      </c>
      <c r="K47" s="191">
        <f>$O$26*(1+K$43)/($G47-K$43)/(1+$G47)^$O$30</f>
        <v>139717.82246521415</v>
      </c>
      <c r="L47" s="191">
        <f>$O$26*(1+L$43)/($G47-L$43)/(1+$G47)^$O$30</f>
        <v>148825.29959316232</v>
      </c>
      <c r="M47" s="189"/>
      <c r="N47" s="192">
        <f t="shared" si="24"/>
        <v>0.12821099436248906</v>
      </c>
      <c r="O47" s="191">
        <f>H47+$H34</f>
        <v>166119.9837040854</v>
      </c>
      <c r="P47" s="191">
        <f>I47+$H34</f>
        <v>172714.99355221554</v>
      </c>
      <c r="Q47" s="191">
        <f>J47+$H34</f>
        <v>180017.53901813802</v>
      </c>
      <c r="R47" s="191">
        <f>K47+$H34</f>
        <v>188147.93429107137</v>
      </c>
      <c r="S47" s="191">
        <f>L47+$H34</f>
        <v>197255.41141901951</v>
      </c>
    </row>
    <row r="48" spans="2:19" x14ac:dyDescent="0.2">
      <c r="G48" s="154">
        <f>G47+1%</f>
        <v>0.13821099436248907</v>
      </c>
      <c r="H48" s="191">
        <f>$O$26*(1+H$43)/($G48-H$43)/(1+$G48)^$O$30</f>
        <v>103573.02306222776</v>
      </c>
      <c r="I48" s="191">
        <f>$O$26*(1+I$43)/($G48-I$43)/(1+$G48)^$O$30</f>
        <v>108887.29996660644</v>
      </c>
      <c r="J48" s="191">
        <f>$O$26*(1+J$43)/($G48-J$43)/(1+$G48)^$O$30</f>
        <v>114716.4713293908</v>
      </c>
      <c r="K48" s="191">
        <f>$O$26*(1+K$43)/($G48-K$43)/(1+$G48)^$O$30</f>
        <v>121139.17821237052</v>
      </c>
      <c r="L48" s="191">
        <f>$O$26*(1+L$43)/($G48-L$43)/(1+$G48)^$O$30</f>
        <v>128250.93545114863</v>
      </c>
      <c r="M48" s="189"/>
      <c r="N48" s="192">
        <f t="shared" si="24"/>
        <v>0.13821099436248907</v>
      </c>
      <c r="O48" s="191">
        <f>H48+$H35</f>
        <v>151074.20019115973</v>
      </c>
      <c r="P48" s="191">
        <f>I48+$H35</f>
        <v>156388.4770955384</v>
      </c>
      <c r="Q48" s="191">
        <f>J48+$H35</f>
        <v>162217.64845832277</v>
      </c>
      <c r="R48" s="191">
        <f>K48+$H35</f>
        <v>168640.35534130249</v>
      </c>
      <c r="S48" s="191">
        <f>L48+$H35</f>
        <v>175752.1125800806</v>
      </c>
    </row>
    <row r="49" spans="2:19" x14ac:dyDescent="0.2">
      <c r="H49" s="189"/>
      <c r="I49" s="189"/>
      <c r="J49" s="189"/>
      <c r="K49" s="189"/>
      <c r="L49" s="189"/>
      <c r="M49" s="189"/>
      <c r="N49" s="189"/>
      <c r="O49" s="189"/>
      <c r="P49" s="189"/>
      <c r="Q49" s="189"/>
      <c r="R49" s="189"/>
      <c r="S49" s="189"/>
    </row>
    <row r="50" spans="2:19" x14ac:dyDescent="0.2">
      <c r="H50" s="186" t="s">
        <v>246</v>
      </c>
      <c r="I50" s="186"/>
      <c r="J50" s="186"/>
      <c r="K50" s="186"/>
      <c r="L50" s="186"/>
      <c r="M50" s="189"/>
      <c r="N50" s="189"/>
      <c r="O50" s="186" t="s">
        <v>250</v>
      </c>
      <c r="P50" s="186"/>
      <c r="Q50" s="186"/>
      <c r="R50" s="186"/>
      <c r="S50" s="186"/>
    </row>
    <row r="51" spans="2:19" x14ac:dyDescent="0.2">
      <c r="H51" s="193" t="s">
        <v>234</v>
      </c>
      <c r="I51" s="193"/>
      <c r="J51" s="193"/>
      <c r="K51" s="193"/>
      <c r="L51" s="193"/>
      <c r="M51" s="189"/>
      <c r="N51" s="189"/>
      <c r="O51" s="193" t="s">
        <v>234</v>
      </c>
      <c r="P51" s="193"/>
      <c r="Q51" s="193"/>
      <c r="R51" s="193"/>
      <c r="S51" s="193"/>
    </row>
    <row r="52" spans="2:19" x14ac:dyDescent="0.2">
      <c r="B52" s="1" t="s">
        <v>248</v>
      </c>
      <c r="C52" s="1" t="s">
        <v>249</v>
      </c>
      <c r="G52" s="182" t="s">
        <v>217</v>
      </c>
      <c r="H52" s="187">
        <f>I52-0.5%</f>
        <v>2.5000000000000001E-2</v>
      </c>
      <c r="I52" s="187">
        <f>J52-0.5%</f>
        <v>3.0000000000000002E-2</v>
      </c>
      <c r="J52" s="188">
        <v>3.5000000000000003E-2</v>
      </c>
      <c r="K52" s="187">
        <f>J52+0.5%</f>
        <v>0.04</v>
      </c>
      <c r="L52" s="187">
        <f>K52+0.5%</f>
        <v>4.4999999999999998E-2</v>
      </c>
      <c r="M52" s="189"/>
      <c r="N52" s="190" t="s">
        <v>217</v>
      </c>
      <c r="O52" s="187">
        <f>P52-0.5%</f>
        <v>2.5000000000000001E-2</v>
      </c>
      <c r="P52" s="187">
        <f>Q52-0.5%</f>
        <v>3.0000000000000002E-2</v>
      </c>
      <c r="Q52" s="188">
        <v>3.5000000000000003E-2</v>
      </c>
      <c r="R52" s="187">
        <f>Q52+0.5%</f>
        <v>0.04</v>
      </c>
      <c r="S52" s="187">
        <f>R52+0.5%</f>
        <v>4.4999999999999998E-2</v>
      </c>
    </row>
    <row r="53" spans="2:19" x14ac:dyDescent="0.2">
      <c r="B53" s="1">
        <f>balance!G31+balance!G35+balance!G40</f>
        <v>10380</v>
      </c>
      <c r="C53" s="1">
        <f>balance!G3+balance!G5</f>
        <v>17707</v>
      </c>
      <c r="G53" s="154">
        <f>G44</f>
        <v>9.8210994362489076E-2</v>
      </c>
      <c r="H53" s="191">
        <f>O44-$B53+$C53</f>
        <v>243554.94293958272</v>
      </c>
      <c r="I53" s="191">
        <f>P44-$B53+$C53</f>
        <v>258068.85387908571</v>
      </c>
      <c r="J53" s="191">
        <f>Q44-$B53+$C53</f>
        <v>274878.87028028606</v>
      </c>
      <c r="K53" s="191">
        <f>R44-$B53+$C53</f>
        <v>294576.66013138171</v>
      </c>
      <c r="L53" s="191">
        <f>S44-$B53+$C53</f>
        <v>317976.27703665878</v>
      </c>
      <c r="M53" s="189"/>
      <c r="N53" s="192">
        <f>N44</f>
        <v>9.8210994362489076E-2</v>
      </c>
      <c r="O53" s="191">
        <f>H53/$S$19</f>
        <v>235.65849798896835</v>
      </c>
      <c r="P53" s="191">
        <f t="shared" ref="P53:S53" si="25">I53/$S$19</f>
        <v>249.70184447443629</v>
      </c>
      <c r="Q53" s="191">
        <f t="shared" si="25"/>
        <v>265.96685297093592</v>
      </c>
      <c r="R53" s="191">
        <f t="shared" si="25"/>
        <v>285.02600863407122</v>
      </c>
      <c r="S53" s="191">
        <f t="shared" si="25"/>
        <v>307.66697213437999</v>
      </c>
    </row>
    <row r="54" spans="2:19" x14ac:dyDescent="0.2">
      <c r="B54" s="1">
        <f>B53</f>
        <v>10380</v>
      </c>
      <c r="C54" s="1">
        <f>C53</f>
        <v>17707</v>
      </c>
      <c r="G54" s="154">
        <f>G45</f>
        <v>0.10821099436248907</v>
      </c>
      <c r="H54" s="191">
        <f>O45-$B54+$C54</f>
        <v>214521.29701993195</v>
      </c>
      <c r="I54" s="191">
        <f>P45-$B54+$C54</f>
        <v>225359.48349755903</v>
      </c>
      <c r="J54" s="191">
        <f>Q45-$B54+$C54</f>
        <v>237678.07419206703</v>
      </c>
      <c r="K54" s="191">
        <f>R45-$B54+$C54</f>
        <v>251802.61872285014</v>
      </c>
      <c r="L54" s="191">
        <f>S45-$B54+$C54</f>
        <v>268161.67082201358</v>
      </c>
      <c r="M54" s="189"/>
      <c r="N54" s="192">
        <f>N45</f>
        <v>0.10821099436248907</v>
      </c>
      <c r="O54" s="191">
        <f t="shared" ref="O54:O57" si="26">H54/$S$19</f>
        <v>207.56616980219982</v>
      </c>
      <c r="P54" s="194">
        <f t="shared" ref="P54:P57" si="27">I54/$S$19</f>
        <v>218.05296475456313</v>
      </c>
      <c r="Q54" s="195">
        <f t="shared" ref="Q54:Q57" si="28">J54/$S$19</f>
        <v>229.97216682605941</v>
      </c>
      <c r="R54" s="196">
        <f t="shared" ref="R54:R57" si="29">K54/$S$19</f>
        <v>243.6387707911793</v>
      </c>
      <c r="S54" s="191">
        <f t="shared" ref="S54:S57" si="30">L54/$S$19</f>
        <v>259.46743597728664</v>
      </c>
    </row>
    <row r="55" spans="2:19" x14ac:dyDescent="0.2">
      <c r="B55" s="1">
        <f t="shared" ref="B55:B57" si="31">B54</f>
        <v>10380</v>
      </c>
      <c r="C55" s="1">
        <f t="shared" ref="C55:C57" si="32">C54</f>
        <v>17707</v>
      </c>
      <c r="G55" s="154">
        <f>G46</f>
        <v>0.11821099436248907</v>
      </c>
      <c r="H55" s="191">
        <f>O46-$B55+$C55</f>
        <v>191760.3137102637</v>
      </c>
      <c r="I55" s="191">
        <f>P46-$B55+$C55</f>
        <v>200110.79233985522</v>
      </c>
      <c r="J55" s="191">
        <f>Q46-$B55+$C55</f>
        <v>209464.80165593454</v>
      </c>
      <c r="K55" s="191">
        <f>R46-$B55+$C55</f>
        <v>220014.80769757979</v>
      </c>
      <c r="L55" s="191">
        <f>S46-$B55+$C55</f>
        <v>232005.85495625983</v>
      </c>
      <c r="M55" s="189"/>
      <c r="N55" s="192">
        <f>N46</f>
        <v>0.11821099436248907</v>
      </c>
      <c r="O55" s="191">
        <f t="shared" si="26"/>
        <v>185.54313436399494</v>
      </c>
      <c r="P55" s="197">
        <f t="shared" si="27"/>
        <v>193.62287697807392</v>
      </c>
      <c r="Q55" s="198">
        <f t="shared" si="28"/>
        <v>202.67361419160233</v>
      </c>
      <c r="R55" s="199">
        <f t="shared" si="29"/>
        <v>212.88157198355484</v>
      </c>
      <c r="S55" s="191">
        <f t="shared" si="30"/>
        <v>224.48385010687855</v>
      </c>
    </row>
    <row r="56" spans="2:19" x14ac:dyDescent="0.2">
      <c r="B56" s="1">
        <f t="shared" si="31"/>
        <v>10380</v>
      </c>
      <c r="C56" s="1">
        <f t="shared" si="32"/>
        <v>17707</v>
      </c>
      <c r="G56" s="154">
        <f>G47</f>
        <v>0.12821099436248906</v>
      </c>
      <c r="H56" s="191">
        <f>O47-$B56+$C56</f>
        <v>173446.9837040854</v>
      </c>
      <c r="I56" s="191">
        <f>P47-$B56+$C56</f>
        <v>180041.99355221554</v>
      </c>
      <c r="J56" s="191">
        <f>Q47-$B56+$C56</f>
        <v>187344.53901813802</v>
      </c>
      <c r="K56" s="191">
        <f>R47-$B56+$C56</f>
        <v>195474.93429107137</v>
      </c>
      <c r="L56" s="191">
        <f>S47-$B56+$C56</f>
        <v>204582.41141901951</v>
      </c>
      <c r="M56" s="189"/>
      <c r="N56" s="192">
        <f>N47</f>
        <v>0.12821099436248906</v>
      </c>
      <c r="O56" s="191">
        <f t="shared" si="26"/>
        <v>167.82355211965984</v>
      </c>
      <c r="P56" s="200">
        <f t="shared" si="27"/>
        <v>174.20474108784407</v>
      </c>
      <c r="Q56" s="201">
        <f t="shared" si="28"/>
        <v>181.27052622537803</v>
      </c>
      <c r="R56" s="202">
        <f t="shared" si="29"/>
        <v>189.13732094098097</v>
      </c>
      <c r="S56" s="191">
        <f t="shared" si="30"/>
        <v>197.94951893843057</v>
      </c>
    </row>
    <row r="57" spans="2:19" x14ac:dyDescent="0.2">
      <c r="B57" s="1">
        <f t="shared" si="31"/>
        <v>10380</v>
      </c>
      <c r="C57" s="1">
        <f t="shared" si="32"/>
        <v>17707</v>
      </c>
      <c r="G57" s="154">
        <f>G48</f>
        <v>0.13821099436248907</v>
      </c>
      <c r="H57" s="191">
        <f>O48-$B57+$C57</f>
        <v>158401.20019115973</v>
      </c>
      <c r="I57" s="191">
        <f>P48-$B57+$C57</f>
        <v>163715.4770955384</v>
      </c>
      <c r="J57" s="191">
        <f>Q48-$B57+$C57</f>
        <v>169544.64845832277</v>
      </c>
      <c r="K57" s="191">
        <f>R48-$B57+$C57</f>
        <v>175967.35534130249</v>
      </c>
      <c r="L57" s="191">
        <f>S48-$B57+$C57</f>
        <v>183079.1125800806</v>
      </c>
      <c r="M57" s="189"/>
      <c r="N57" s="192">
        <f>N48</f>
        <v>0.13821099436248907</v>
      </c>
      <c r="O57" s="191">
        <f t="shared" si="26"/>
        <v>153.2655772293584</v>
      </c>
      <c r="P57" s="191">
        <f t="shared" si="27"/>
        <v>158.40755668610055</v>
      </c>
      <c r="Q57" s="191">
        <f t="shared" si="28"/>
        <v>164.04773689059277</v>
      </c>
      <c r="R57" s="191">
        <f t="shared" si="29"/>
        <v>170.26220923428022</v>
      </c>
      <c r="S57" s="191">
        <f t="shared" si="30"/>
        <v>177.1433918073983</v>
      </c>
    </row>
    <row r="58" spans="2:19" ht="16" customHeight="1" x14ac:dyDescent="0.2"/>
    <row r="59" spans="2:19" ht="16" customHeight="1" x14ac:dyDescent="0.2"/>
    <row r="60" spans="2:19" ht="16" customHeight="1" x14ac:dyDescent="0.2"/>
    <row r="62" spans="2:19" x14ac:dyDescent="0.2">
      <c r="B62" s="7" t="s">
        <v>252</v>
      </c>
    </row>
    <row r="63" spans="2:19" x14ac:dyDescent="0.2">
      <c r="H63" s="186" t="s">
        <v>244</v>
      </c>
      <c r="I63" s="186"/>
      <c r="J63" s="186"/>
      <c r="K63" s="186"/>
      <c r="L63" s="186"/>
      <c r="O63" s="186" t="s">
        <v>245</v>
      </c>
      <c r="P63" s="186"/>
      <c r="Q63" s="186"/>
      <c r="R63" s="186"/>
      <c r="S63" s="186"/>
    </row>
    <row r="64" spans="2:19" x14ac:dyDescent="0.2">
      <c r="H64" s="172" t="s">
        <v>253</v>
      </c>
      <c r="I64" s="172"/>
      <c r="J64" s="172"/>
      <c r="K64" s="172"/>
      <c r="L64" s="172"/>
      <c r="O64" s="172" t="s">
        <v>253</v>
      </c>
      <c r="P64" s="172"/>
      <c r="Q64" s="172"/>
      <c r="R64" s="172"/>
      <c r="S64" s="172"/>
    </row>
    <row r="65" spans="2:19" x14ac:dyDescent="0.2">
      <c r="G65" s="182" t="s">
        <v>217</v>
      </c>
      <c r="H65" s="203">
        <f>I65-1</f>
        <v>43</v>
      </c>
      <c r="I65" s="203">
        <f>J65-1</f>
        <v>44</v>
      </c>
      <c r="J65" s="204">
        <v>45</v>
      </c>
      <c r="K65" s="203">
        <f>J65+1</f>
        <v>46</v>
      </c>
      <c r="L65" s="203">
        <f>K65+1</f>
        <v>47</v>
      </c>
      <c r="M65" s="189"/>
      <c r="N65" s="190" t="s">
        <v>217</v>
      </c>
      <c r="O65" s="203">
        <f>P65-1</f>
        <v>43</v>
      </c>
      <c r="P65" s="203">
        <f>Q65-1</f>
        <v>44</v>
      </c>
      <c r="Q65" s="204">
        <v>45</v>
      </c>
      <c r="R65" s="203">
        <f>Q65+1</f>
        <v>46</v>
      </c>
      <c r="S65" s="203">
        <f>R65+1</f>
        <v>47</v>
      </c>
    </row>
    <row r="66" spans="2:19" x14ac:dyDescent="0.2">
      <c r="G66" s="154">
        <f t="shared" ref="G66" si="33">G67-1%</f>
        <v>9.8210994362489076E-2</v>
      </c>
      <c r="H66" s="191">
        <f>$O$9*H$65/(1+$G66)^$O$30</f>
        <v>660195.91724721191</v>
      </c>
      <c r="I66" s="191">
        <f>$O$9*I$65/(1+$G66)^$O$30</f>
        <v>675549.3106715657</v>
      </c>
      <c r="J66" s="191">
        <f>$O$9*J$65/(1+$G66)^$O$30</f>
        <v>690902.7040959195</v>
      </c>
      <c r="K66" s="191">
        <f>$O$9*K$65/(1+$G66)^$O$30</f>
        <v>706256.0975202733</v>
      </c>
      <c r="L66" s="191">
        <f>$O$9*L$65/(1+$G66)^$O$30</f>
        <v>721609.49094462697</v>
      </c>
      <c r="M66" s="189"/>
      <c r="N66" s="192">
        <f>G66</f>
        <v>9.8210994362489076E-2</v>
      </c>
      <c r="O66" s="191">
        <f>H66+$H31</f>
        <v>711621.75751016336</v>
      </c>
      <c r="P66" s="191">
        <f>I66+$H31</f>
        <v>726975.15093451715</v>
      </c>
      <c r="Q66" s="191">
        <f>J66+$H31</f>
        <v>742328.54435887095</v>
      </c>
      <c r="R66" s="191">
        <f>K66+$H31</f>
        <v>757681.93778322474</v>
      </c>
      <c r="S66" s="191">
        <f>L66+$H31</f>
        <v>773035.33120757842</v>
      </c>
    </row>
    <row r="67" spans="2:19" x14ac:dyDescent="0.2">
      <c r="G67" s="154">
        <f>G68-1%</f>
        <v>0.10821099436248907</v>
      </c>
      <c r="H67" s="191">
        <f>$O$9*H$65/(1+$G67)^$O$30</f>
        <v>636687.2682006344</v>
      </c>
      <c r="I67" s="191">
        <f>$O$9*I$65/(1+$G67)^$O$30</f>
        <v>651493.94885646307</v>
      </c>
      <c r="J67" s="191">
        <f>$O$9*J$65/(1+$G67)^$O$30</f>
        <v>666300.62951229187</v>
      </c>
      <c r="K67" s="191">
        <f>$O$9*K$65/(1+$G67)^$O$30</f>
        <v>681107.31016812054</v>
      </c>
      <c r="L67" s="191">
        <f>$O$9*L$65/(1+$G67)^$O$30</f>
        <v>695913.99082394911</v>
      </c>
      <c r="M67" s="189"/>
      <c r="N67" s="192">
        <f t="shared" ref="N67:N70" si="34">G67</f>
        <v>0.10821099436248907</v>
      </c>
      <c r="O67" s="191">
        <f>H67+$H32</f>
        <v>687078.03602644394</v>
      </c>
      <c r="P67" s="191">
        <f>I67+$H32</f>
        <v>701884.71668227261</v>
      </c>
      <c r="Q67" s="191">
        <f>J67+$H32</f>
        <v>716691.39733810141</v>
      </c>
      <c r="R67" s="191">
        <f>K67+$H32</f>
        <v>731498.07799393008</v>
      </c>
      <c r="S67" s="191">
        <f>L67+$H32</f>
        <v>746304.75864975865</v>
      </c>
    </row>
    <row r="68" spans="2:19" x14ac:dyDescent="0.2">
      <c r="G68" s="154">
        <f>S15</f>
        <v>0.11821099436248907</v>
      </c>
      <c r="H68" s="191">
        <f>$O$9*H$65/(1+$G68)^$O$30</f>
        <v>614215.75352352869</v>
      </c>
      <c r="I68" s="191">
        <f>$O$9*I$65/(1+$G68)^$O$30</f>
        <v>628499.84081477358</v>
      </c>
      <c r="J68" s="191">
        <f>$O$9*J$65/(1+$G68)^$O$30</f>
        <v>642783.92810601834</v>
      </c>
      <c r="K68" s="191">
        <f>$O$9*K$65/(1+$G68)^$O$30</f>
        <v>657068.01539726323</v>
      </c>
      <c r="L68" s="191">
        <f>$O$9*L$65/(1+$G68)^$O$30</f>
        <v>671352.10268850799</v>
      </c>
      <c r="M68" s="189"/>
      <c r="N68" s="192">
        <f t="shared" si="34"/>
        <v>0.11821099436248907</v>
      </c>
      <c r="O68" s="191">
        <f>H68+$H33</f>
        <v>663608.51984006725</v>
      </c>
      <c r="P68" s="191">
        <f>I68+$H33</f>
        <v>677892.60713131214</v>
      </c>
      <c r="Q68" s="191">
        <f>J68+$H33</f>
        <v>692176.6944225569</v>
      </c>
      <c r="R68" s="191">
        <f>K68+$H33</f>
        <v>706460.78171380179</v>
      </c>
      <c r="S68" s="191">
        <f>L68+$H33</f>
        <v>720744.86900504655</v>
      </c>
    </row>
    <row r="69" spans="2:19" x14ac:dyDescent="0.2">
      <c r="G69" s="154">
        <f>G68+1%</f>
        <v>0.12821099436248906</v>
      </c>
      <c r="H69" s="191">
        <f>$O$9*H$65/(1+$G69)^$O$30</f>
        <v>592726.94799944758</v>
      </c>
      <c r="I69" s="191">
        <f>$O$9*I$65/(1+$G69)^$O$30</f>
        <v>606511.29562734172</v>
      </c>
      <c r="J69" s="191">
        <f>$O$9*J$65/(1+$G69)^$O$30</f>
        <v>620295.64325523586</v>
      </c>
      <c r="K69" s="191">
        <f>$O$9*K$65/(1+$G69)^$O$30</f>
        <v>634079.99088313</v>
      </c>
      <c r="L69" s="191">
        <f>$O$9*L$65/(1+$G69)^$O$30</f>
        <v>647864.33851102402</v>
      </c>
      <c r="M69" s="189"/>
      <c r="N69" s="192">
        <f t="shared" si="34"/>
        <v>0.12821099436248906</v>
      </c>
      <c r="O69" s="191">
        <f>H69+$H34</f>
        <v>641157.05982530478</v>
      </c>
      <c r="P69" s="191">
        <f>I69+$H34</f>
        <v>654941.40745319892</v>
      </c>
      <c r="Q69" s="191">
        <f>J69+$H34</f>
        <v>668725.75508109306</v>
      </c>
      <c r="R69" s="191">
        <f>K69+$H34</f>
        <v>682510.10270898719</v>
      </c>
      <c r="S69" s="191">
        <f>L69+$H34</f>
        <v>696294.45033688121</v>
      </c>
    </row>
    <row r="70" spans="2:19" x14ac:dyDescent="0.2">
      <c r="G70" s="154">
        <f>G69+1%</f>
        <v>0.13821099436248907</v>
      </c>
      <c r="H70" s="191">
        <f>$O$9*H$65/(1+$G70)^$O$30</f>
        <v>572169.72951459582</v>
      </c>
      <c r="I70" s="191">
        <f>$O$9*I$65/(1+$G70)^$O$30</f>
        <v>585476.00229400501</v>
      </c>
      <c r="J70" s="191">
        <f>$O$9*J$65/(1+$G70)^$O$30</f>
        <v>598782.2750734142</v>
      </c>
      <c r="K70" s="191">
        <f>$O$9*K$65/(1+$G70)^$O$30</f>
        <v>612088.54785282339</v>
      </c>
      <c r="L70" s="191">
        <f>$O$9*L$65/(1+$G70)^$O$30</f>
        <v>625394.82063223259</v>
      </c>
      <c r="M70" s="189"/>
      <c r="N70" s="192">
        <f t="shared" si="34"/>
        <v>0.13821099436248907</v>
      </c>
      <c r="O70" s="191">
        <f>H70+$H35</f>
        <v>619670.90664352779</v>
      </c>
      <c r="P70" s="191">
        <f>I70+$H35</f>
        <v>632977.17942293698</v>
      </c>
      <c r="Q70" s="191">
        <f>J70+$H35</f>
        <v>646283.45220234618</v>
      </c>
      <c r="R70" s="191">
        <f>K70+$H35</f>
        <v>659589.72498175537</v>
      </c>
      <c r="S70" s="191">
        <f>L70+$H35</f>
        <v>672895.99776116456</v>
      </c>
    </row>
    <row r="71" spans="2:19" x14ac:dyDescent="0.2">
      <c r="H71" s="189"/>
      <c r="I71" s="189"/>
      <c r="J71" s="189"/>
      <c r="K71" s="189"/>
      <c r="L71" s="189"/>
      <c r="M71" s="189"/>
      <c r="N71" s="189"/>
      <c r="O71" s="189"/>
      <c r="P71" s="189"/>
      <c r="Q71" s="189"/>
      <c r="R71" s="189"/>
      <c r="S71" s="189"/>
    </row>
    <row r="72" spans="2:19" x14ac:dyDescent="0.2">
      <c r="H72" s="186" t="s">
        <v>246</v>
      </c>
      <c r="I72" s="186"/>
      <c r="J72" s="186"/>
      <c r="K72" s="186"/>
      <c r="L72" s="186"/>
      <c r="M72" s="189"/>
      <c r="N72" s="189"/>
      <c r="O72" s="186" t="s">
        <v>250</v>
      </c>
      <c r="P72" s="186"/>
      <c r="Q72" s="186"/>
      <c r="R72" s="186"/>
      <c r="S72" s="186"/>
    </row>
    <row r="73" spans="2:19" x14ac:dyDescent="0.2">
      <c r="H73" s="172" t="s">
        <v>253</v>
      </c>
      <c r="I73" s="172"/>
      <c r="J73" s="172"/>
      <c r="K73" s="172"/>
      <c r="L73" s="172"/>
      <c r="M73" s="189"/>
      <c r="N73" s="189"/>
      <c r="O73" s="172" t="s">
        <v>253</v>
      </c>
      <c r="P73" s="172"/>
      <c r="Q73" s="172"/>
      <c r="R73" s="172"/>
      <c r="S73" s="172"/>
    </row>
    <row r="74" spans="2:19" x14ac:dyDescent="0.2">
      <c r="B74" s="1" t="s">
        <v>248</v>
      </c>
      <c r="C74" s="1" t="s">
        <v>249</v>
      </c>
      <c r="G74" s="182" t="s">
        <v>217</v>
      </c>
      <c r="H74" s="203">
        <f>I74-1</f>
        <v>43</v>
      </c>
      <c r="I74" s="203">
        <f>J74-1</f>
        <v>44</v>
      </c>
      <c r="J74" s="204">
        <v>45</v>
      </c>
      <c r="K74" s="203">
        <f>J74+1</f>
        <v>46</v>
      </c>
      <c r="L74" s="203">
        <f>K74+1</f>
        <v>47</v>
      </c>
      <c r="M74" s="189"/>
      <c r="N74" s="190" t="s">
        <v>217</v>
      </c>
      <c r="O74" s="203">
        <f>P74-1</f>
        <v>43</v>
      </c>
      <c r="P74" s="203">
        <f>Q74-1</f>
        <v>44</v>
      </c>
      <c r="Q74" s="204">
        <v>45</v>
      </c>
      <c r="R74" s="203">
        <f>Q74+1</f>
        <v>46</v>
      </c>
      <c r="S74" s="203">
        <f>R74+1</f>
        <v>47</v>
      </c>
    </row>
    <row r="75" spans="2:19" x14ac:dyDescent="0.2">
      <c r="B75" s="1">
        <v>10380</v>
      </c>
      <c r="C75" s="1">
        <v>17707</v>
      </c>
      <c r="G75" s="154">
        <f>G66</f>
        <v>9.8210994362489076E-2</v>
      </c>
      <c r="H75" s="191">
        <f>O66-$B75+$C75</f>
        <v>718948.75751016336</v>
      </c>
      <c r="I75" s="191">
        <f>P66-$B75+$C75</f>
        <v>734302.15093451715</v>
      </c>
      <c r="J75" s="191">
        <f>Q66-$B75+$C75</f>
        <v>749655.54435887095</v>
      </c>
      <c r="K75" s="191">
        <f>R66-$B75+$C75</f>
        <v>765008.93778322474</v>
      </c>
      <c r="L75" s="191">
        <f>S66-$B75+$C75</f>
        <v>780362.33120757842</v>
      </c>
      <c r="M75" s="189"/>
      <c r="N75" s="192">
        <f>N66</f>
        <v>9.8210994362489076E-2</v>
      </c>
      <c r="O75" s="191">
        <f>H75/$S$19</f>
        <v>695.63927662888273</v>
      </c>
      <c r="P75" s="191">
        <f t="shared" ref="P75:S75" si="35">I75/$S$19</f>
        <v>710.49488822004002</v>
      </c>
      <c r="Q75" s="191">
        <f t="shared" si="35"/>
        <v>725.35049981119732</v>
      </c>
      <c r="R75" s="191">
        <f t="shared" si="35"/>
        <v>740.20611140235462</v>
      </c>
      <c r="S75" s="191">
        <f t="shared" si="35"/>
        <v>755.06172299351181</v>
      </c>
    </row>
    <row r="76" spans="2:19" x14ac:dyDescent="0.2">
      <c r="B76" s="1">
        <v>10380</v>
      </c>
      <c r="C76" s="1">
        <v>17707</v>
      </c>
      <c r="G76" s="154">
        <f t="shared" ref="G76:G79" si="36">G67</f>
        <v>0.10821099436248907</v>
      </c>
      <c r="H76" s="191">
        <f>O67-$B76+$C76</f>
        <v>694405.03602644394</v>
      </c>
      <c r="I76" s="191">
        <f>P67-$B76+$C76</f>
        <v>709211.71668227261</v>
      </c>
      <c r="J76" s="191">
        <f>Q67-$B76+$C76</f>
        <v>724018.39733810141</v>
      </c>
      <c r="K76" s="191">
        <f>R67-$B76+$C76</f>
        <v>738825.07799393008</v>
      </c>
      <c r="L76" s="191">
        <f>S67-$B76+$C76</f>
        <v>753631.75864975865</v>
      </c>
      <c r="M76" s="189"/>
      <c r="N76" s="192">
        <f t="shared" ref="N76:N79" si="37">N67</f>
        <v>0.10821099436248907</v>
      </c>
      <c r="O76" s="191">
        <f t="shared" ref="O76:O79" si="38">H76/$S$19</f>
        <v>671.89130226998134</v>
      </c>
      <c r="P76" s="194">
        <f t="shared" ref="P76:P79" si="39">I76/$S$19</f>
        <v>686.2179264043167</v>
      </c>
      <c r="Q76" s="195">
        <f t="shared" ref="Q76:Q79" si="40">J76/$S$19</f>
        <v>700.54455053865217</v>
      </c>
      <c r="R76" s="196">
        <f t="shared" ref="R76:R79" si="41">K76/$S$19</f>
        <v>714.87117467298754</v>
      </c>
      <c r="S76" s="191">
        <f t="shared" ref="S76:S79" si="42">L76/$S$19</f>
        <v>729.1977988073229</v>
      </c>
    </row>
    <row r="77" spans="2:19" x14ac:dyDescent="0.2">
      <c r="B77" s="1">
        <v>10380</v>
      </c>
      <c r="C77" s="1">
        <v>17707</v>
      </c>
      <c r="G77" s="154">
        <f t="shared" si="36"/>
        <v>0.11821099436248907</v>
      </c>
      <c r="H77" s="191">
        <f>O68-$B77+$C77</f>
        <v>670935.51984006725</v>
      </c>
      <c r="I77" s="191">
        <f>P68-$B77+$C77</f>
        <v>685219.60713131214</v>
      </c>
      <c r="J77" s="191">
        <f>Q68-$B77+$C77</f>
        <v>699503.6944225569</v>
      </c>
      <c r="K77" s="191">
        <f>R68-$B77+$C77</f>
        <v>713787.78171380179</v>
      </c>
      <c r="L77" s="191">
        <f>S68-$B77+$C77</f>
        <v>728071.86900504655</v>
      </c>
      <c r="M77" s="189"/>
      <c r="N77" s="192">
        <f t="shared" si="37"/>
        <v>0.11821099436248907</v>
      </c>
      <c r="O77" s="191">
        <f t="shared" si="38"/>
        <v>649.18270573625671</v>
      </c>
      <c r="P77" s="197">
        <f t="shared" si="39"/>
        <v>663.00367982764726</v>
      </c>
      <c r="Q77" s="198">
        <f t="shared" si="40"/>
        <v>676.82465391903781</v>
      </c>
      <c r="R77" s="199">
        <f t="shared" si="41"/>
        <v>690.64562801042837</v>
      </c>
      <c r="S77" s="191">
        <f t="shared" si="42"/>
        <v>704.46660210181881</v>
      </c>
    </row>
    <row r="78" spans="2:19" x14ac:dyDescent="0.2">
      <c r="B78" s="1">
        <v>10380</v>
      </c>
      <c r="C78" s="1">
        <v>17707</v>
      </c>
      <c r="G78" s="154">
        <f t="shared" si="36"/>
        <v>0.12821099436248906</v>
      </c>
      <c r="H78" s="191">
        <f>O69-$B78+$C78</f>
        <v>648484.05982530478</v>
      </c>
      <c r="I78" s="191">
        <f>P69-$B78+$C78</f>
        <v>662268.40745319892</v>
      </c>
      <c r="J78" s="191">
        <f>Q69-$B78+$C78</f>
        <v>676052.75508109306</v>
      </c>
      <c r="K78" s="191">
        <f>R69-$B78+$C78</f>
        <v>689837.10270898719</v>
      </c>
      <c r="L78" s="191">
        <f>S69-$B78+$C78</f>
        <v>703621.45033688121</v>
      </c>
      <c r="M78" s="189"/>
      <c r="N78" s="192">
        <f t="shared" si="37"/>
        <v>0.12821099436248906</v>
      </c>
      <c r="O78" s="191">
        <f t="shared" si="38"/>
        <v>627.45915834740003</v>
      </c>
      <c r="P78" s="200">
        <f t="shared" si="39"/>
        <v>640.79659514314244</v>
      </c>
      <c r="Q78" s="201">
        <f t="shared" si="40"/>
        <v>654.13403193888485</v>
      </c>
      <c r="R78" s="202">
        <f t="shared" si="41"/>
        <v>667.47146873462725</v>
      </c>
      <c r="S78" s="191">
        <f t="shared" si="42"/>
        <v>680.80890553036954</v>
      </c>
    </row>
    <row r="79" spans="2:19" x14ac:dyDescent="0.2">
      <c r="B79" s="1">
        <v>10380</v>
      </c>
      <c r="C79" s="1">
        <v>17707</v>
      </c>
      <c r="G79" s="154">
        <f t="shared" si="36"/>
        <v>0.13821099436248907</v>
      </c>
      <c r="H79" s="191">
        <f>O70-$B79+$C79</f>
        <v>626997.90664352779</v>
      </c>
      <c r="I79" s="191">
        <f>P70-$B79+$C79</f>
        <v>640304.17942293698</v>
      </c>
      <c r="J79" s="191">
        <f>Q70-$B79+$C79</f>
        <v>653610.45220234618</v>
      </c>
      <c r="K79" s="191">
        <f>R70-$B79+$C79</f>
        <v>666916.72498175537</v>
      </c>
      <c r="L79" s="191">
        <f>S70-$B79+$C79</f>
        <v>680222.99776116456</v>
      </c>
      <c r="M79" s="189"/>
      <c r="N79" s="192">
        <f t="shared" si="37"/>
        <v>0.13821099436248907</v>
      </c>
      <c r="O79" s="191">
        <f t="shared" si="38"/>
        <v>606.66962098360898</v>
      </c>
      <c r="P79" s="191">
        <f t="shared" si="39"/>
        <v>619.54448289025049</v>
      </c>
      <c r="Q79" s="191">
        <f t="shared" si="40"/>
        <v>632.41934479689189</v>
      </c>
      <c r="R79" s="191">
        <f t="shared" si="41"/>
        <v>645.29420670353329</v>
      </c>
      <c r="S79" s="191">
        <f t="shared" si="42"/>
        <v>658.1690686101748</v>
      </c>
    </row>
  </sheetData>
  <mergeCells count="18">
    <mergeCell ref="H73:L73"/>
    <mergeCell ref="O73:S73"/>
    <mergeCell ref="H63:L63"/>
    <mergeCell ref="O63:S63"/>
    <mergeCell ref="H64:L64"/>
    <mergeCell ref="O64:S64"/>
    <mergeCell ref="H72:L72"/>
    <mergeCell ref="O72:S72"/>
    <mergeCell ref="H50:L50"/>
    <mergeCell ref="H51:L51"/>
    <mergeCell ref="O50:S50"/>
    <mergeCell ref="O51:S51"/>
    <mergeCell ref="Q5:S5"/>
    <mergeCell ref="H42:L42"/>
    <mergeCell ref="S27:W27"/>
    <mergeCell ref="H41:L41"/>
    <mergeCell ref="O41:S41"/>
    <mergeCell ref="O42:S42"/>
  </mergeCells>
  <pageMargins left="0.7" right="0.7" top="0.75" bottom="0.75" header="0.3" footer="0.3"/>
  <pageSetup orientation="portrait" horizontalDpi="0" verticalDpi="0"/>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931229-3A81-7642-B15B-C6B856CE110C}">
  <dimension ref="A2:T42"/>
  <sheetViews>
    <sheetView topLeftCell="A4" zoomScale="200" zoomScaleNormal="200" workbookViewId="0">
      <selection activeCell="A26" sqref="A26"/>
    </sheetView>
  </sheetViews>
  <sheetFormatPr baseColWidth="10" defaultRowHeight="15" x14ac:dyDescent="0.2"/>
  <cols>
    <col min="1" max="1" width="32.83203125" style="1" customWidth="1"/>
    <col min="2" max="2" width="10.83203125" style="1" hidden="1" customWidth="1"/>
    <col min="3" max="3" width="10.83203125" style="16" hidden="1" customWidth="1"/>
    <col min="4" max="4" width="10.83203125" style="16"/>
    <col min="5" max="5" width="11.1640625" style="1" bestFit="1" customWidth="1"/>
    <col min="6" max="12" width="10.83203125" style="1"/>
    <col min="13" max="14" width="0" style="1" hidden="1" customWidth="1"/>
    <col min="15" max="16384" width="10.83203125" style="1"/>
  </cols>
  <sheetData>
    <row r="2" spans="1:20" x14ac:dyDescent="0.2">
      <c r="A2" s="1" t="s">
        <v>215</v>
      </c>
    </row>
    <row r="3" spans="1:20" x14ac:dyDescent="0.2">
      <c r="P3" s="173"/>
      <c r="Q3" s="173"/>
      <c r="R3" s="173"/>
      <c r="S3" s="173"/>
      <c r="T3" s="173"/>
    </row>
    <row r="4" spans="1:20" x14ac:dyDescent="0.2">
      <c r="A4" s="23" t="s">
        <v>176</v>
      </c>
      <c r="B4" s="72">
        <v>2016</v>
      </c>
      <c r="C4" s="72">
        <v>2017</v>
      </c>
      <c r="D4" s="54">
        <v>2018</v>
      </c>
      <c r="E4" s="54">
        <v>2019</v>
      </c>
      <c r="F4" s="54">
        <v>2020</v>
      </c>
      <c r="G4" s="54">
        <v>2021</v>
      </c>
      <c r="H4" s="55">
        <v>2022</v>
      </c>
      <c r="I4" s="55">
        <v>2023</v>
      </c>
      <c r="J4" s="55">
        <v>2024</v>
      </c>
      <c r="K4" s="55">
        <v>2025</v>
      </c>
      <c r="L4" s="55">
        <v>2026</v>
      </c>
      <c r="M4" s="55">
        <v>2027</v>
      </c>
      <c r="N4" s="55">
        <v>2028</v>
      </c>
    </row>
    <row r="5" spans="1:20" x14ac:dyDescent="0.2">
      <c r="A5" s="1" t="s">
        <v>164</v>
      </c>
      <c r="B5" s="1">
        <v>50.9</v>
      </c>
      <c r="C5" s="16">
        <v>54.8</v>
      </c>
      <c r="D5" s="174">
        <v>50.7</v>
      </c>
      <c r="E5" s="10">
        <v>34.299999999999997</v>
      </c>
      <c r="F5" s="112">
        <v>28.535499999999999</v>
      </c>
      <c r="G5" s="112">
        <v>22.940999999999999</v>
      </c>
      <c r="H5" s="129">
        <f>I30</f>
        <v>40.362749999999998</v>
      </c>
      <c r="I5" s="129">
        <f>H5</f>
        <v>40.362749999999998</v>
      </c>
      <c r="J5" s="129">
        <f t="shared" ref="J5:L5" si="0">I5</f>
        <v>40.362749999999998</v>
      </c>
      <c r="K5" s="129">
        <f t="shared" si="0"/>
        <v>40.362749999999998</v>
      </c>
      <c r="L5" s="129">
        <f t="shared" si="0"/>
        <v>40.362749999999998</v>
      </c>
      <c r="M5" s="112">
        <v>33.451999999999998</v>
      </c>
      <c r="N5" s="112">
        <v>33.314</v>
      </c>
    </row>
    <row r="6" spans="1:20" x14ac:dyDescent="0.2">
      <c r="A6" s="1" t="s">
        <v>165</v>
      </c>
      <c r="B6" s="1">
        <v>25.3</v>
      </c>
      <c r="C6" s="16">
        <v>46.6</v>
      </c>
      <c r="D6" s="174">
        <v>48.7</v>
      </c>
      <c r="E6" s="10">
        <v>32.4</v>
      </c>
      <c r="F6" s="112">
        <v>27.513999999999999</v>
      </c>
      <c r="G6" s="112">
        <v>2.3069999999999999</v>
      </c>
      <c r="H6" s="129">
        <f>I31</f>
        <v>30.470166666666668</v>
      </c>
      <c r="I6" s="129">
        <f>H6</f>
        <v>30.470166666666668</v>
      </c>
      <c r="J6" s="129">
        <f t="shared" ref="J6:L6" si="1">I6</f>
        <v>30.470166666666668</v>
      </c>
      <c r="K6" s="129">
        <f t="shared" si="1"/>
        <v>30.470166666666668</v>
      </c>
      <c r="L6" s="129">
        <f t="shared" si="1"/>
        <v>30.470166666666668</v>
      </c>
      <c r="M6" s="112">
        <v>52.137999999999998</v>
      </c>
      <c r="N6" s="112">
        <v>53.63</v>
      </c>
    </row>
    <row r="7" spans="1:20" x14ac:dyDescent="0.2">
      <c r="A7" s="1" t="s">
        <v>166</v>
      </c>
      <c r="C7" s="16">
        <v>1.8</v>
      </c>
      <c r="D7" s="174">
        <v>146.1</v>
      </c>
      <c r="E7" s="10">
        <v>300.89999999999998</v>
      </c>
      <c r="F7" s="112">
        <v>364.42099999999999</v>
      </c>
      <c r="G7" s="112">
        <v>487.64600000000002</v>
      </c>
      <c r="H7" s="129">
        <v>706.4</v>
      </c>
      <c r="I7" s="129">
        <v>877.6</v>
      </c>
      <c r="J7" s="129">
        <v>1151.2</v>
      </c>
      <c r="K7" s="129">
        <v>695.4</v>
      </c>
      <c r="L7" s="129">
        <v>837.3</v>
      </c>
      <c r="M7" s="129">
        <f>L7+$H$31</f>
        <v>826.22674999999992</v>
      </c>
      <c r="N7" s="129">
        <f>M7+$H$31</f>
        <v>815.15349999999989</v>
      </c>
    </row>
    <row r="8" spans="1:20" x14ac:dyDescent="0.2">
      <c r="A8" s="16" t="s">
        <v>167</v>
      </c>
      <c r="B8" s="122"/>
      <c r="C8" s="122"/>
      <c r="D8" s="56"/>
      <c r="E8" s="56"/>
      <c r="F8" s="123">
        <v>80</v>
      </c>
      <c r="G8" s="123">
        <v>434.06599999999997</v>
      </c>
      <c r="H8" s="130">
        <v>787.2</v>
      </c>
      <c r="I8" s="130">
        <v>1070.7</v>
      </c>
      <c r="J8" s="130">
        <v>1240</v>
      </c>
      <c r="K8" s="130">
        <v>1408</v>
      </c>
      <c r="L8" s="130">
        <v>1925</v>
      </c>
      <c r="M8" s="112">
        <v>1955.17</v>
      </c>
      <c r="N8" s="112">
        <v>2012.98</v>
      </c>
    </row>
    <row r="9" spans="1:20" x14ac:dyDescent="0.2">
      <c r="A9" s="1" t="s">
        <v>214</v>
      </c>
      <c r="D9" s="174">
        <f t="shared" ref="D9:K9" si="2">SUM(D5:D8)</f>
        <v>245.5</v>
      </c>
      <c r="E9" s="10">
        <f t="shared" si="2"/>
        <v>367.59999999999997</v>
      </c>
      <c r="F9" s="10">
        <f t="shared" si="2"/>
        <v>500.47050000000002</v>
      </c>
      <c r="G9" s="10">
        <f t="shared" si="2"/>
        <v>946.96</v>
      </c>
      <c r="H9" s="10">
        <f t="shared" si="2"/>
        <v>1564.4329166666666</v>
      </c>
      <c r="I9" s="10">
        <f t="shared" si="2"/>
        <v>2019.1329166666667</v>
      </c>
      <c r="J9" s="10">
        <f t="shared" si="2"/>
        <v>2462.032916666667</v>
      </c>
      <c r="K9" s="10">
        <f t="shared" si="2"/>
        <v>2174.2329166666668</v>
      </c>
      <c r="L9" s="10">
        <f>SUM(L5:L8)</f>
        <v>2833.1329166666665</v>
      </c>
      <c r="M9" s="10"/>
      <c r="N9" s="10"/>
    </row>
    <row r="10" spans="1:20" x14ac:dyDescent="0.2">
      <c r="D10" s="174"/>
      <c r="E10" s="10"/>
      <c r="F10" s="10"/>
      <c r="G10" s="10"/>
      <c r="H10" s="10"/>
      <c r="I10" s="10"/>
      <c r="J10" s="10"/>
      <c r="K10" s="10"/>
      <c r="L10" s="10"/>
      <c r="M10" s="10"/>
      <c r="N10" s="10"/>
    </row>
    <row r="11" spans="1:20" x14ac:dyDescent="0.2">
      <c r="A11" s="111" t="s">
        <v>168</v>
      </c>
      <c r="B11" s="110">
        <v>95</v>
      </c>
      <c r="D11" s="174">
        <v>95</v>
      </c>
      <c r="E11" s="158">
        <f>(F11+D11)/2</f>
        <v>92.22475</v>
      </c>
      <c r="F11" s="112">
        <v>89.4495</v>
      </c>
      <c r="G11" s="112">
        <v>109</v>
      </c>
      <c r="H11" s="129">
        <v>95.851799999999997</v>
      </c>
      <c r="I11" s="129">
        <v>100.667</v>
      </c>
      <c r="J11" s="129">
        <v>100</v>
      </c>
      <c r="K11" s="129">
        <v>95</v>
      </c>
      <c r="L11" s="131">
        <v>95</v>
      </c>
      <c r="M11" s="10"/>
      <c r="N11" s="10"/>
    </row>
    <row r="12" spans="1:20" x14ac:dyDescent="0.2">
      <c r="A12" s="111" t="s">
        <v>169</v>
      </c>
      <c r="B12" s="110">
        <v>100</v>
      </c>
      <c r="D12" s="174">
        <v>107</v>
      </c>
      <c r="E12" s="158">
        <f>(F12+D12)/2</f>
        <v>102.5</v>
      </c>
      <c r="F12" s="112">
        <v>98</v>
      </c>
      <c r="G12" s="112">
        <v>153</v>
      </c>
      <c r="H12" s="129">
        <v>102.767</v>
      </c>
      <c r="I12" s="129">
        <v>106.5</v>
      </c>
      <c r="J12" s="129">
        <v>100</v>
      </c>
      <c r="K12" s="129">
        <v>100</v>
      </c>
      <c r="L12" s="131">
        <v>100</v>
      </c>
      <c r="M12" s="10"/>
      <c r="N12" s="10"/>
    </row>
    <row r="13" spans="1:20" x14ac:dyDescent="0.2">
      <c r="A13" s="111" t="s">
        <v>170</v>
      </c>
      <c r="B13" s="110">
        <v>43</v>
      </c>
      <c r="D13" s="174">
        <v>57</v>
      </c>
      <c r="E13" s="10">
        <v>49</v>
      </c>
      <c r="F13" s="112">
        <v>46.784500000000001</v>
      </c>
      <c r="G13" s="112">
        <v>43</v>
      </c>
      <c r="H13" s="129">
        <v>47.815300000000001</v>
      </c>
      <c r="I13" s="129">
        <v>45.333300000000001</v>
      </c>
      <c r="J13" s="129">
        <v>44.25</v>
      </c>
      <c r="K13" s="129">
        <v>43</v>
      </c>
      <c r="L13" s="131">
        <v>43</v>
      </c>
      <c r="M13" s="10"/>
      <c r="N13" s="10"/>
    </row>
    <row r="14" spans="1:20" x14ac:dyDescent="0.2">
      <c r="A14" s="1" t="s">
        <v>171</v>
      </c>
      <c r="D14" s="174"/>
      <c r="E14" s="10"/>
      <c r="F14" s="112">
        <v>62</v>
      </c>
      <c r="G14" s="112">
        <v>54</v>
      </c>
      <c r="H14" s="129">
        <v>54.2333</v>
      </c>
      <c r="I14" s="129">
        <v>54.5</v>
      </c>
      <c r="J14" s="129">
        <v>53</v>
      </c>
      <c r="K14" s="129">
        <v>51</v>
      </c>
      <c r="L14" s="131">
        <v>51</v>
      </c>
      <c r="M14" s="10"/>
      <c r="N14" s="10"/>
    </row>
    <row r="15" spans="1:20" x14ac:dyDescent="0.2">
      <c r="D15" s="174"/>
      <c r="E15" s="10"/>
      <c r="F15" s="112"/>
      <c r="G15" s="112"/>
      <c r="H15" s="112"/>
      <c r="I15" s="112"/>
      <c r="J15" s="112"/>
      <c r="K15" s="112"/>
      <c r="L15" s="10"/>
      <c r="M15" s="10"/>
      <c r="N15" s="10"/>
    </row>
    <row r="16" spans="1:20" x14ac:dyDescent="0.2">
      <c r="A16" s="1" t="s">
        <v>172</v>
      </c>
      <c r="D16" s="174">
        <f>D5*D11</f>
        <v>4816.5</v>
      </c>
      <c r="E16" s="10">
        <f t="shared" ref="E16:K16" si="3">E5*E11</f>
        <v>3163.3089249999998</v>
      </c>
      <c r="F16" s="10">
        <f t="shared" si="3"/>
        <v>2552.48620725</v>
      </c>
      <c r="G16" s="10">
        <f>G5*G11</f>
        <v>2500.569</v>
      </c>
      <c r="H16" s="10">
        <f t="shared" si="3"/>
        <v>3868.8422404499997</v>
      </c>
      <c r="I16" s="10">
        <f t="shared" si="3"/>
        <v>4063.1969542500001</v>
      </c>
      <c r="J16" s="10">
        <f t="shared" si="3"/>
        <v>4036.2749999999996</v>
      </c>
      <c r="K16" s="10">
        <f t="shared" si="3"/>
        <v>3834.4612499999998</v>
      </c>
      <c r="L16" s="10">
        <f>L5*L11</f>
        <v>3834.4612499999998</v>
      </c>
      <c r="M16" s="10"/>
      <c r="N16" s="10"/>
    </row>
    <row r="17" spans="1:14" x14ac:dyDescent="0.2">
      <c r="A17" s="1" t="s">
        <v>175</v>
      </c>
      <c r="D17" s="174">
        <f>D6*D12</f>
        <v>5210.9000000000005</v>
      </c>
      <c r="E17" s="10">
        <f>E6*E12</f>
        <v>3321</v>
      </c>
      <c r="F17" s="10">
        <f>F6*F12</f>
        <v>2696.3719999999998</v>
      </c>
      <c r="G17" s="10">
        <f>G6*G12</f>
        <v>352.971</v>
      </c>
      <c r="H17" s="10">
        <f t="shared" ref="H17:K19" si="4">H6*H12</f>
        <v>3131.3276178333331</v>
      </c>
      <c r="I17" s="10">
        <f t="shared" si="4"/>
        <v>3245.0727500000003</v>
      </c>
      <c r="J17" s="10">
        <f t="shared" si="4"/>
        <v>3047.0166666666669</v>
      </c>
      <c r="K17" s="10">
        <f t="shared" si="4"/>
        <v>3047.0166666666669</v>
      </c>
      <c r="L17" s="10">
        <f t="shared" ref="L17" si="5">L6*L12</f>
        <v>3047.0166666666669</v>
      </c>
      <c r="M17" s="10"/>
      <c r="N17" s="10"/>
    </row>
    <row r="18" spans="1:14" x14ac:dyDescent="0.2">
      <c r="A18" s="1" t="s">
        <v>174</v>
      </c>
      <c r="D18" s="174">
        <f>D7*D13</f>
        <v>8327.6999999999989</v>
      </c>
      <c r="E18" s="10">
        <f>E7*E13</f>
        <v>14744.099999999999</v>
      </c>
      <c r="F18" s="10">
        <f>F7*F13</f>
        <v>17049.254274499999</v>
      </c>
      <c r="G18" s="10">
        <f>G7*G13</f>
        <v>20968.778000000002</v>
      </c>
      <c r="H18" s="10">
        <f t="shared" si="4"/>
        <v>33776.727919999998</v>
      </c>
      <c r="I18" s="10">
        <f t="shared" si="4"/>
        <v>39784.504079999999</v>
      </c>
      <c r="J18" s="10">
        <f t="shared" si="4"/>
        <v>50940.6</v>
      </c>
      <c r="K18" s="10">
        <f t="shared" si="4"/>
        <v>29902.2</v>
      </c>
      <c r="L18" s="10">
        <f t="shared" ref="L18" si="6">L7*L13</f>
        <v>36003.9</v>
      </c>
      <c r="M18" s="10"/>
      <c r="N18" s="10"/>
    </row>
    <row r="19" spans="1:14" x14ac:dyDescent="0.2">
      <c r="A19" s="1" t="s">
        <v>173</v>
      </c>
      <c r="B19" s="122"/>
      <c r="C19" s="122"/>
      <c r="D19" s="56"/>
      <c r="E19" s="56"/>
      <c r="F19" s="56">
        <f>F8*F14</f>
        <v>4960</v>
      </c>
      <c r="G19" s="56">
        <f>G8*G14</f>
        <v>23439.563999999998</v>
      </c>
      <c r="H19" s="56">
        <f>H8*H14</f>
        <v>42692.453760000004</v>
      </c>
      <c r="I19" s="56">
        <f t="shared" si="4"/>
        <v>58353.15</v>
      </c>
      <c r="J19" s="56">
        <f t="shared" si="4"/>
        <v>65720</v>
      </c>
      <c r="K19" s="56">
        <f t="shared" si="4"/>
        <v>71808</v>
      </c>
      <c r="L19" s="56">
        <f>L8*L14</f>
        <v>98175</v>
      </c>
      <c r="M19" s="10"/>
      <c r="N19" s="10"/>
    </row>
    <row r="20" spans="1:14" x14ac:dyDescent="0.2">
      <c r="A20" s="113" t="s">
        <v>177</v>
      </c>
      <c r="D20" s="175">
        <f t="shared" ref="D20:L20" si="7">SUM(D16:D19)</f>
        <v>18355.099999999999</v>
      </c>
      <c r="E20" s="14">
        <f t="shared" si="7"/>
        <v>21228.408924999996</v>
      </c>
      <c r="F20" s="14">
        <f t="shared" si="7"/>
        <v>27258.112481749999</v>
      </c>
      <c r="G20" s="14">
        <f t="shared" si="7"/>
        <v>47261.881999999998</v>
      </c>
      <c r="H20" s="14">
        <f t="shared" si="7"/>
        <v>83469.351538283343</v>
      </c>
      <c r="I20" s="14">
        <f t="shared" si="7"/>
        <v>105445.92378425</v>
      </c>
      <c r="J20" s="14">
        <f t="shared" si="7"/>
        <v>123743.89166666666</v>
      </c>
      <c r="K20" s="14">
        <f t="shared" si="7"/>
        <v>108591.67791666667</v>
      </c>
      <c r="L20" s="14">
        <f t="shared" si="7"/>
        <v>141060.37791666668</v>
      </c>
      <c r="M20" s="10"/>
      <c r="N20" s="10"/>
    </row>
    <row r="21" spans="1:14" x14ac:dyDescent="0.2">
      <c r="A21" s="1" t="s">
        <v>125</v>
      </c>
      <c r="B21" s="10">
        <v>761.75900000000001</v>
      </c>
      <c r="C21" s="174">
        <v>1106.548</v>
      </c>
      <c r="D21" s="174">
        <v>883.46100000000001</v>
      </c>
      <c r="E21" s="10">
        <v>869</v>
      </c>
      <c r="F21" s="10">
        <v>1052</v>
      </c>
      <c r="G21" s="10">
        <v>1642</v>
      </c>
      <c r="H21" s="10">
        <f t="shared" ref="H21:N21" si="8">G21*(1+H36)</f>
        <v>1869.1906294162668</v>
      </c>
      <c r="I21" s="10">
        <f t="shared" si="8"/>
        <v>2127.8158398889036</v>
      </c>
      <c r="J21" s="10">
        <f t="shared" si="8"/>
        <v>2422.2249872374191</v>
      </c>
      <c r="K21" s="10">
        <f t="shared" si="8"/>
        <v>2757.3692134483072</v>
      </c>
      <c r="L21" s="10">
        <f t="shared" si="8"/>
        <v>3138.884711095297</v>
      </c>
      <c r="M21" s="10">
        <f t="shared" si="8"/>
        <v>3138.884711095297</v>
      </c>
      <c r="N21" s="10">
        <f t="shared" si="8"/>
        <v>3138.884711095297</v>
      </c>
    </row>
    <row r="22" spans="1:14" x14ac:dyDescent="0.2">
      <c r="A22" s="1" t="s">
        <v>128</v>
      </c>
      <c r="B22" s="56"/>
      <c r="C22" s="56"/>
      <c r="D22" s="56"/>
      <c r="E22" s="56">
        <v>594</v>
      </c>
      <c r="F22" s="56">
        <v>1580</v>
      </c>
      <c r="G22" s="56">
        <v>1465</v>
      </c>
      <c r="H22" s="56">
        <f t="shared" ref="H22:N22" si="9">G22*(1+H35)</f>
        <v>2197.5</v>
      </c>
      <c r="I22" s="56">
        <f t="shared" si="9"/>
        <v>3296.25</v>
      </c>
      <c r="J22" s="56">
        <f t="shared" si="9"/>
        <v>4944.375</v>
      </c>
      <c r="K22" s="56">
        <f t="shared" si="9"/>
        <v>7416.5625</v>
      </c>
      <c r="L22" s="56">
        <f t="shared" si="9"/>
        <v>11124.84375</v>
      </c>
      <c r="M22" s="56">
        <f t="shared" si="9"/>
        <v>11124.84375</v>
      </c>
      <c r="N22" s="56">
        <f t="shared" si="9"/>
        <v>11124.84375</v>
      </c>
    </row>
    <row r="23" spans="1:14" s="7" customFormat="1" x14ac:dyDescent="0.2">
      <c r="A23" s="7" t="s">
        <v>127</v>
      </c>
      <c r="C23" s="15"/>
      <c r="D23" s="175">
        <f t="shared" ref="D23:I23" si="10">SUM(D20:D22)</f>
        <v>19238.560999999998</v>
      </c>
      <c r="E23" s="14">
        <f t="shared" si="10"/>
        <v>22691.408924999996</v>
      </c>
      <c r="F23" s="14">
        <f t="shared" si="10"/>
        <v>29890.112481749999</v>
      </c>
      <c r="G23" s="14">
        <f t="shared" si="10"/>
        <v>50368.881999999998</v>
      </c>
      <c r="H23" s="14">
        <f>SUM(H20:H22)</f>
        <v>87536.042167699605</v>
      </c>
      <c r="I23" s="14">
        <f t="shared" si="10"/>
        <v>110869.98962413891</v>
      </c>
      <c r="J23" s="14">
        <f>SUM(J20:J22)</f>
        <v>131110.49165390409</v>
      </c>
      <c r="K23" s="14">
        <f>SUM(K20:K22)</f>
        <v>118765.60963011498</v>
      </c>
      <c r="L23" s="14">
        <f>SUM(L20:L22)</f>
        <v>155324.10637776199</v>
      </c>
      <c r="M23" s="14"/>
      <c r="N23" s="14"/>
    </row>
    <row r="24" spans="1:14" x14ac:dyDescent="0.2">
      <c r="A24" s="1" t="s">
        <v>123</v>
      </c>
      <c r="B24" s="10">
        <v>181.39400000000001</v>
      </c>
      <c r="C24" s="174">
        <v>1116.2660000000001</v>
      </c>
      <c r="D24" s="174">
        <v>1555.2440000000001</v>
      </c>
      <c r="E24" s="10">
        <v>1531</v>
      </c>
      <c r="F24" s="10">
        <v>1994</v>
      </c>
      <c r="G24" s="10">
        <v>2789</v>
      </c>
      <c r="H24" s="10">
        <f t="shared" ref="H24:L25" si="11">G24*(1+H37)</f>
        <v>3541.1793466300951</v>
      </c>
      <c r="I24" s="10">
        <f t="shared" si="11"/>
        <v>4496.2176998922723</v>
      </c>
      <c r="J24" s="10">
        <f t="shared" si="11"/>
        <v>5708.8251189713819</v>
      </c>
      <c r="K24" s="10">
        <f t="shared" si="11"/>
        <v>7248.4666922999468</v>
      </c>
      <c r="L24" s="10">
        <f t="shared" si="11"/>
        <v>9203.3418951268304</v>
      </c>
      <c r="M24" s="10"/>
      <c r="N24" s="10"/>
    </row>
    <row r="25" spans="1:14" x14ac:dyDescent="0.2">
      <c r="A25" s="1" t="s">
        <v>122</v>
      </c>
      <c r="B25" s="56">
        <v>467.97200000000004</v>
      </c>
      <c r="C25" s="56">
        <v>1001.1850000000001</v>
      </c>
      <c r="D25" s="56">
        <v>1391.0409999999999</v>
      </c>
      <c r="E25" s="56">
        <v>2226</v>
      </c>
      <c r="F25" s="56">
        <v>2306</v>
      </c>
      <c r="G25" s="56">
        <v>3802</v>
      </c>
      <c r="H25" s="56">
        <f t="shared" si="11"/>
        <v>5393.4376221485636</v>
      </c>
      <c r="I25" s="56">
        <f t="shared" si="11"/>
        <v>7651.017723305511</v>
      </c>
      <c r="J25" s="56">
        <f t="shared" si="11"/>
        <v>10853.573602472748</v>
      </c>
      <c r="K25" s="56">
        <f t="shared" si="11"/>
        <v>15396.652341487386</v>
      </c>
      <c r="L25" s="56">
        <f t="shared" si="11"/>
        <v>21841.368751635939</v>
      </c>
      <c r="M25" s="10"/>
      <c r="N25" s="10"/>
    </row>
    <row r="26" spans="1:14" s="7" customFormat="1" x14ac:dyDescent="0.2">
      <c r="A26" s="7" t="s">
        <v>216</v>
      </c>
      <c r="B26" s="14">
        <v>7000.1320000000005</v>
      </c>
      <c r="C26" s="175">
        <v>11758.751</v>
      </c>
      <c r="D26" s="175">
        <v>21461.268</v>
      </c>
      <c r="E26" s="14">
        <v>24578</v>
      </c>
      <c r="F26" s="14">
        <v>31536</v>
      </c>
      <c r="G26" s="14">
        <v>53823</v>
      </c>
      <c r="H26" s="14">
        <f t="shared" ref="H26:N26" si="12">SUM(H23:H25)</f>
        <v>96470.659136478251</v>
      </c>
      <c r="I26" s="14">
        <f>SUM(I23:I25)</f>
        <v>123017.22504733669</v>
      </c>
      <c r="J26" s="14">
        <f>SUM(J23:J25)</f>
        <v>147672.89037534822</v>
      </c>
      <c r="K26" s="14">
        <f t="shared" si="12"/>
        <v>141410.72866390232</v>
      </c>
      <c r="L26" s="14">
        <f t="shared" si="12"/>
        <v>186368.81702452476</v>
      </c>
      <c r="M26" s="14">
        <f t="shared" si="12"/>
        <v>0</v>
      </c>
      <c r="N26" s="14">
        <f t="shared" si="12"/>
        <v>0</v>
      </c>
    </row>
    <row r="27" spans="1:14" s="7" customFormat="1" x14ac:dyDescent="0.2">
      <c r="B27" s="14"/>
      <c r="C27" s="175"/>
      <c r="D27" s="175"/>
      <c r="E27" s="14"/>
      <c r="F27" s="14"/>
      <c r="G27" s="14"/>
      <c r="H27" s="14"/>
      <c r="I27" s="14"/>
      <c r="J27" s="14"/>
      <c r="K27" s="14"/>
      <c r="L27" s="14"/>
      <c r="M27" s="14"/>
      <c r="N27" s="14"/>
    </row>
    <row r="28" spans="1:14" x14ac:dyDescent="0.2">
      <c r="D28" s="174"/>
      <c r="E28" s="10"/>
      <c r="F28" s="10"/>
      <c r="G28" s="10"/>
      <c r="H28" s="10"/>
      <c r="I28" s="10"/>
      <c r="J28" s="10"/>
      <c r="K28" s="10"/>
      <c r="L28" s="10"/>
      <c r="M28" s="10"/>
      <c r="N28" s="10"/>
    </row>
    <row r="29" spans="1:14" x14ac:dyDescent="0.2">
      <c r="A29" s="46" t="s">
        <v>229</v>
      </c>
      <c r="B29" s="46"/>
      <c r="C29" s="102"/>
      <c r="D29" s="102"/>
      <c r="E29" s="46"/>
      <c r="F29" s="46"/>
      <c r="G29" s="46"/>
      <c r="H29" s="46" t="s">
        <v>235</v>
      </c>
      <c r="I29" s="1" t="s">
        <v>237</v>
      </c>
      <c r="J29" s="46" t="s">
        <v>236</v>
      </c>
      <c r="K29" s="46"/>
      <c r="L29" s="46"/>
    </row>
    <row r="30" spans="1:14" x14ac:dyDescent="0.2">
      <c r="A30" s="46" t="s">
        <v>164</v>
      </c>
      <c r="B30" s="46"/>
      <c r="C30" s="102"/>
      <c r="D30" s="176">
        <f t="shared" ref="D30:G31" si="13">D5-C5</f>
        <v>-4.0999999999999943</v>
      </c>
      <c r="E30" s="117">
        <f t="shared" si="13"/>
        <v>-16.400000000000006</v>
      </c>
      <c r="F30" s="117">
        <f t="shared" si="13"/>
        <v>-5.7644999999999982</v>
      </c>
      <c r="G30" s="117">
        <f t="shared" si="13"/>
        <v>-5.5945</v>
      </c>
      <c r="H30" s="155">
        <f>AVERAGE(D30:G30)</f>
        <v>-7.9647499999999996</v>
      </c>
      <c r="I30" s="153">
        <f>AVERAGE(B5:G5)</f>
        <v>40.362749999999998</v>
      </c>
      <c r="J30" s="153">
        <f>AVERAGE(D11:G11)</f>
        <v>96.418562500000007</v>
      </c>
      <c r="K30" s="46"/>
      <c r="L30" s="46"/>
    </row>
    <row r="31" spans="1:14" x14ac:dyDescent="0.2">
      <c r="A31" s="46" t="s">
        <v>165</v>
      </c>
      <c r="B31" s="46"/>
      <c r="C31" s="102"/>
      <c r="D31" s="176">
        <f t="shared" si="13"/>
        <v>2.1000000000000014</v>
      </c>
      <c r="E31" s="117">
        <f t="shared" si="13"/>
        <v>-16.300000000000004</v>
      </c>
      <c r="F31" s="117">
        <f t="shared" si="13"/>
        <v>-4.8859999999999992</v>
      </c>
      <c r="G31" s="117">
        <f t="shared" si="13"/>
        <v>-25.207000000000001</v>
      </c>
      <c r="H31" s="155">
        <f>AVERAGE(D31:G31)</f>
        <v>-11.073250000000002</v>
      </c>
      <c r="I31" s="153">
        <f>AVERAGE(B6:G6)</f>
        <v>30.470166666666668</v>
      </c>
      <c r="J31" s="153">
        <f>AVERAGE(D12:G12)</f>
        <v>115.125</v>
      </c>
      <c r="K31" s="46"/>
      <c r="L31" s="46"/>
    </row>
    <row r="32" spans="1:14" x14ac:dyDescent="0.2">
      <c r="A32" s="46" t="s">
        <v>166</v>
      </c>
      <c r="B32" s="46"/>
      <c r="C32" s="102"/>
      <c r="D32" s="176">
        <f t="shared" ref="D32:F32" si="14">D7-C7</f>
        <v>144.29999999999998</v>
      </c>
      <c r="E32" s="117">
        <f t="shared" si="14"/>
        <v>154.79999999999998</v>
      </c>
      <c r="F32" s="117">
        <f t="shared" si="14"/>
        <v>63.521000000000015</v>
      </c>
      <c r="G32" s="117">
        <f>G7-F7</f>
        <v>123.22500000000002</v>
      </c>
      <c r="H32" s="155">
        <f>AVERAGE(D32:G32)</f>
        <v>121.4615</v>
      </c>
      <c r="I32" s="153">
        <f>AVERAGE(D7:G7)</f>
        <v>324.76675</v>
      </c>
      <c r="J32" s="153">
        <f>AVERAGE(D13:G13)</f>
        <v>48.946125000000002</v>
      </c>
      <c r="K32" s="46"/>
      <c r="L32" s="46"/>
    </row>
    <row r="33" spans="1:13" x14ac:dyDescent="0.2">
      <c r="A33" s="102" t="s">
        <v>167</v>
      </c>
      <c r="B33" s="46"/>
      <c r="C33" s="102"/>
      <c r="D33" s="176"/>
      <c r="E33" s="117"/>
      <c r="F33" s="117">
        <f>F8-E8</f>
        <v>80</v>
      </c>
      <c r="G33" s="117">
        <f>G8-F8</f>
        <v>354.06599999999997</v>
      </c>
      <c r="H33" s="155">
        <f>AVERAGE(D33:G33)</f>
        <v>217.03299999999999</v>
      </c>
      <c r="I33" s="153">
        <f>AVERAGE(F8:G8)</f>
        <v>257.03300000000002</v>
      </c>
      <c r="J33" s="153">
        <f>AVERAGE(D14:G14)</f>
        <v>58</v>
      </c>
      <c r="K33" s="46"/>
      <c r="L33" s="46"/>
    </row>
    <row r="34" spans="1:13" x14ac:dyDescent="0.2">
      <c r="A34" s="46"/>
      <c r="B34" s="46"/>
      <c r="C34" s="102"/>
      <c r="D34" s="102"/>
      <c r="E34" s="46"/>
      <c r="F34" s="46"/>
      <c r="G34" s="46"/>
      <c r="H34" s="46"/>
      <c r="I34" s="46"/>
      <c r="J34" s="46"/>
      <c r="K34" s="46"/>
      <c r="L34" s="46"/>
    </row>
    <row r="35" spans="1:13" s="9" customFormat="1" x14ac:dyDescent="0.2">
      <c r="A35" s="42" t="s">
        <v>128</v>
      </c>
      <c r="B35" s="89"/>
      <c r="C35" s="178"/>
      <c r="D35" s="177"/>
      <c r="E35" s="30"/>
      <c r="F35" s="30">
        <f>F22/E22-1</f>
        <v>1.65993265993266</v>
      </c>
      <c r="G35" s="30">
        <f>G22/F22-1</f>
        <v>-7.2784810126582333E-2</v>
      </c>
      <c r="H35" s="156">
        <v>0.5</v>
      </c>
      <c r="I35" s="156">
        <f>H35</f>
        <v>0.5</v>
      </c>
      <c r="J35" s="156">
        <f t="shared" ref="J35:L35" si="15">I35</f>
        <v>0.5</v>
      </c>
      <c r="K35" s="156">
        <f t="shared" si="15"/>
        <v>0.5</v>
      </c>
      <c r="L35" s="156">
        <f t="shared" si="15"/>
        <v>0.5</v>
      </c>
    </row>
    <row r="36" spans="1:13" s="9" customFormat="1" x14ac:dyDescent="0.2">
      <c r="A36" s="42" t="s">
        <v>125</v>
      </c>
      <c r="B36" s="89"/>
      <c r="C36" s="177">
        <f>C21/B21-1</f>
        <v>0.45262215477598566</v>
      </c>
      <c r="D36" s="177">
        <f>D21/C21-1</f>
        <v>-0.20160625657450015</v>
      </c>
      <c r="E36" s="30">
        <f>E21/D21-1</f>
        <v>-1.636857767349098E-2</v>
      </c>
      <c r="F36" s="30">
        <f>F21/E21-1</f>
        <v>0.21058688147295745</v>
      </c>
      <c r="G36" s="30">
        <f>G21/F21-1</f>
        <v>0.56083650190114076</v>
      </c>
      <c r="H36" s="157">
        <f>AVERAGE(D36:G36)</f>
        <v>0.13836213728152677</v>
      </c>
      <c r="I36" s="157">
        <f t="shared" ref="I36:L38" si="16">H36</f>
        <v>0.13836213728152677</v>
      </c>
      <c r="J36" s="157">
        <f t="shared" si="16"/>
        <v>0.13836213728152677</v>
      </c>
      <c r="K36" s="157">
        <f t="shared" si="16"/>
        <v>0.13836213728152677</v>
      </c>
      <c r="L36" s="157">
        <f t="shared" si="16"/>
        <v>0.13836213728152677</v>
      </c>
    </row>
    <row r="37" spans="1:13" s="28" customFormat="1" x14ac:dyDescent="0.2">
      <c r="A37" s="29" t="s">
        <v>123</v>
      </c>
      <c r="B37" s="91"/>
      <c r="C37" s="177">
        <f t="shared" ref="C37:G38" si="17">C24/B24-1</f>
        <v>5.1538198617374338</v>
      </c>
      <c r="D37" s="177">
        <f t="shared" si="17"/>
        <v>0.39325572936916475</v>
      </c>
      <c r="E37" s="30">
        <f t="shared" si="17"/>
        <v>-1.5588550735447404E-2</v>
      </c>
      <c r="F37" s="30">
        <f t="shared" si="17"/>
        <v>0.30241672109732209</v>
      </c>
      <c r="G37" s="30">
        <f t="shared" si="17"/>
        <v>0.3986960882647943</v>
      </c>
      <c r="H37" s="157">
        <f>AVERAGE(D37:G37)</f>
        <v>0.26969499699895844</v>
      </c>
      <c r="I37" s="157">
        <f t="shared" si="16"/>
        <v>0.26969499699895844</v>
      </c>
      <c r="J37" s="157">
        <f t="shared" si="16"/>
        <v>0.26969499699895844</v>
      </c>
      <c r="K37" s="157">
        <f t="shared" si="16"/>
        <v>0.26969499699895844</v>
      </c>
      <c r="L37" s="157">
        <f t="shared" si="16"/>
        <v>0.26969499699895844</v>
      </c>
    </row>
    <row r="38" spans="1:13" s="29" customFormat="1" x14ac:dyDescent="0.2">
      <c r="A38" s="29" t="s">
        <v>122</v>
      </c>
      <c r="B38" s="92"/>
      <c r="C38" s="177">
        <f t="shared" si="17"/>
        <v>1.1394121870539262</v>
      </c>
      <c r="D38" s="177">
        <f t="shared" si="17"/>
        <v>0.38939456743758627</v>
      </c>
      <c r="E38" s="30">
        <f t="shared" si="17"/>
        <v>0.60024039550236119</v>
      </c>
      <c r="F38" s="30">
        <f t="shared" si="17"/>
        <v>3.5938903863432126E-2</v>
      </c>
      <c r="G38" s="30">
        <f t="shared" si="17"/>
        <v>0.64874241110147435</v>
      </c>
      <c r="H38" s="157">
        <f>AVERAGE(D38:G38)</f>
        <v>0.41857906947621348</v>
      </c>
      <c r="I38" s="157">
        <f t="shared" si="16"/>
        <v>0.41857906947621348</v>
      </c>
      <c r="J38" s="157">
        <f t="shared" si="16"/>
        <v>0.41857906947621348</v>
      </c>
      <c r="K38" s="157">
        <f t="shared" si="16"/>
        <v>0.41857906947621348</v>
      </c>
      <c r="L38" s="157">
        <f t="shared" si="16"/>
        <v>0.41857906947621348</v>
      </c>
    </row>
    <row r="41" spans="1:13" x14ac:dyDescent="0.2">
      <c r="A41" s="46" t="s">
        <v>238</v>
      </c>
    </row>
    <row r="42" spans="1:13" x14ac:dyDescent="0.2">
      <c r="A42" s="102" t="s">
        <v>149</v>
      </c>
      <c r="B42" s="89"/>
      <c r="C42" s="178"/>
      <c r="D42" s="177">
        <f>D26/C26-1</f>
        <v>0.82513159773516764</v>
      </c>
      <c r="E42" s="30">
        <f t="shared" ref="E42:L42" si="18">E26/D26-1</f>
        <v>0.14522590184326489</v>
      </c>
      <c r="F42" s="30">
        <f t="shared" si="18"/>
        <v>0.28309870615998056</v>
      </c>
      <c r="G42" s="30">
        <f t="shared" si="18"/>
        <v>0.70671613394216126</v>
      </c>
      <c r="H42" s="30">
        <f t="shared" si="18"/>
        <v>0.79236867392152521</v>
      </c>
      <c r="I42" s="30">
        <f t="shared" si="18"/>
        <v>0.27517761512650885</v>
      </c>
      <c r="J42" s="30">
        <f t="shared" si="18"/>
        <v>0.2004244959884609</v>
      </c>
      <c r="K42" s="30">
        <f t="shared" si="18"/>
        <v>-4.2405628382630178E-2</v>
      </c>
      <c r="L42" s="30">
        <f>L26/K26-1</f>
        <v>0.31792558305442653</v>
      </c>
      <c r="M42" s="59">
        <f>AVERAGE(D42:L42)</f>
        <v>0.38929589770987405</v>
      </c>
    </row>
  </sheetData>
  <mergeCells count="1">
    <mergeCell ref="P3:T3"/>
  </mergeCells>
  <pageMargins left="0.7" right="0.7" top="0.75" bottom="0.75" header="0.3" footer="0.3"/>
  <pageSetup orientation="portrait" horizontalDpi="0" verticalDpi="0"/>
  <ignoredErrors>
    <ignoredError sqref="D9:L9 I32:J33" formulaRange="1"/>
    <ignoredError sqref="H23:L23" formula="1"/>
  </ignoredError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647DB8-0A38-BB48-B4BF-7C4AEF62B1EC}">
  <dimension ref="A1:R105"/>
  <sheetViews>
    <sheetView zoomScale="140" zoomScaleNormal="140" workbookViewId="0">
      <selection activeCell="Q33" sqref="Q33"/>
    </sheetView>
  </sheetViews>
  <sheetFormatPr baseColWidth="10" defaultColWidth="8.83203125" defaultRowHeight="15" x14ac:dyDescent="0.2"/>
  <cols>
    <col min="1" max="1" width="47.83203125" style="19" customWidth="1"/>
    <col min="2" max="2" width="12.6640625" style="11" hidden="1" customWidth="1"/>
    <col min="3" max="3" width="13.6640625" style="71" hidden="1" customWidth="1"/>
    <col min="4" max="12" width="11.1640625" style="9" customWidth="1"/>
    <col min="13" max="16384" width="8.83203125" style="9"/>
  </cols>
  <sheetData>
    <row r="1" spans="1:16" x14ac:dyDescent="0.2">
      <c r="A1" s="23" t="s">
        <v>130</v>
      </c>
      <c r="B1" s="72">
        <v>2016</v>
      </c>
      <c r="C1" s="73">
        <v>2017</v>
      </c>
      <c r="D1" s="54">
        <v>2018</v>
      </c>
      <c r="E1" s="54">
        <v>2019</v>
      </c>
      <c r="F1" s="54">
        <v>2020</v>
      </c>
      <c r="G1" s="54">
        <v>2021</v>
      </c>
      <c r="H1" s="55">
        <v>2022</v>
      </c>
      <c r="I1" s="55">
        <v>2023</v>
      </c>
      <c r="J1" s="55">
        <v>2024</v>
      </c>
      <c r="K1" s="55">
        <v>2025</v>
      </c>
      <c r="L1" s="55">
        <v>2025</v>
      </c>
    </row>
    <row r="2" spans="1:16" x14ac:dyDescent="0.2">
      <c r="A2" s="15" t="s">
        <v>149</v>
      </c>
      <c r="B2" s="78">
        <v>7000.1320000000005</v>
      </c>
      <c r="C2" s="79">
        <v>11758.751</v>
      </c>
      <c r="D2" s="17">
        <v>21461.268</v>
      </c>
      <c r="E2" s="17">
        <v>24578</v>
      </c>
      <c r="F2" s="17">
        <v>31536</v>
      </c>
      <c r="G2" s="17">
        <v>53823</v>
      </c>
      <c r="H2" s="14">
        <f>Revenue!H26</f>
        <v>96470.659136478251</v>
      </c>
      <c r="I2" s="14">
        <f>Revenue!I26</f>
        <v>123017.22504733669</v>
      </c>
      <c r="J2" s="14">
        <f>Revenue!J26</f>
        <v>147672.89037534822</v>
      </c>
      <c r="K2" s="14">
        <f>Revenue!K26</f>
        <v>141410.72866390232</v>
      </c>
      <c r="L2" s="14">
        <f>Revenue!L26</f>
        <v>186368.81702452476</v>
      </c>
      <c r="M2" s="13"/>
      <c r="N2" s="13"/>
    </row>
    <row r="3" spans="1:16" hidden="1" x14ac:dyDescent="0.2">
      <c r="A3" s="36" t="s">
        <v>126</v>
      </c>
      <c r="B3" s="74">
        <v>4268.0870000000004</v>
      </c>
      <c r="C3" s="75">
        <v>6724.4800000000005</v>
      </c>
      <c r="D3" s="6">
        <v>13685.572</v>
      </c>
      <c r="E3" s="6">
        <v>15939</v>
      </c>
      <c r="F3" s="6">
        <v>19696</v>
      </c>
      <c r="G3" s="6">
        <v>32415</v>
      </c>
      <c r="H3" s="13"/>
      <c r="I3" s="13"/>
      <c r="J3" s="13"/>
      <c r="K3" s="13"/>
      <c r="L3" s="13"/>
    </row>
    <row r="4" spans="1:16" hidden="1" x14ac:dyDescent="0.2">
      <c r="A4" s="36" t="s">
        <v>125</v>
      </c>
      <c r="B4" s="74">
        <v>481.99399999999997</v>
      </c>
      <c r="C4" s="75">
        <v>708.22399999999993</v>
      </c>
      <c r="D4" s="6">
        <v>488.42500000000001</v>
      </c>
      <c r="E4" s="6">
        <v>459</v>
      </c>
      <c r="F4" s="6">
        <v>563</v>
      </c>
      <c r="G4" s="6">
        <v>978</v>
      </c>
      <c r="H4" s="13"/>
      <c r="I4" s="13"/>
      <c r="J4" s="13"/>
      <c r="K4" s="13"/>
      <c r="L4" s="13"/>
    </row>
    <row r="5" spans="1:16" hidden="1" x14ac:dyDescent="0.2">
      <c r="A5" s="137" t="s">
        <v>124</v>
      </c>
      <c r="B5" s="74">
        <v>4750.0810000000001</v>
      </c>
      <c r="C5" s="75">
        <v>7432.7039999999997</v>
      </c>
      <c r="D5" s="6">
        <v>14173.996999999999</v>
      </c>
      <c r="E5" s="6">
        <v>16398</v>
      </c>
      <c r="F5" s="6">
        <v>20259</v>
      </c>
      <c r="G5" s="6">
        <v>33393</v>
      </c>
      <c r="H5" s="13"/>
      <c r="I5" s="13"/>
      <c r="J5" s="13"/>
      <c r="K5" s="13"/>
      <c r="L5" s="13"/>
    </row>
    <row r="6" spans="1:16" hidden="1" x14ac:dyDescent="0.2">
      <c r="A6" s="36" t="s">
        <v>123</v>
      </c>
      <c r="B6" s="74">
        <v>178.33199999999999</v>
      </c>
      <c r="C6" s="75">
        <v>874.5379999999999</v>
      </c>
      <c r="D6" s="6">
        <v>1364.896</v>
      </c>
      <c r="E6" s="6">
        <v>1341</v>
      </c>
      <c r="F6" s="6">
        <v>1976</v>
      </c>
      <c r="G6" s="6">
        <v>2918</v>
      </c>
      <c r="H6" s="13"/>
      <c r="I6" s="13"/>
      <c r="J6" s="13"/>
      <c r="K6" s="13"/>
      <c r="L6" s="13"/>
    </row>
    <row r="7" spans="1:16" hidden="1" x14ac:dyDescent="0.2">
      <c r="A7" s="36" t="s">
        <v>122</v>
      </c>
      <c r="B7" s="74">
        <v>472.46199999999999</v>
      </c>
      <c r="C7" s="75">
        <v>1229.0219999999999</v>
      </c>
      <c r="D7" s="6">
        <v>1880.354</v>
      </c>
      <c r="E7" s="6">
        <v>2770</v>
      </c>
      <c r="F7" s="6">
        <v>2671</v>
      </c>
      <c r="G7" s="6">
        <v>3906</v>
      </c>
      <c r="H7" s="13"/>
      <c r="I7" s="13"/>
      <c r="J7" s="13"/>
      <c r="K7" s="13"/>
      <c r="L7" s="13"/>
    </row>
    <row r="8" spans="1:16" x14ac:dyDescent="0.2">
      <c r="A8" s="137" t="s">
        <v>231</v>
      </c>
      <c r="B8" s="76">
        <v>5400.875</v>
      </c>
      <c r="C8" s="77">
        <v>9536.2639999999992</v>
      </c>
      <c r="D8" s="18">
        <v>17419.246999999999</v>
      </c>
      <c r="E8" s="18">
        <v>20509</v>
      </c>
      <c r="F8" s="18">
        <v>24906</v>
      </c>
      <c r="G8" s="18">
        <v>40217</v>
      </c>
      <c r="H8" s="22">
        <f>H2-H9</f>
        <v>76768.400735657153</v>
      </c>
      <c r="I8" s="22">
        <f t="shared" ref="I8:L8" si="0">I2-I9</f>
        <v>97893.346167171403</v>
      </c>
      <c r="J8" s="22">
        <f t="shared" si="0"/>
        <v>117513.57073335067</v>
      </c>
      <c r="K8" s="22">
        <f t="shared" si="0"/>
        <v>112530.33392291628</v>
      </c>
      <c r="L8" s="22">
        <f t="shared" si="0"/>
        <v>148306.60594666874</v>
      </c>
    </row>
    <row r="9" spans="1:16" x14ac:dyDescent="0.2">
      <c r="A9" s="15" t="s">
        <v>134</v>
      </c>
      <c r="B9" s="78">
        <v>1599.2570000000001</v>
      </c>
      <c r="C9" s="79">
        <v>2222.4870000000001</v>
      </c>
      <c r="D9" s="17">
        <v>4042.0209999999997</v>
      </c>
      <c r="E9" s="17">
        <v>4069</v>
      </c>
      <c r="F9" s="17">
        <v>6630</v>
      </c>
      <c r="G9" s="17">
        <v>13606</v>
      </c>
      <c r="H9" s="14">
        <f>H2*$H$34</f>
        <v>19702.258400821102</v>
      </c>
      <c r="I9" s="14">
        <f>I2*$H$34</f>
        <v>25123.878880165277</v>
      </c>
      <c r="J9" s="14">
        <f>J2*$H$34</f>
        <v>30159.319641997543</v>
      </c>
      <c r="K9" s="14">
        <f>K2*$H$34</f>
        <v>28880.394740986038</v>
      </c>
      <c r="L9" s="14">
        <f>L2*$H$34</f>
        <v>38062.211077856016</v>
      </c>
    </row>
    <row r="10" spans="1:16" x14ac:dyDescent="0.2">
      <c r="A10" s="36" t="s">
        <v>121</v>
      </c>
      <c r="B10" s="74">
        <v>834.40800000000002</v>
      </c>
      <c r="C10" s="75">
        <v>1378.0729999999999</v>
      </c>
      <c r="D10" s="6">
        <v>1460.3700000000001</v>
      </c>
      <c r="E10" s="6">
        <v>1343</v>
      </c>
      <c r="F10" s="6">
        <v>1491</v>
      </c>
      <c r="G10" s="6">
        <v>2593</v>
      </c>
      <c r="H10" s="13">
        <f>$H$35*H$2</f>
        <v>5261.1447188377251</v>
      </c>
      <c r="I10" s="13">
        <f>$H$35*I$2</f>
        <v>6708.893975402917</v>
      </c>
      <c r="J10" s="13">
        <f>$H$35*J$2</f>
        <v>8053.5206690630685</v>
      </c>
      <c r="K10" s="13">
        <f>$H$35*K$2</f>
        <v>7712.0060643989491</v>
      </c>
      <c r="L10" s="13">
        <f>$H$35*L$2</f>
        <v>10163.850088942258</v>
      </c>
      <c r="P10" s="13"/>
    </row>
    <row r="11" spans="1:16" x14ac:dyDescent="0.2">
      <c r="A11" s="36" t="s">
        <v>120</v>
      </c>
      <c r="B11" s="74">
        <v>1432.1889999999999</v>
      </c>
      <c r="C11" s="75">
        <v>2476.5</v>
      </c>
      <c r="D11" s="6">
        <v>2834.491</v>
      </c>
      <c r="E11" s="6">
        <v>2646</v>
      </c>
      <c r="F11" s="6">
        <v>3145</v>
      </c>
      <c r="G11" s="6">
        <v>4517</v>
      </c>
      <c r="H11" s="13">
        <f>$H$36*H$2</f>
        <v>10210.99725540134</v>
      </c>
      <c r="I11" s="13">
        <f>$H$36*I$2</f>
        <v>13020.835128206007</v>
      </c>
      <c r="J11" s="13">
        <f>$H$36*J$2</f>
        <v>15630.529446125543</v>
      </c>
      <c r="K11" s="13">
        <f>$H$36*K$2</f>
        <v>14967.707023009387</v>
      </c>
      <c r="L11" s="13">
        <f>$H$36*L$2</f>
        <v>19726.324005287479</v>
      </c>
    </row>
    <row r="12" spans="1:16" x14ac:dyDescent="0.2">
      <c r="A12" s="36" t="s">
        <v>119</v>
      </c>
      <c r="B12" s="74"/>
      <c r="C12" s="75"/>
      <c r="D12" s="6">
        <v>135.233</v>
      </c>
      <c r="E12" s="6">
        <v>149</v>
      </c>
      <c r="F12" s="6"/>
      <c r="G12" s="6">
        <v>-27</v>
      </c>
      <c r="H12" s="13"/>
      <c r="I12" s="13"/>
      <c r="J12" s="13"/>
      <c r="K12" s="13"/>
      <c r="L12" s="13"/>
    </row>
    <row r="13" spans="1:16" s="19" customFormat="1" x14ac:dyDescent="0.2">
      <c r="A13" s="137" t="s">
        <v>118</v>
      </c>
      <c r="B13" s="76">
        <v>2266.5970000000002</v>
      </c>
      <c r="C13" s="77">
        <v>3854.5730000000003</v>
      </c>
      <c r="D13" s="18">
        <v>4430.0940000000001</v>
      </c>
      <c r="E13" s="18">
        <v>4138</v>
      </c>
      <c r="F13" s="18">
        <v>4636</v>
      </c>
      <c r="G13" s="18">
        <v>7083</v>
      </c>
      <c r="H13" s="22">
        <f>SUM(H10:H12)</f>
        <v>15472.141974239064</v>
      </c>
      <c r="I13" s="22">
        <f t="shared" ref="I13:L13" si="1">SUM(I10:I12)</f>
        <v>19729.729103608923</v>
      </c>
      <c r="J13" s="22">
        <f t="shared" si="1"/>
        <v>23684.050115188613</v>
      </c>
      <c r="K13" s="22">
        <f t="shared" si="1"/>
        <v>22679.713087408338</v>
      </c>
      <c r="L13" s="22">
        <f t="shared" si="1"/>
        <v>29890.174094229737</v>
      </c>
    </row>
    <row r="14" spans="1:16" s="7" customFormat="1" x14ac:dyDescent="0.2">
      <c r="A14" s="15" t="s">
        <v>135</v>
      </c>
      <c r="B14" s="93">
        <v>-667.34</v>
      </c>
      <c r="C14" s="79">
        <v>-1632.086</v>
      </c>
      <c r="D14" s="118">
        <v>-388.07299999999998</v>
      </c>
      <c r="E14" s="118">
        <v>-69</v>
      </c>
      <c r="F14" s="118">
        <v>1994</v>
      </c>
      <c r="G14" s="118">
        <v>6523</v>
      </c>
      <c r="H14" s="14">
        <f>H9-H13</f>
        <v>4230.1164265820371</v>
      </c>
      <c r="I14" s="14">
        <f t="shared" ref="I14:L14" si="2">I9-I13</f>
        <v>5394.1497765563545</v>
      </c>
      <c r="J14" s="14">
        <f t="shared" si="2"/>
        <v>6475.2695268089301</v>
      </c>
      <c r="K14" s="14">
        <f t="shared" si="2"/>
        <v>6200.6816535776998</v>
      </c>
      <c r="L14" s="14">
        <f t="shared" si="2"/>
        <v>8172.0369836262798</v>
      </c>
    </row>
    <row r="15" spans="1:16" hidden="1" x14ac:dyDescent="0.2">
      <c r="A15" s="36" t="str">
        <f>cashflow!A5</f>
        <v>Depreciation, amortization and impairment</v>
      </c>
      <c r="B15" s="81">
        <v>947.09899999999993</v>
      </c>
      <c r="C15" s="82">
        <v>1636.0030000000002</v>
      </c>
      <c r="D15" s="22">
        <v>1901.05</v>
      </c>
      <c r="E15" s="22">
        <f>cashflow!E5</f>
        <v>2154</v>
      </c>
      <c r="F15" s="22">
        <f>cashflow!F5</f>
        <v>2322</v>
      </c>
      <c r="G15" s="22">
        <f>cashflow!G5</f>
        <v>2911</v>
      </c>
      <c r="H15" s="22">
        <f>cashflow!H5</f>
        <v>7330.1947580386932</v>
      </c>
      <c r="I15" s="22">
        <f>cashflow!I5</f>
        <v>9347.3002699686167</v>
      </c>
      <c r="J15" s="22">
        <f>cashflow!J5</f>
        <v>11220.728215429883</v>
      </c>
      <c r="K15" s="22">
        <f>cashflow!K5</f>
        <v>10744.90618454387</v>
      </c>
      <c r="L15" s="22">
        <f>cashflow!L5</f>
        <v>14160.986748130092</v>
      </c>
    </row>
    <row r="16" spans="1:16" hidden="1" x14ac:dyDescent="0.2">
      <c r="A16" s="15" t="s">
        <v>136</v>
      </c>
      <c r="B16" s="78">
        <f t="shared" ref="B16:G16" si="3">B14+B15</f>
        <v>279.7589999999999</v>
      </c>
      <c r="C16" s="79">
        <f t="shared" si="3"/>
        <v>3.9170000000001437</v>
      </c>
      <c r="D16" s="17">
        <f t="shared" si="3"/>
        <v>1512.9769999999999</v>
      </c>
      <c r="E16" s="17">
        <f t="shared" si="3"/>
        <v>2085</v>
      </c>
      <c r="F16" s="17">
        <f t="shared" si="3"/>
        <v>4316</v>
      </c>
      <c r="G16" s="17">
        <f t="shared" si="3"/>
        <v>9434</v>
      </c>
      <c r="H16" s="14">
        <f>H14+H15</f>
        <v>11560.31118462073</v>
      </c>
      <c r="I16" s="14">
        <f t="shared" ref="I16:L16" si="4">I14+I15</f>
        <v>14741.450046524971</v>
      </c>
      <c r="J16" s="14">
        <f t="shared" si="4"/>
        <v>17695.997742238811</v>
      </c>
      <c r="K16" s="14">
        <f t="shared" si="4"/>
        <v>16945.58783812157</v>
      </c>
      <c r="L16" s="14">
        <f t="shared" si="4"/>
        <v>22333.023731756373</v>
      </c>
    </row>
    <row r="17" spans="1:18" x14ac:dyDescent="0.2">
      <c r="A17" s="137" t="s">
        <v>117</v>
      </c>
      <c r="B17" s="74">
        <v>8.5299999999999994</v>
      </c>
      <c r="C17" s="75">
        <v>19.686</v>
      </c>
      <c r="D17" s="6">
        <v>24.533000000000001</v>
      </c>
      <c r="E17" s="6">
        <v>44</v>
      </c>
      <c r="F17" s="6">
        <v>30</v>
      </c>
      <c r="G17" s="6">
        <v>56</v>
      </c>
      <c r="L17" s="13"/>
    </row>
    <row r="18" spans="1:18" x14ac:dyDescent="0.2">
      <c r="A18" s="137" t="s">
        <v>116</v>
      </c>
      <c r="B18" s="74">
        <v>-198.81</v>
      </c>
      <c r="C18" s="75">
        <v>-471.25900000000001</v>
      </c>
      <c r="D18" s="6">
        <v>-663.07100000000003</v>
      </c>
      <c r="E18" s="6">
        <v>-685</v>
      </c>
      <c r="F18" s="6">
        <v>-748</v>
      </c>
      <c r="G18" s="6">
        <v>-371</v>
      </c>
      <c r="H18" s="13"/>
      <c r="I18" s="138"/>
      <c r="J18" s="138"/>
      <c r="K18" s="138"/>
      <c r="L18" s="13"/>
    </row>
    <row r="19" spans="1:18" x14ac:dyDescent="0.2">
      <c r="A19" s="137" t="s">
        <v>115</v>
      </c>
      <c r="B19" s="76">
        <v>111.27200000000001</v>
      </c>
      <c r="C19" s="77">
        <v>-125.373</v>
      </c>
      <c r="D19" s="18">
        <v>21.866</v>
      </c>
      <c r="E19" s="18">
        <v>45</v>
      </c>
      <c r="F19" s="18">
        <v>-122</v>
      </c>
      <c r="G19" s="18">
        <v>135</v>
      </c>
      <c r="H19" s="22"/>
      <c r="I19" s="22"/>
      <c r="J19" s="22"/>
      <c r="K19" s="22"/>
      <c r="L19" s="22"/>
    </row>
    <row r="20" spans="1:18" s="7" customFormat="1" x14ac:dyDescent="0.2">
      <c r="A20" s="168" t="s">
        <v>148</v>
      </c>
      <c r="B20" s="93">
        <v>-746.34799999999996</v>
      </c>
      <c r="C20" s="79">
        <v>-2209.0320000000002</v>
      </c>
      <c r="D20" s="118">
        <v>-1004.7450000000001</v>
      </c>
      <c r="E20" s="118">
        <v>-665</v>
      </c>
      <c r="F20" s="118">
        <v>1154</v>
      </c>
      <c r="G20" s="118">
        <v>6343</v>
      </c>
      <c r="H20" s="14">
        <f>H14-H18-H19+H17</f>
        <v>4230.1164265820371</v>
      </c>
      <c r="I20" s="14">
        <f>I14-I18-I19+I17</f>
        <v>5394.1497765563545</v>
      </c>
      <c r="J20" s="14">
        <f>J14-J18-J19+J17</f>
        <v>6475.2695268089301</v>
      </c>
      <c r="K20" s="14">
        <f>K14-K18-K19+K17</f>
        <v>6200.6816535776998</v>
      </c>
      <c r="L20" s="14">
        <f>L14-L18-L19+L17</f>
        <v>8172.0369836262798</v>
      </c>
      <c r="M20" s="14"/>
      <c r="N20" s="14"/>
    </row>
    <row r="21" spans="1:18" x14ac:dyDescent="0.2">
      <c r="A21" s="137" t="s">
        <v>114</v>
      </c>
      <c r="B21" s="76">
        <v>26.698</v>
      </c>
      <c r="C21" s="77">
        <v>31.545999999999999</v>
      </c>
      <c r="D21" s="18">
        <v>57.837000000000003</v>
      </c>
      <c r="E21" s="18">
        <v>110</v>
      </c>
      <c r="F21" s="18">
        <v>292</v>
      </c>
      <c r="G21" s="18">
        <v>699</v>
      </c>
      <c r="H21" s="22">
        <f>H20*$H$30</f>
        <v>619.93471182369058</v>
      </c>
      <c r="I21" s="22">
        <f>I20*$H$30</f>
        <v>790.52686735747363</v>
      </c>
      <c r="J21" s="22">
        <f t="shared" ref="J21:L21" si="5">J20*$H$30</f>
        <v>948.96781631293209</v>
      </c>
      <c r="K21" s="22">
        <f t="shared" si="5"/>
        <v>908.72623974728958</v>
      </c>
      <c r="L21" s="22">
        <f t="shared" si="5"/>
        <v>1197.633559355804</v>
      </c>
    </row>
    <row r="22" spans="1:18" x14ac:dyDescent="0.2">
      <c r="A22" s="15" t="s">
        <v>132</v>
      </c>
      <c r="B22" s="78">
        <v>-773.04600000000005</v>
      </c>
      <c r="C22" s="79">
        <v>-2240.578</v>
      </c>
      <c r="D22" s="17">
        <v>-1062.5820000000001</v>
      </c>
      <c r="E22" s="17">
        <v>-775</v>
      </c>
      <c r="F22" s="17">
        <v>862</v>
      </c>
      <c r="G22" s="17">
        <v>5644</v>
      </c>
      <c r="H22" s="14">
        <f>H20-H21</f>
        <v>3610.1817147583465</v>
      </c>
      <c r="I22" s="14">
        <f t="shared" ref="I22:L22" si="6">I20-I21</f>
        <v>4603.6229091988807</v>
      </c>
      <c r="J22" s="14">
        <f t="shared" si="6"/>
        <v>5526.3017104959981</v>
      </c>
      <c r="K22" s="14">
        <f t="shared" si="6"/>
        <v>5291.9554138304102</v>
      </c>
      <c r="L22" s="14">
        <f t="shared" si="6"/>
        <v>6974.4034242704756</v>
      </c>
    </row>
    <row r="23" spans="1:18" x14ac:dyDescent="0.2">
      <c r="A23" s="19" t="s">
        <v>146</v>
      </c>
      <c r="B23" s="83"/>
      <c r="C23" s="84"/>
      <c r="D23" s="13"/>
      <c r="E23" s="13">
        <v>-803</v>
      </c>
      <c r="F23" s="13">
        <v>1261</v>
      </c>
      <c r="G23" s="13">
        <v>5335</v>
      </c>
      <c r="H23" s="13"/>
      <c r="I23" s="13"/>
      <c r="J23" s="13"/>
      <c r="K23" s="13"/>
      <c r="L23" s="13"/>
    </row>
    <row r="24" spans="1:18" x14ac:dyDescent="0.2">
      <c r="A24" s="15"/>
      <c r="B24" s="85"/>
      <c r="C24" s="86"/>
      <c r="D24" s="14"/>
      <c r="E24" s="14"/>
      <c r="F24" s="14"/>
      <c r="G24" s="14"/>
      <c r="H24" s="13"/>
      <c r="I24" s="13"/>
      <c r="J24" s="13"/>
      <c r="K24" s="13"/>
      <c r="L24" s="13"/>
    </row>
    <row r="25" spans="1:18" x14ac:dyDescent="0.2">
      <c r="A25" s="37" t="s">
        <v>137</v>
      </c>
      <c r="B25" s="24">
        <v>-4.8600000000000003</v>
      </c>
      <c r="C25" s="70">
        <v>-11.8</v>
      </c>
      <c r="D25" s="26">
        <v>-5.72</v>
      </c>
      <c r="E25" s="26">
        <v>-0.98</v>
      </c>
      <c r="F25" s="26">
        <v>0.74</v>
      </c>
      <c r="G25" s="26">
        <v>5.6</v>
      </c>
      <c r="H25" s="139"/>
      <c r="I25" s="13"/>
      <c r="J25" s="13"/>
      <c r="K25" s="13"/>
      <c r="L25" s="13"/>
      <c r="R25" s="136" t="s">
        <v>161</v>
      </c>
    </row>
    <row r="26" spans="1:18" x14ac:dyDescent="0.2">
      <c r="A26" s="37" t="s">
        <v>138</v>
      </c>
      <c r="B26" s="24">
        <v>-4.8600000000000003</v>
      </c>
      <c r="C26" s="70">
        <v>-11.8</v>
      </c>
      <c r="D26" s="26">
        <v>-5.72</v>
      </c>
      <c r="E26" s="26">
        <v>-0.98</v>
      </c>
      <c r="F26" s="26">
        <v>0.64</v>
      </c>
      <c r="G26" s="26">
        <v>4.9000000000000004</v>
      </c>
      <c r="H26" s="13"/>
      <c r="I26" s="13"/>
      <c r="J26" s="13"/>
      <c r="K26" s="13"/>
      <c r="L26" s="13"/>
    </row>
    <row r="27" spans="1:18" x14ac:dyDescent="0.2">
      <c r="A27" s="37" t="s">
        <v>139</v>
      </c>
      <c r="C27" s="75">
        <f>161670428/1000000</f>
        <v>161.67042799999999</v>
      </c>
      <c r="D27" s="27">
        <f>168919941/1000000</f>
        <v>168.91994099999999</v>
      </c>
      <c r="E27" s="27">
        <f>172721487/1000000</f>
        <v>172.721487</v>
      </c>
      <c r="F27" s="27">
        <f>181341586/1000000</f>
        <v>181.34158600000001</v>
      </c>
      <c r="G27" s="27">
        <f>959853504/1000000</f>
        <v>959.85350400000004</v>
      </c>
      <c r="H27" s="27"/>
      <c r="J27" s="140"/>
      <c r="K27" s="140"/>
      <c r="L27" s="140"/>
    </row>
    <row r="28" spans="1:18" x14ac:dyDescent="0.2">
      <c r="A28" s="37"/>
      <c r="C28" s="75"/>
      <c r="D28" s="27"/>
      <c r="E28" s="27"/>
      <c r="F28" s="27"/>
      <c r="G28" s="27"/>
      <c r="H28" s="27"/>
      <c r="J28" s="140"/>
      <c r="K28" s="140"/>
      <c r="L28" s="140"/>
    </row>
    <row r="29" spans="1:18" x14ac:dyDescent="0.2">
      <c r="A29" s="37"/>
      <c r="C29" s="75"/>
      <c r="D29" s="27"/>
      <c r="E29" s="27"/>
      <c r="F29" s="27"/>
      <c r="G29" s="27"/>
      <c r="J29" s="140"/>
      <c r="K29" s="140"/>
      <c r="L29" s="121" t="s">
        <v>193</v>
      </c>
    </row>
    <row r="30" spans="1:18" x14ac:dyDescent="0.2">
      <c r="A30" s="38" t="s">
        <v>140</v>
      </c>
      <c r="B30" s="87">
        <f>ABS(B21/B20)</f>
        <v>3.5771516772336767E-2</v>
      </c>
      <c r="C30" s="88">
        <f t="shared" ref="C30:F30" si="7">ABS(C21/C20)</f>
        <v>1.4280463116876531E-2</v>
      </c>
      <c r="D30" s="53">
        <f>ABS(D21/D20)</f>
        <v>5.7563859486735439E-2</v>
      </c>
      <c r="E30" s="53">
        <f t="shared" si="7"/>
        <v>0.16541353383458646</v>
      </c>
      <c r="F30" s="53">
        <f t="shared" si="7"/>
        <v>0.2530329289428076</v>
      </c>
      <c r="G30" s="53">
        <f>ABS(G21/G20)</f>
        <v>0.11020022071574964</v>
      </c>
      <c r="H30" s="141">
        <f>AVERAGE(D30:G30)</f>
        <v>0.14655263574496979</v>
      </c>
      <c r="I30" s="141">
        <f>AVERAGE(D30:G30)</f>
        <v>0.14655263574496979</v>
      </c>
      <c r="J30" s="141">
        <f>AVERAGE(D30:G30)</f>
        <v>0.14655263574496979</v>
      </c>
      <c r="K30" s="141">
        <f>AVERAGE(D30:G30)</f>
        <v>0.14655263574496979</v>
      </c>
      <c r="L30" s="141">
        <f>AVERAGE(D30:G30)</f>
        <v>0.14655263574496979</v>
      </c>
    </row>
    <row r="31" spans="1:18" x14ac:dyDescent="0.2">
      <c r="A31" s="38" t="s">
        <v>141</v>
      </c>
      <c r="B31" s="74"/>
      <c r="C31" s="75"/>
      <c r="D31" s="53">
        <f>-D18/(balance!B31+balance!B35+balance!B36+balance!B37)</f>
        <v>9.5354983835249985E-2</v>
      </c>
      <c r="E31" s="53">
        <f>-E18/(balance!C31+balance!C35+balance!C36+balance!C37)</f>
        <v>6.7059114224481423E-2</v>
      </c>
      <c r="F31" s="53">
        <f>-F18/(balance!D31+balance!D35+balance!D36+balance!D37)</f>
        <v>6.2482400720853107E-2</v>
      </c>
      <c r="G31" s="53">
        <f>-G18/(balance!E31+balance!E35+balance!E36+balance!E37)</f>
        <v>2.7647365675534691E-2</v>
      </c>
      <c r="H31" s="141">
        <f>AVERAGE(D31:G31)</f>
        <v>6.3135966114029801E-2</v>
      </c>
      <c r="I31" s="141">
        <f>AVERAGE(D31:G31)</f>
        <v>6.3135966114029801E-2</v>
      </c>
      <c r="J31" s="141">
        <f>AVERAGE(D31:G31)</f>
        <v>6.3135966114029801E-2</v>
      </c>
      <c r="K31" s="141">
        <f>AVERAGE(D31:G31)</f>
        <v>6.3135966114029801E-2</v>
      </c>
      <c r="L31" s="141">
        <f>AVERAGE(D31:G31)</f>
        <v>6.3135966114029801E-2</v>
      </c>
      <c r="P31" s="29"/>
    </row>
    <row r="32" spans="1:18" x14ac:dyDescent="0.2">
      <c r="A32" s="38"/>
      <c r="B32" s="74"/>
      <c r="C32" s="75"/>
      <c r="D32" s="27"/>
      <c r="E32" s="27"/>
      <c r="F32" s="27"/>
      <c r="G32" s="27"/>
      <c r="H32" s="25"/>
      <c r="I32" s="25"/>
      <c r="J32" s="142"/>
      <c r="K32" s="142"/>
      <c r="L32" s="142"/>
    </row>
    <row r="33" spans="1:13" x14ac:dyDescent="0.2">
      <c r="A33" s="39" t="s">
        <v>142</v>
      </c>
      <c r="B33" s="74"/>
      <c r="C33" s="75"/>
      <c r="D33" s="27"/>
      <c r="E33" s="27"/>
      <c r="F33" s="27"/>
      <c r="G33" s="27"/>
      <c r="H33" s="25"/>
      <c r="I33" s="25"/>
      <c r="J33" s="25"/>
      <c r="K33" s="142"/>
      <c r="L33" s="142"/>
    </row>
    <row r="34" spans="1:13" x14ac:dyDescent="0.2">
      <c r="A34" s="40" t="s">
        <v>134</v>
      </c>
      <c r="B34" s="89">
        <f t="shared" ref="B34:G34" si="8">B9/B2</f>
        <v>0.22846097759299394</v>
      </c>
      <c r="C34" s="90">
        <f t="shared" si="8"/>
        <v>0.18900706376042831</v>
      </c>
      <c r="D34" s="30">
        <f t="shared" si="8"/>
        <v>0.18834026954977681</v>
      </c>
      <c r="E34" s="30">
        <f t="shared" si="8"/>
        <v>0.1655545609895028</v>
      </c>
      <c r="F34" s="30">
        <f t="shared" si="8"/>
        <v>0.2102359208523592</v>
      </c>
      <c r="G34" s="30">
        <f t="shared" si="8"/>
        <v>0.25279155751258753</v>
      </c>
      <c r="H34" s="167">
        <f>AVERAGE(D34:G34)</f>
        <v>0.20423057722605659</v>
      </c>
      <c r="I34" s="167">
        <f t="shared" ref="I34:L34" si="9">H34</f>
        <v>0.20423057722605659</v>
      </c>
      <c r="J34" s="167">
        <f t="shared" si="9"/>
        <v>0.20423057722605659</v>
      </c>
      <c r="K34" s="167">
        <f t="shared" si="9"/>
        <v>0.20423057722605659</v>
      </c>
      <c r="L34" s="167">
        <f t="shared" si="9"/>
        <v>0.20423057722605659</v>
      </c>
    </row>
    <row r="35" spans="1:13" x14ac:dyDescent="0.2">
      <c r="A35" s="40" t="s">
        <v>121</v>
      </c>
      <c r="B35" s="89">
        <f t="shared" ref="B35:G36" si="10">B10/B$2</f>
        <v>0.11919889510654941</v>
      </c>
      <c r="C35" s="90">
        <f t="shared" si="10"/>
        <v>0.11719552527304981</v>
      </c>
      <c r="D35" s="30">
        <f t="shared" si="10"/>
        <v>6.8046771514152851E-2</v>
      </c>
      <c r="E35" s="30">
        <f t="shared" si="10"/>
        <v>5.4642363088941333E-2</v>
      </c>
      <c r="F35" s="30">
        <f t="shared" si="10"/>
        <v>4.7279299847792999E-2</v>
      </c>
      <c r="G35" s="30">
        <f t="shared" si="10"/>
        <v>4.817643015067908E-2</v>
      </c>
      <c r="H35" s="167">
        <f t="shared" ref="H35:H38" si="11">AVERAGE(D35:G35)</f>
        <v>5.4536216150391566E-2</v>
      </c>
      <c r="I35" s="167">
        <f t="shared" ref="I35:L35" si="12">H35</f>
        <v>5.4536216150391566E-2</v>
      </c>
      <c r="J35" s="167">
        <f t="shared" si="12"/>
        <v>5.4536216150391566E-2</v>
      </c>
      <c r="K35" s="167">
        <f t="shared" si="12"/>
        <v>5.4536216150391566E-2</v>
      </c>
      <c r="L35" s="167">
        <f t="shared" si="12"/>
        <v>5.4536216150391566E-2</v>
      </c>
    </row>
    <row r="36" spans="1:13" x14ac:dyDescent="0.2">
      <c r="A36" s="40" t="s">
        <v>143</v>
      </c>
      <c r="B36" s="89">
        <f t="shared" si="10"/>
        <v>0.20459457050238478</v>
      </c>
      <c r="C36" s="90">
        <f t="shared" si="10"/>
        <v>0.21060910295659802</v>
      </c>
      <c r="D36" s="30">
        <f t="shared" si="10"/>
        <v>0.13207472177319626</v>
      </c>
      <c r="E36" s="30">
        <f t="shared" si="10"/>
        <v>0.10765725445520384</v>
      </c>
      <c r="F36" s="30">
        <f t="shared" si="10"/>
        <v>9.9727295788939629E-2</v>
      </c>
      <c r="G36" s="30">
        <f t="shared" si="10"/>
        <v>8.3923229845976624E-2</v>
      </c>
      <c r="H36" s="167">
        <f t="shared" si="11"/>
        <v>0.10584562546582908</v>
      </c>
      <c r="I36" s="167">
        <f t="shared" ref="I36:L36" si="13">H36</f>
        <v>0.10584562546582908</v>
      </c>
      <c r="J36" s="167">
        <f t="shared" si="13"/>
        <v>0.10584562546582908</v>
      </c>
      <c r="K36" s="167">
        <f t="shared" si="13"/>
        <v>0.10584562546582908</v>
      </c>
      <c r="L36" s="167">
        <f t="shared" si="13"/>
        <v>0.10584562546582908</v>
      </c>
    </row>
    <row r="37" spans="1:13" hidden="1" x14ac:dyDescent="0.2">
      <c r="A37" s="40" t="s">
        <v>144</v>
      </c>
      <c r="B37" s="89">
        <f t="shared" ref="B37:G37" si="14">B15/B$2</f>
        <v>0.13529730582223304</v>
      </c>
      <c r="C37" s="90">
        <f t="shared" si="14"/>
        <v>0.13913067807967019</v>
      </c>
      <c r="D37" s="30">
        <f t="shared" si="14"/>
        <v>8.858050698588732E-2</v>
      </c>
      <c r="E37" s="30">
        <f t="shared" si="14"/>
        <v>8.7639352266254369E-2</v>
      </c>
      <c r="F37" s="30">
        <f t="shared" si="14"/>
        <v>7.3630136986301373E-2</v>
      </c>
      <c r="G37" s="30">
        <f t="shared" si="14"/>
        <v>5.4084684985972541E-2</v>
      </c>
      <c r="H37" s="167">
        <f t="shared" si="11"/>
        <v>7.5983670306103895E-2</v>
      </c>
      <c r="I37" s="167">
        <f t="shared" ref="I37:L37" si="15">H37</f>
        <v>7.5983670306103895E-2</v>
      </c>
      <c r="J37" s="167">
        <f t="shared" si="15"/>
        <v>7.5983670306103895E-2</v>
      </c>
      <c r="K37" s="167">
        <f t="shared" si="15"/>
        <v>7.5983670306103895E-2</v>
      </c>
      <c r="L37" s="167">
        <f t="shared" si="15"/>
        <v>7.5983670306103895E-2</v>
      </c>
    </row>
    <row r="38" spans="1:13" hidden="1" x14ac:dyDescent="0.2">
      <c r="A38" s="40" t="s">
        <v>145</v>
      </c>
      <c r="B38" s="89">
        <f>cashflow!B29/B$2</f>
        <v>0</v>
      </c>
      <c r="C38" s="90">
        <f>cashflow!C29/C$2</f>
        <v>-0.29040618344584385</v>
      </c>
      <c r="D38" s="30">
        <f>cashflow!D29/D$2</f>
        <v>-9.7884430686947299E-2</v>
      </c>
      <c r="E38" s="30">
        <f>cashflow!E29/E$2</f>
        <v>-5.3991374399869806E-2</v>
      </c>
      <c r="F38" s="30">
        <f>cashflow!F29/F$2</f>
        <v>-0.1001078132927448</v>
      </c>
      <c r="G38" s="30">
        <f>cashflow!G29/G$2</f>
        <v>-0.12043178566783717</v>
      </c>
      <c r="H38" s="167">
        <f t="shared" si="11"/>
        <v>-9.3103851011849773E-2</v>
      </c>
      <c r="I38" s="167">
        <f t="shared" ref="I38:L38" si="16">H38</f>
        <v>-9.3103851011849773E-2</v>
      </c>
      <c r="J38" s="167">
        <f t="shared" si="16"/>
        <v>-9.3103851011849773E-2</v>
      </c>
      <c r="K38" s="167">
        <f t="shared" si="16"/>
        <v>-9.3103851011849773E-2</v>
      </c>
      <c r="L38" s="167">
        <f t="shared" si="16"/>
        <v>-9.3103851011849773E-2</v>
      </c>
    </row>
    <row r="39" spans="1:13" x14ac:dyDescent="0.2">
      <c r="A39" s="40" t="s">
        <v>147</v>
      </c>
      <c r="B39" s="89"/>
      <c r="C39" s="90"/>
      <c r="D39" s="30"/>
      <c r="E39" s="30"/>
      <c r="F39" s="30"/>
      <c r="G39" s="30"/>
      <c r="H39" s="58"/>
      <c r="I39" s="59"/>
      <c r="J39" s="59"/>
      <c r="K39" s="59"/>
      <c r="L39" s="59"/>
    </row>
    <row r="40" spans="1:13" x14ac:dyDescent="0.2">
      <c r="A40" s="40"/>
      <c r="B40" s="89"/>
      <c r="C40" s="90"/>
      <c r="D40" s="30"/>
      <c r="E40" s="30"/>
      <c r="F40" s="30"/>
      <c r="G40" s="30"/>
      <c r="H40" s="58"/>
      <c r="I40" s="59"/>
      <c r="J40" s="59"/>
      <c r="K40" s="59"/>
      <c r="L40" s="59"/>
    </row>
    <row r="41" spans="1:13" x14ac:dyDescent="0.2">
      <c r="M41" s="143" t="s">
        <v>233</v>
      </c>
    </row>
    <row r="42" spans="1:13" x14ac:dyDescent="0.2">
      <c r="A42" s="40" t="s">
        <v>135</v>
      </c>
      <c r="B42" s="89">
        <f t="shared" ref="B42:G42" si="17">B14/B$2</f>
        <v>-9.533248801594027E-2</v>
      </c>
      <c r="C42" s="90">
        <f t="shared" si="17"/>
        <v>-0.13879756446921956</v>
      </c>
      <c r="D42" s="30">
        <f t="shared" si="17"/>
        <v>-1.8082482358451512E-2</v>
      </c>
      <c r="E42" s="30">
        <f t="shared" si="17"/>
        <v>-2.8073887216209618E-3</v>
      </c>
      <c r="F42" s="30">
        <f t="shared" si="17"/>
        <v>6.3229325215626589E-2</v>
      </c>
      <c r="G42" s="30">
        <f t="shared" si="17"/>
        <v>0.12119354179440016</v>
      </c>
      <c r="H42" s="166">
        <f>AVERAGE(D42:G42)</f>
        <v>4.0883248982488567E-2</v>
      </c>
      <c r="I42" s="166">
        <f>H42</f>
        <v>4.0883248982488567E-2</v>
      </c>
      <c r="J42" s="166">
        <f t="shared" ref="J42:L42" si="18">I42</f>
        <v>4.0883248982488567E-2</v>
      </c>
      <c r="K42" s="166">
        <f t="shared" si="18"/>
        <v>4.0883248982488567E-2</v>
      </c>
      <c r="L42" s="166">
        <f t="shared" si="18"/>
        <v>4.0883248982488567E-2</v>
      </c>
      <c r="M42" s="59">
        <f t="shared" ref="M42:M45" si="19">AVERAGE(D42:L42)</f>
        <v>4.0883248982488567E-2</v>
      </c>
    </row>
    <row r="43" spans="1:13" hidden="1" x14ac:dyDescent="0.2">
      <c r="A43" s="40" t="s">
        <v>136</v>
      </c>
      <c r="B43" s="89">
        <f t="shared" ref="B43:G43" si="20">B16/B$2</f>
        <v>3.9964817806292775E-2</v>
      </c>
      <c r="C43" s="90">
        <f t="shared" si="20"/>
        <v>3.3311361045064599E-4</v>
      </c>
      <c r="D43" s="30">
        <f t="shared" si="20"/>
        <v>7.0498024627435804E-2</v>
      </c>
      <c r="E43" s="30">
        <f t="shared" si="20"/>
        <v>8.4831963544633418E-2</v>
      </c>
      <c r="F43" s="30">
        <f t="shared" si="20"/>
        <v>0.13685946220192796</v>
      </c>
      <c r="G43" s="30">
        <f t="shared" si="20"/>
        <v>0.17527822678037269</v>
      </c>
      <c r="H43" s="166">
        <f t="shared" ref="H43" si="21">AVERAGE(D43:G43)</f>
        <v>0.11686691928859247</v>
      </c>
      <c r="I43" s="166">
        <f t="shared" ref="I43:L43" si="22">H43</f>
        <v>0.11686691928859247</v>
      </c>
      <c r="J43" s="166">
        <f t="shared" si="22"/>
        <v>0.11686691928859247</v>
      </c>
      <c r="K43" s="166">
        <f t="shared" si="22"/>
        <v>0.11686691928859247</v>
      </c>
      <c r="L43" s="166">
        <f t="shared" si="22"/>
        <v>0.11686691928859247</v>
      </c>
      <c r="M43" s="59">
        <f t="shared" si="19"/>
        <v>0.11686691928859247</v>
      </c>
    </row>
    <row r="44" spans="1:13" x14ac:dyDescent="0.2">
      <c r="A44" s="40" t="s">
        <v>148</v>
      </c>
      <c r="B44" s="89">
        <f t="shared" ref="B44:G44" si="23">B20/B$2</f>
        <v>-0.10661913232493329</v>
      </c>
      <c r="C44" s="90">
        <f t="shared" si="23"/>
        <v>-0.18786280957901058</v>
      </c>
      <c r="D44" s="30">
        <f t="shared" si="23"/>
        <v>-4.6816665259480479E-2</v>
      </c>
      <c r="E44" s="30">
        <f t="shared" si="23"/>
        <v>-2.7056717389535356E-2</v>
      </c>
      <c r="F44" s="30">
        <f t="shared" si="23"/>
        <v>3.6593099949264331E-2</v>
      </c>
      <c r="G44" s="30">
        <f t="shared" si="23"/>
        <v>0.11784924660461141</v>
      </c>
      <c r="H44" s="166">
        <f>AVERAGE(D44:G44)</f>
        <v>2.0142240976214976E-2</v>
      </c>
      <c r="I44" s="166">
        <f t="shared" ref="I44:L44" si="24">H44</f>
        <v>2.0142240976214976E-2</v>
      </c>
      <c r="J44" s="166">
        <f t="shared" si="24"/>
        <v>2.0142240976214976E-2</v>
      </c>
      <c r="K44" s="166">
        <f t="shared" si="24"/>
        <v>2.0142240976214976E-2</v>
      </c>
      <c r="L44" s="166">
        <f t="shared" si="24"/>
        <v>2.0142240976214976E-2</v>
      </c>
      <c r="M44" s="59">
        <f t="shared" si="19"/>
        <v>2.0142240976214976E-2</v>
      </c>
    </row>
    <row r="45" spans="1:13" x14ac:dyDescent="0.2">
      <c r="A45" s="40" t="s">
        <v>132</v>
      </c>
      <c r="B45" s="89">
        <f t="shared" ref="B45:G45" si="25">B22/B$2</f>
        <v>-0.11043306040514664</v>
      </c>
      <c r="C45" s="90">
        <f t="shared" si="25"/>
        <v>-0.19054557750223641</v>
      </c>
      <c r="D45" s="30">
        <f t="shared" si="25"/>
        <v>-4.951161320011474E-2</v>
      </c>
      <c r="E45" s="30">
        <f t="shared" si="25"/>
        <v>-3.1532264626902111E-2</v>
      </c>
      <c r="F45" s="30">
        <f t="shared" si="25"/>
        <v>2.7333840690005072E-2</v>
      </c>
      <c r="G45" s="30">
        <f t="shared" si="25"/>
        <v>0.10486223361759843</v>
      </c>
      <c r="H45" s="166">
        <f>AVERAGE(D45:G45)</f>
        <v>1.2788049120146661E-2</v>
      </c>
      <c r="I45" s="166">
        <f t="shared" ref="I45:L45" si="26">H45</f>
        <v>1.2788049120146661E-2</v>
      </c>
      <c r="J45" s="166">
        <f t="shared" si="26"/>
        <v>1.2788049120146661E-2</v>
      </c>
      <c r="K45" s="166">
        <f t="shared" si="26"/>
        <v>1.2788049120146661E-2</v>
      </c>
      <c r="L45" s="166">
        <f t="shared" si="26"/>
        <v>1.2788049120146661E-2</v>
      </c>
      <c r="M45" s="59">
        <f t="shared" si="19"/>
        <v>1.2788049120146663E-2</v>
      </c>
    </row>
    <row r="46" spans="1:13" x14ac:dyDescent="0.2">
      <c r="A46" s="40"/>
      <c r="B46" s="89"/>
      <c r="C46" s="90"/>
      <c r="D46" s="30"/>
      <c r="E46" s="30"/>
      <c r="F46" s="30"/>
      <c r="G46" s="30"/>
      <c r="H46" s="166"/>
      <c r="I46" s="166"/>
      <c r="J46" s="166"/>
      <c r="K46" s="166"/>
      <c r="L46" s="166"/>
    </row>
    <row r="47" spans="1:13" x14ac:dyDescent="0.2">
      <c r="A47" s="41" t="s">
        <v>162</v>
      </c>
      <c r="B47" s="89"/>
      <c r="C47" s="90"/>
      <c r="D47" s="30"/>
      <c r="E47" s="30"/>
      <c r="F47" s="30"/>
      <c r="G47" s="30"/>
      <c r="H47" s="46"/>
      <c r="I47" s="46"/>
      <c r="J47" s="59"/>
      <c r="K47" s="59"/>
      <c r="L47" s="46"/>
      <c r="M47" s="143"/>
    </row>
    <row r="48" spans="1:13" x14ac:dyDescent="0.2">
      <c r="A48" s="102" t="s">
        <v>149</v>
      </c>
      <c r="B48" s="89"/>
      <c r="C48" s="90"/>
      <c r="D48" s="30">
        <f t="shared" ref="D48:L48" si="27">D2/C2-1</f>
        <v>0.82513159773516764</v>
      </c>
      <c r="E48" s="30">
        <f t="shared" si="27"/>
        <v>0.14522590184326489</v>
      </c>
      <c r="F48" s="30">
        <f t="shared" si="27"/>
        <v>0.28309870615998056</v>
      </c>
      <c r="G48" s="30">
        <f t="shared" si="27"/>
        <v>0.70671613394216126</v>
      </c>
      <c r="H48" s="30">
        <f t="shared" si="27"/>
        <v>0.79236867392152521</v>
      </c>
      <c r="I48" s="30">
        <f t="shared" si="27"/>
        <v>0.27517761512650885</v>
      </c>
      <c r="J48" s="30">
        <f>J2/I2-1</f>
        <v>0.2004244959884609</v>
      </c>
      <c r="K48" s="30">
        <f t="shared" si="27"/>
        <v>-4.2405628382630178E-2</v>
      </c>
      <c r="L48" s="30">
        <f t="shared" si="27"/>
        <v>0.31792558305442653</v>
      </c>
      <c r="M48" s="59">
        <f>AVERAGE(D48:L48)</f>
        <v>0.38929589770987405</v>
      </c>
    </row>
    <row r="49" spans="1:13" x14ac:dyDescent="0.2">
      <c r="A49" s="102" t="s">
        <v>231</v>
      </c>
      <c r="B49" s="89"/>
      <c r="C49" s="90"/>
      <c r="D49" s="30">
        <f t="shared" ref="D49:L49" si="28">D8/C8-1</f>
        <v>0.82663221152434541</v>
      </c>
      <c r="E49" s="30">
        <f t="shared" si="28"/>
        <v>0.17737580734689629</v>
      </c>
      <c r="F49" s="30">
        <f t="shared" si="28"/>
        <v>0.21439368082305332</v>
      </c>
      <c r="G49" s="30">
        <f t="shared" si="28"/>
        <v>0.61475146551031878</v>
      </c>
      <c r="H49" s="30">
        <f t="shared" si="28"/>
        <v>0.90885448282211878</v>
      </c>
      <c r="I49" s="30">
        <f t="shared" si="28"/>
        <v>0.27517761512650862</v>
      </c>
      <c r="J49" s="30">
        <f t="shared" si="28"/>
        <v>0.2004244959884609</v>
      </c>
      <c r="K49" s="30">
        <f t="shared" si="28"/>
        <v>-4.2405628382630178E-2</v>
      </c>
      <c r="L49" s="30">
        <f t="shared" si="28"/>
        <v>0.31792558305442653</v>
      </c>
      <c r="M49" s="59">
        <f t="shared" ref="M49:M55" si="29">AVERAGE(D49:L49)</f>
        <v>0.38812552375705539</v>
      </c>
    </row>
    <row r="50" spans="1:13" x14ac:dyDescent="0.2">
      <c r="A50" s="40" t="s">
        <v>134</v>
      </c>
      <c r="B50" s="89"/>
      <c r="C50" s="90">
        <f>C9/B9-1</f>
        <v>0.38969971680599169</v>
      </c>
      <c r="D50" s="30">
        <f t="shared" ref="D50:L50" si="30">D9/C9-1</f>
        <v>0.81869275275850861</v>
      </c>
      <c r="E50" s="30">
        <f t="shared" si="30"/>
        <v>6.6746313292287418E-3</v>
      </c>
      <c r="F50" s="30">
        <f t="shared" si="30"/>
        <v>0.62939297124600646</v>
      </c>
      <c r="G50" s="30">
        <f t="shared" si="30"/>
        <v>1.0521870286576167</v>
      </c>
      <c r="H50" s="144">
        <f t="shared" si="30"/>
        <v>0.44805662213884334</v>
      </c>
      <c r="I50" s="144">
        <f t="shared" si="30"/>
        <v>0.27517761512650885</v>
      </c>
      <c r="J50" s="144">
        <f t="shared" si="30"/>
        <v>0.2004244959884609</v>
      </c>
      <c r="K50" s="144">
        <f t="shared" si="30"/>
        <v>-4.2405628382630178E-2</v>
      </c>
      <c r="L50" s="144">
        <f t="shared" si="30"/>
        <v>0.31792558305442653</v>
      </c>
      <c r="M50" s="59">
        <f t="shared" si="29"/>
        <v>0.41179178576855224</v>
      </c>
    </row>
    <row r="51" spans="1:13" x14ac:dyDescent="0.2">
      <c r="A51" s="40" t="s">
        <v>232</v>
      </c>
      <c r="B51" s="89"/>
      <c r="C51" s="90"/>
      <c r="D51" s="30"/>
      <c r="E51" s="30"/>
      <c r="F51" s="30"/>
      <c r="G51" s="30"/>
      <c r="H51" s="144"/>
      <c r="I51" s="144"/>
      <c r="J51" s="144"/>
      <c r="K51" s="144"/>
      <c r="L51" s="144"/>
      <c r="M51" s="59"/>
    </row>
    <row r="52" spans="1:13" x14ac:dyDescent="0.2">
      <c r="A52" s="40" t="s">
        <v>135</v>
      </c>
      <c r="B52" s="89"/>
      <c r="C52" s="90">
        <f>(C14-B14)/-B14</f>
        <v>-1.4456588845266281</v>
      </c>
      <c r="D52" s="30">
        <f>(D14-C14)/-C14</f>
        <v>0.76222270149979832</v>
      </c>
      <c r="E52" s="30">
        <f>(E14-D14)/-D14</f>
        <v>0.82219840081634121</v>
      </c>
      <c r="F52" s="60">
        <f>(F14-E14)/-E14</f>
        <v>29.89855072463768</v>
      </c>
      <c r="G52" s="30">
        <f>G14/F14-1</f>
        <v>2.2713139418254764</v>
      </c>
      <c r="H52" s="144">
        <f t="shared" ref="H52:I52" si="31">H14/G14-1</f>
        <v>-0.35150752313628131</v>
      </c>
      <c r="I52" s="144">
        <f t="shared" si="31"/>
        <v>0.27517761512650951</v>
      </c>
      <c r="J52" s="144">
        <f>J14/I14-1</f>
        <v>0.20042449598846068</v>
      </c>
      <c r="K52" s="144">
        <f>K14/J14-1</f>
        <v>-4.24056283826304E-2</v>
      </c>
      <c r="L52" s="144">
        <f>L14/K14-1</f>
        <v>0.3179255830544272</v>
      </c>
      <c r="M52" s="59">
        <f t="shared" si="29"/>
        <v>3.794877812381086</v>
      </c>
    </row>
    <row r="53" spans="1:13" x14ac:dyDescent="0.2">
      <c r="A53" s="40" t="s">
        <v>136</v>
      </c>
      <c r="B53" s="89"/>
      <c r="C53" s="90">
        <f t="shared" ref="C53:L53" si="32">C16/B16-1</f>
        <v>-0.98599866313505502</v>
      </c>
      <c r="D53" s="60">
        <f t="shared" si="32"/>
        <v>385.25912688280425</v>
      </c>
      <c r="E53" s="30">
        <f t="shared" si="32"/>
        <v>0.3780777896821963</v>
      </c>
      <c r="F53" s="30">
        <f t="shared" si="32"/>
        <v>1.0700239808153476</v>
      </c>
      <c r="G53" s="30">
        <f t="shared" si="32"/>
        <v>1.1858202038924932</v>
      </c>
      <c r="H53" s="144">
        <f t="shared" si="32"/>
        <v>0.22538808401746135</v>
      </c>
      <c r="I53" s="144">
        <f t="shared" si="32"/>
        <v>0.27517761512650907</v>
      </c>
      <c r="J53" s="144">
        <f t="shared" si="32"/>
        <v>0.2004244959884609</v>
      </c>
      <c r="K53" s="144">
        <f t="shared" si="32"/>
        <v>-4.2405628382630178E-2</v>
      </c>
      <c r="L53" s="144">
        <f t="shared" si="32"/>
        <v>0.31792558305442675</v>
      </c>
      <c r="M53" s="59">
        <f t="shared" si="29"/>
        <v>43.207728778555385</v>
      </c>
    </row>
    <row r="54" spans="1:13" x14ac:dyDescent="0.2">
      <c r="A54" s="40" t="s">
        <v>230</v>
      </c>
      <c r="B54" s="89"/>
      <c r="C54" s="90">
        <f>C20/B20-1</f>
        <v>1.9597881953190739</v>
      </c>
      <c r="D54" s="30">
        <f>(D20-C20)/-C20</f>
        <v>0.54516503156133544</v>
      </c>
      <c r="E54" s="30">
        <f>(E20-D20)/-D20</f>
        <v>0.33814052321733384</v>
      </c>
      <c r="F54" s="30">
        <f>(F20-E20)/-E20</f>
        <v>2.7353383458646618</v>
      </c>
      <c r="G54" s="30">
        <f>G20/F20-1</f>
        <v>4.4965337954939342</v>
      </c>
      <c r="H54" s="144">
        <f>H20/G20-1</f>
        <v>-0.33310477272867145</v>
      </c>
      <c r="I54" s="144">
        <f t="shared" ref="I54:L54" si="33">I20/H20-1</f>
        <v>0.27517761512650951</v>
      </c>
      <c r="J54" s="144">
        <f t="shared" si="33"/>
        <v>0.20042449598846068</v>
      </c>
      <c r="K54" s="144">
        <f t="shared" si="33"/>
        <v>-4.24056283826304E-2</v>
      </c>
      <c r="L54" s="144">
        <f t="shared" si="33"/>
        <v>0.3179255830544272</v>
      </c>
      <c r="M54" s="59">
        <f t="shared" si="29"/>
        <v>0.94813277657726247</v>
      </c>
    </row>
    <row r="55" spans="1:13" x14ac:dyDescent="0.2">
      <c r="A55" s="40" t="s">
        <v>132</v>
      </c>
      <c r="B55" s="89"/>
      <c r="C55" s="90">
        <f>C22/B22-1</f>
        <v>1.8983760345438689</v>
      </c>
      <c r="D55" s="30">
        <f>(D22-C22)/-C22</f>
        <v>0.5257554077563914</v>
      </c>
      <c r="E55" s="30">
        <f>(E22-D22)/-D22</f>
        <v>0.2706445243755306</v>
      </c>
      <c r="F55" s="30">
        <f>(F22-E22)/-E22</f>
        <v>2.1122580645161291</v>
      </c>
      <c r="G55" s="30">
        <f>G22/F22-1</f>
        <v>5.5475638051044083</v>
      </c>
      <c r="H55" s="144">
        <f>H22/G22-1</f>
        <v>-0.36035051120511219</v>
      </c>
      <c r="I55" s="144">
        <f t="shared" ref="I55:L55" si="34">I22/H22-1</f>
        <v>0.27517761512650951</v>
      </c>
      <c r="J55" s="144">
        <f t="shared" si="34"/>
        <v>0.2004244959884609</v>
      </c>
      <c r="K55" s="144">
        <f t="shared" si="34"/>
        <v>-4.24056283826304E-2</v>
      </c>
      <c r="L55" s="144">
        <f t="shared" si="34"/>
        <v>0.3179255830544272</v>
      </c>
      <c r="M55" s="59">
        <f t="shared" si="29"/>
        <v>0.98299926181490149</v>
      </c>
    </row>
    <row r="56" spans="1:13" x14ac:dyDescent="0.2">
      <c r="A56" s="9"/>
      <c r="B56" s="74"/>
      <c r="C56" s="75"/>
      <c r="D56" s="6"/>
      <c r="E56" s="6"/>
      <c r="F56" s="6"/>
      <c r="G56" s="6"/>
      <c r="H56" s="13"/>
      <c r="I56" s="13"/>
      <c r="J56" s="13"/>
      <c r="K56" s="13"/>
      <c r="L56" s="13"/>
    </row>
    <row r="57" spans="1:13" x14ac:dyDescent="0.2">
      <c r="A57" s="9"/>
      <c r="B57" s="9"/>
      <c r="C57" s="9"/>
    </row>
    <row r="58" spans="1:13" x14ac:dyDescent="0.2">
      <c r="A58" s="9"/>
      <c r="B58" s="9"/>
      <c r="C58" s="9"/>
    </row>
    <row r="59" spans="1:13" x14ac:dyDescent="0.2">
      <c r="A59" s="9"/>
      <c r="B59" s="9"/>
      <c r="C59" s="9"/>
    </row>
    <row r="60" spans="1:13" x14ac:dyDescent="0.2">
      <c r="A60" s="9"/>
      <c r="B60" s="9"/>
      <c r="C60" s="9"/>
    </row>
    <row r="61" spans="1:13" x14ac:dyDescent="0.2">
      <c r="B61" s="83"/>
      <c r="C61" s="84"/>
      <c r="D61" s="13"/>
      <c r="E61" s="13"/>
      <c r="F61" s="13"/>
      <c r="G61" s="13"/>
      <c r="H61" s="13"/>
      <c r="I61" s="13"/>
      <c r="J61" s="13"/>
      <c r="K61" s="13"/>
      <c r="L61" s="13"/>
    </row>
    <row r="62" spans="1:13" x14ac:dyDescent="0.2">
      <c r="B62" s="83"/>
      <c r="C62" s="84"/>
      <c r="D62" s="13"/>
      <c r="E62" s="13"/>
      <c r="F62" s="13"/>
      <c r="G62" s="13"/>
      <c r="H62" s="13"/>
      <c r="I62" s="13"/>
      <c r="J62" s="13"/>
      <c r="K62" s="13"/>
      <c r="L62" s="13"/>
    </row>
    <row r="63" spans="1:13" x14ac:dyDescent="0.2">
      <c r="B63" s="83"/>
      <c r="C63" s="84"/>
      <c r="D63" s="13"/>
      <c r="E63" s="13"/>
      <c r="F63" s="13"/>
      <c r="G63" s="13"/>
      <c r="H63" s="13"/>
      <c r="I63" s="13"/>
      <c r="J63" s="13"/>
      <c r="K63" s="13"/>
      <c r="L63" s="13"/>
    </row>
    <row r="64" spans="1:13" ht="16" customHeight="1" x14ac:dyDescent="0.2">
      <c r="B64" s="83"/>
      <c r="C64" s="84"/>
      <c r="D64" s="13"/>
      <c r="E64" s="13"/>
      <c r="F64" s="13"/>
      <c r="G64" s="13"/>
      <c r="H64" s="13"/>
      <c r="I64" s="13"/>
      <c r="J64" s="13"/>
      <c r="K64" s="13"/>
      <c r="L64" s="13"/>
    </row>
    <row r="65" spans="1:12" x14ac:dyDescent="0.2">
      <c r="B65" s="83"/>
      <c r="C65" s="84"/>
      <c r="D65" s="13"/>
      <c r="E65" s="13"/>
      <c r="F65" s="13"/>
      <c r="G65" s="13"/>
      <c r="H65" s="13"/>
      <c r="I65" s="13"/>
      <c r="J65" s="13"/>
      <c r="K65" s="13"/>
      <c r="L65" s="13"/>
    </row>
    <row r="66" spans="1:12" x14ac:dyDescent="0.2">
      <c r="B66" s="83"/>
      <c r="C66" s="84"/>
      <c r="D66" s="13"/>
      <c r="E66" s="13"/>
      <c r="F66" s="13"/>
      <c r="G66" s="13"/>
      <c r="H66" s="13"/>
      <c r="I66" s="13"/>
      <c r="J66" s="13"/>
      <c r="K66" s="13"/>
      <c r="L66" s="13"/>
    </row>
    <row r="67" spans="1:12" x14ac:dyDescent="0.2">
      <c r="B67" s="83"/>
      <c r="C67" s="84"/>
      <c r="D67" s="13"/>
      <c r="E67" s="13"/>
      <c r="F67" s="13"/>
      <c r="G67" s="13"/>
      <c r="H67" s="13"/>
      <c r="I67" s="13"/>
      <c r="J67" s="13"/>
      <c r="K67" s="13"/>
      <c r="L67" s="13"/>
    </row>
    <row r="68" spans="1:12" x14ac:dyDescent="0.2">
      <c r="B68" s="83"/>
      <c r="C68" s="84"/>
      <c r="D68" s="13"/>
      <c r="E68" s="13"/>
      <c r="F68" s="13"/>
      <c r="G68" s="13"/>
      <c r="H68" s="13"/>
      <c r="I68" s="13"/>
      <c r="J68" s="13"/>
      <c r="K68" s="13"/>
      <c r="L68" s="13"/>
    </row>
    <row r="69" spans="1:12" x14ac:dyDescent="0.2">
      <c r="B69" s="83"/>
      <c r="C69" s="84"/>
      <c r="D69" s="13"/>
      <c r="E69" s="13"/>
      <c r="F69" s="13"/>
      <c r="G69" s="13"/>
      <c r="H69" s="13"/>
      <c r="I69" s="13"/>
      <c r="J69" s="13"/>
      <c r="K69" s="13"/>
      <c r="L69" s="13"/>
    </row>
    <row r="70" spans="1:12" x14ac:dyDescent="0.2">
      <c r="B70" s="83"/>
      <c r="C70" s="84"/>
      <c r="D70" s="13"/>
      <c r="E70" s="13"/>
      <c r="F70" s="13"/>
      <c r="G70" s="13"/>
      <c r="H70" s="13"/>
      <c r="I70" s="13"/>
      <c r="J70" s="13"/>
      <c r="K70" s="13"/>
      <c r="L70" s="13"/>
    </row>
    <row r="71" spans="1:12" x14ac:dyDescent="0.2">
      <c r="B71" s="83"/>
      <c r="C71" s="84"/>
      <c r="D71" s="13"/>
      <c r="E71" s="13"/>
      <c r="F71" s="13"/>
      <c r="G71" s="13"/>
      <c r="H71" s="13"/>
      <c r="I71" s="13"/>
      <c r="J71" s="13"/>
      <c r="K71" s="13"/>
      <c r="L71" s="13"/>
    </row>
    <row r="72" spans="1:12" x14ac:dyDescent="0.2">
      <c r="B72" s="83"/>
      <c r="C72" s="84"/>
      <c r="D72" s="13"/>
      <c r="E72" s="13"/>
      <c r="F72" s="13"/>
      <c r="G72" s="13"/>
      <c r="H72" s="13"/>
      <c r="I72" s="13"/>
      <c r="J72" s="13"/>
      <c r="K72" s="13"/>
      <c r="L72" s="13"/>
    </row>
    <row r="73" spans="1:12" x14ac:dyDescent="0.2">
      <c r="B73" s="83"/>
      <c r="C73" s="84"/>
      <c r="D73" s="13"/>
      <c r="E73" s="13"/>
      <c r="F73" s="13"/>
      <c r="G73" s="13"/>
      <c r="H73" s="13"/>
      <c r="I73" s="13"/>
      <c r="J73" s="13"/>
      <c r="K73" s="13"/>
      <c r="L73" s="13"/>
    </row>
    <row r="74" spans="1:12" x14ac:dyDescent="0.2">
      <c r="B74" s="83"/>
      <c r="C74" s="84"/>
      <c r="D74" s="13"/>
      <c r="E74" s="13"/>
      <c r="F74" s="13"/>
      <c r="G74" s="13"/>
      <c r="H74" s="13"/>
      <c r="I74" s="13"/>
      <c r="J74" s="13"/>
      <c r="K74" s="13"/>
      <c r="L74" s="13"/>
    </row>
    <row r="75" spans="1:12" x14ac:dyDescent="0.2">
      <c r="B75" s="83"/>
      <c r="C75" s="84"/>
      <c r="D75" s="13"/>
      <c r="E75" s="13"/>
      <c r="F75" s="13"/>
      <c r="G75" s="13"/>
      <c r="H75" s="13"/>
      <c r="I75" s="13"/>
      <c r="J75" s="13"/>
      <c r="K75" s="13"/>
      <c r="L75" s="13"/>
    </row>
    <row r="76" spans="1:12" x14ac:dyDescent="0.2">
      <c r="B76" s="83"/>
      <c r="C76" s="84"/>
      <c r="D76" s="13"/>
      <c r="E76" s="13"/>
      <c r="F76" s="13"/>
      <c r="G76" s="13"/>
      <c r="H76" s="13"/>
      <c r="I76" s="13"/>
      <c r="J76" s="13"/>
      <c r="K76" s="13"/>
      <c r="L76" s="13"/>
    </row>
    <row r="77" spans="1:12" x14ac:dyDescent="0.2">
      <c r="J77" s="140"/>
      <c r="K77" s="140"/>
      <c r="L77" s="140"/>
    </row>
    <row r="78" spans="1:12" x14ac:dyDescent="0.2">
      <c r="J78" s="140"/>
      <c r="K78" s="140"/>
      <c r="L78" s="140"/>
    </row>
    <row r="79" spans="1:12" x14ac:dyDescent="0.2">
      <c r="A79" s="15"/>
      <c r="J79" s="140"/>
      <c r="K79" s="140"/>
      <c r="L79" s="140"/>
    </row>
    <row r="80" spans="1:12" x14ac:dyDescent="0.2">
      <c r="B80" s="12"/>
      <c r="C80" s="69"/>
      <c r="D80" s="8"/>
      <c r="E80" s="8"/>
      <c r="F80" s="8"/>
      <c r="G80" s="8"/>
      <c r="J80" s="140"/>
      <c r="K80" s="140"/>
      <c r="L80" s="140"/>
    </row>
    <row r="81" spans="1:12" x14ac:dyDescent="0.2">
      <c r="A81" s="34" t="s">
        <v>113</v>
      </c>
      <c r="J81" s="140"/>
      <c r="K81" s="140"/>
      <c r="L81" s="140"/>
    </row>
    <row r="82" spans="1:12" x14ac:dyDescent="0.2">
      <c r="A82" s="34" t="s">
        <v>112</v>
      </c>
      <c r="B82" s="12">
        <v>-981.32</v>
      </c>
      <c r="C82" s="69">
        <v>-2791.78</v>
      </c>
      <c r="D82" s="12">
        <v>-864.91</v>
      </c>
      <c r="E82" s="12"/>
      <c r="F82" s="12"/>
      <c r="G82" s="12"/>
      <c r="H82" s="11"/>
      <c r="I82" s="11"/>
      <c r="J82" s="140"/>
      <c r="K82" s="140"/>
      <c r="L82" s="140"/>
    </row>
    <row r="83" spans="1:12" x14ac:dyDescent="0.2">
      <c r="A83" s="34" t="s">
        <v>111</v>
      </c>
      <c r="B83" s="12"/>
      <c r="C83" s="69"/>
      <c r="D83" s="12"/>
      <c r="E83" s="12">
        <v>87</v>
      </c>
      <c r="F83" s="12">
        <v>141</v>
      </c>
      <c r="G83" s="12">
        <v>125</v>
      </c>
      <c r="H83" s="11"/>
      <c r="I83" s="11"/>
      <c r="J83" s="140"/>
      <c r="K83" s="140"/>
      <c r="L83" s="140"/>
    </row>
    <row r="84" spans="1:12" x14ac:dyDescent="0.2">
      <c r="A84" s="34"/>
      <c r="B84" s="12">
        <v>-6749.14</v>
      </c>
      <c r="C84" s="69">
        <v>-19614</v>
      </c>
      <c r="D84" s="12">
        <v>-9760.91</v>
      </c>
      <c r="E84" s="12">
        <v>-862</v>
      </c>
      <c r="F84" s="12">
        <v>721</v>
      </c>
      <c r="G84" s="12">
        <v>5519</v>
      </c>
      <c r="H84" s="11"/>
      <c r="I84" s="11"/>
      <c r="J84" s="140"/>
      <c r="K84" s="140"/>
      <c r="L84" s="140"/>
    </row>
    <row r="85" spans="1:12" x14ac:dyDescent="0.2">
      <c r="A85" s="34" t="s">
        <v>110</v>
      </c>
      <c r="B85" s="12"/>
      <c r="C85" s="69"/>
      <c r="D85" s="12"/>
      <c r="E85" s="12"/>
      <c r="F85" s="12"/>
      <c r="G85" s="12"/>
      <c r="H85" s="11"/>
      <c r="I85" s="11"/>
      <c r="J85" s="140"/>
      <c r="K85" s="140"/>
      <c r="L85" s="140"/>
    </row>
    <row r="86" spans="1:12" x14ac:dyDescent="0.2">
      <c r="A86" s="34" t="s">
        <v>109</v>
      </c>
      <c r="B86" s="12"/>
      <c r="C86" s="69"/>
      <c r="D86" s="12"/>
      <c r="E86" s="12"/>
      <c r="F86" s="12"/>
      <c r="G86" s="12"/>
      <c r="H86" s="11"/>
      <c r="I86" s="11"/>
    </row>
    <row r="87" spans="1:12" x14ac:dyDescent="0.2">
      <c r="A87" s="34" t="s">
        <v>137</v>
      </c>
      <c r="B87" s="12"/>
      <c r="C87" s="69"/>
      <c r="D87" s="12"/>
      <c r="E87" s="12"/>
      <c r="F87" s="12"/>
      <c r="G87" s="12"/>
      <c r="H87" s="11"/>
      <c r="I87" s="11"/>
    </row>
    <row r="88" spans="1:12" x14ac:dyDescent="0.2">
      <c r="A88" s="34" t="s">
        <v>138</v>
      </c>
      <c r="B88" s="24">
        <v>-4.8600000000000003</v>
      </c>
      <c r="C88" s="70">
        <v>-11.8</v>
      </c>
      <c r="D88" s="24">
        <v>-5.72</v>
      </c>
      <c r="E88" s="24">
        <v>-0.98</v>
      </c>
      <c r="F88" s="24">
        <v>0.74</v>
      </c>
      <c r="G88" s="24">
        <v>5.6</v>
      </c>
      <c r="H88" s="11"/>
      <c r="I88" s="11"/>
    </row>
    <row r="89" spans="1:12" x14ac:dyDescent="0.2">
      <c r="A89" s="34" t="s">
        <v>108</v>
      </c>
      <c r="B89" s="24">
        <v>-4.8600000000000003</v>
      </c>
      <c r="C89" s="70">
        <v>-11.8</v>
      </c>
      <c r="D89" s="24">
        <v>-5.72</v>
      </c>
      <c r="E89" s="24">
        <v>-0.98</v>
      </c>
      <c r="F89" s="24">
        <v>0.64</v>
      </c>
      <c r="G89" s="24">
        <v>4.9000000000000004</v>
      </c>
      <c r="H89" s="11"/>
      <c r="I89" s="11"/>
    </row>
    <row r="90" spans="1:12" x14ac:dyDescent="0.2">
      <c r="A90" s="34" t="s">
        <v>107</v>
      </c>
      <c r="B90" s="12"/>
      <c r="C90" s="69"/>
      <c r="D90" s="12"/>
      <c r="E90" s="12"/>
      <c r="F90" s="12"/>
      <c r="G90" s="12"/>
      <c r="H90" s="11"/>
      <c r="I90" s="11"/>
    </row>
    <row r="91" spans="1:12" x14ac:dyDescent="0.2">
      <c r="A91" s="34" t="s">
        <v>106</v>
      </c>
      <c r="B91" s="12"/>
      <c r="C91" s="69"/>
      <c r="D91" s="12"/>
      <c r="E91" s="12"/>
      <c r="F91" s="12"/>
      <c r="G91" s="12"/>
      <c r="H91" s="11"/>
      <c r="I91" s="11"/>
    </row>
    <row r="92" spans="1:12" x14ac:dyDescent="0.2">
      <c r="A92" s="34" t="s">
        <v>105</v>
      </c>
      <c r="B92" s="12">
        <v>1442.12</v>
      </c>
      <c r="C92" s="69">
        <v>1657.58</v>
      </c>
      <c r="D92" s="12">
        <v>1705.25</v>
      </c>
      <c r="E92" s="12">
        <v>887</v>
      </c>
      <c r="F92" s="12">
        <v>933</v>
      </c>
      <c r="G92" s="12">
        <v>986</v>
      </c>
      <c r="H92" s="11"/>
      <c r="I92" s="11"/>
    </row>
    <row r="93" spans="1:12" x14ac:dyDescent="0.2">
      <c r="A93" s="34" t="s">
        <v>94</v>
      </c>
      <c r="B93" s="12">
        <v>1442.12</v>
      </c>
      <c r="C93" s="69">
        <v>1657.58</v>
      </c>
      <c r="D93" s="12">
        <v>1705.25</v>
      </c>
      <c r="E93" s="12">
        <v>887</v>
      </c>
      <c r="F93" s="12">
        <v>1083</v>
      </c>
      <c r="G93" s="12">
        <v>1129</v>
      </c>
      <c r="H93" s="11"/>
      <c r="I93" s="11"/>
    </row>
    <row r="94" spans="1:12" x14ac:dyDescent="0.2">
      <c r="A94" s="34" t="s">
        <v>104</v>
      </c>
      <c r="B94" s="12">
        <v>-6749.14</v>
      </c>
      <c r="C94" s="69">
        <v>-19614</v>
      </c>
      <c r="D94" s="12">
        <v>-9760.91</v>
      </c>
      <c r="E94" s="12">
        <v>-775</v>
      </c>
      <c r="F94" s="12">
        <v>862</v>
      </c>
      <c r="G94" s="12">
        <v>5644</v>
      </c>
      <c r="H94" s="11"/>
      <c r="I94" s="11"/>
    </row>
    <row r="95" spans="1:12" x14ac:dyDescent="0.2">
      <c r="A95" s="34" t="s">
        <v>103</v>
      </c>
      <c r="B95" s="12">
        <v>0</v>
      </c>
      <c r="C95" s="69">
        <v>0</v>
      </c>
      <c r="D95" s="12">
        <v>0</v>
      </c>
      <c r="E95" s="12"/>
      <c r="F95" s="12"/>
      <c r="G95" s="12"/>
      <c r="H95" s="11"/>
      <c r="I95" s="11"/>
    </row>
    <row r="96" spans="1:12" x14ac:dyDescent="0.2">
      <c r="A96" s="34" t="s">
        <v>102</v>
      </c>
      <c r="B96" s="12">
        <v>-185</v>
      </c>
      <c r="C96" s="69">
        <v>626.58000000000004</v>
      </c>
      <c r="D96" s="12">
        <v>-415.66</v>
      </c>
      <c r="E96" s="12">
        <v>-28</v>
      </c>
      <c r="F96" s="12">
        <v>399</v>
      </c>
      <c r="G96" s="12">
        <v>-308</v>
      </c>
      <c r="H96" s="11"/>
      <c r="I96" s="11"/>
    </row>
    <row r="97" spans="1:9" x14ac:dyDescent="0.2">
      <c r="A97" s="34" t="s">
        <v>101</v>
      </c>
      <c r="B97" s="12"/>
      <c r="C97" s="69"/>
      <c r="D97" s="12"/>
      <c r="E97" s="12"/>
      <c r="F97" s="12"/>
      <c r="G97" s="12">
        <v>-1</v>
      </c>
      <c r="H97" s="11"/>
      <c r="I97" s="11"/>
    </row>
    <row r="98" spans="1:9" x14ac:dyDescent="0.2">
      <c r="A98" s="34" t="s">
        <v>100</v>
      </c>
      <c r="B98" s="12">
        <v>-16.84</v>
      </c>
      <c r="C98" s="69">
        <v>-55.7</v>
      </c>
      <c r="D98" s="12"/>
      <c r="E98" s="12">
        <v>-803</v>
      </c>
      <c r="F98" s="12">
        <v>1261</v>
      </c>
      <c r="G98" s="12">
        <v>5335</v>
      </c>
      <c r="H98" s="11"/>
      <c r="I98" s="11"/>
    </row>
    <row r="99" spans="1:9" x14ac:dyDescent="0.2">
      <c r="A99" s="34" t="s">
        <v>99</v>
      </c>
      <c r="B99" s="12"/>
      <c r="C99" s="69"/>
      <c r="D99" s="12"/>
      <c r="E99" s="12"/>
      <c r="F99" s="12"/>
      <c r="G99" s="12"/>
      <c r="H99" s="11"/>
      <c r="I99" s="11"/>
    </row>
    <row r="100" spans="1:9" x14ac:dyDescent="0.2">
      <c r="A100" s="34" t="s">
        <v>98</v>
      </c>
      <c r="B100" s="12"/>
      <c r="C100" s="69"/>
      <c r="D100" s="12"/>
      <c r="E100" s="12"/>
      <c r="F100" s="12"/>
      <c r="G100" s="12"/>
      <c r="H100" s="11"/>
      <c r="I100" s="11"/>
    </row>
    <row r="101" spans="1:9" x14ac:dyDescent="0.2">
      <c r="A101" s="34" t="s">
        <v>97</v>
      </c>
      <c r="B101" s="12"/>
      <c r="C101" s="69"/>
      <c r="D101" s="12"/>
      <c r="E101" s="12">
        <v>87</v>
      </c>
      <c r="F101" s="12">
        <v>141</v>
      </c>
      <c r="G101" s="12">
        <v>125</v>
      </c>
      <c r="H101" s="11"/>
      <c r="I101" s="11"/>
    </row>
    <row r="102" spans="1:9" x14ac:dyDescent="0.2">
      <c r="A102" s="34" t="s">
        <v>96</v>
      </c>
      <c r="B102" s="12"/>
      <c r="C102" s="69"/>
      <c r="D102" s="12"/>
      <c r="E102" s="12"/>
      <c r="F102" s="12"/>
      <c r="G102" s="12"/>
      <c r="H102" s="11"/>
      <c r="I102" s="11"/>
    </row>
    <row r="103" spans="1:9" x14ac:dyDescent="0.2">
      <c r="A103" s="34"/>
      <c r="B103" s="12">
        <v>-6950.98</v>
      </c>
      <c r="C103" s="69">
        <v>-19043.12</v>
      </c>
      <c r="D103" s="12">
        <v>-10176.57</v>
      </c>
      <c r="E103" s="12">
        <v>-890</v>
      </c>
      <c r="F103" s="12">
        <v>1120</v>
      </c>
      <c r="G103" s="12">
        <v>5210</v>
      </c>
      <c r="H103" s="11"/>
      <c r="I103" s="11"/>
    </row>
    <row r="104" spans="1:9" x14ac:dyDescent="0.2">
      <c r="A104" s="34"/>
      <c r="D104" s="11"/>
      <c r="E104" s="11"/>
      <c r="F104" s="11"/>
      <c r="G104" s="11"/>
      <c r="H104" s="11"/>
      <c r="I104" s="11"/>
    </row>
    <row r="105" spans="1:9" x14ac:dyDescent="0.2">
      <c r="D105" s="11"/>
      <c r="E105" s="11"/>
      <c r="F105" s="11"/>
      <c r="G105" s="11"/>
      <c r="H105" s="11"/>
      <c r="I105" s="11"/>
    </row>
  </sheetData>
  <pageMargins left="0.7" right="0.7" top="0.75" bottom="0.75" header="0.3" footer="0.3"/>
  <pageSetup orientation="portrait" horizontalDpi="0" verticalDpi="0"/>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7"/>
  <sheetViews>
    <sheetView zoomScale="140" zoomScaleNormal="140" workbookViewId="0">
      <selection activeCell="E50" sqref="E50"/>
    </sheetView>
  </sheetViews>
  <sheetFormatPr baseColWidth="10" defaultColWidth="8.83203125" defaultRowHeight="15" x14ac:dyDescent="0.2"/>
  <cols>
    <col min="1" max="1" width="51.1640625" style="16" customWidth="1"/>
    <col min="2" max="2" width="12" style="1" hidden="1" customWidth="1"/>
    <col min="3" max="3" width="9.83203125" style="68" hidden="1" customWidth="1"/>
    <col min="4" max="7" width="12" style="1" customWidth="1"/>
    <col min="8" max="8" width="10.1640625" style="1" bestFit="1" customWidth="1"/>
    <col min="9" max="9" width="9.1640625" style="1" bestFit="1" customWidth="1"/>
    <col min="10" max="16384" width="8.83203125" style="1"/>
  </cols>
  <sheetData>
    <row r="1" spans="1:15" x14ac:dyDescent="0.2">
      <c r="A1" s="23" t="s">
        <v>131</v>
      </c>
      <c r="B1" s="72">
        <v>2016</v>
      </c>
      <c r="C1" s="73">
        <v>2017</v>
      </c>
      <c r="D1" s="54">
        <v>2018</v>
      </c>
      <c r="E1" s="54">
        <v>2019</v>
      </c>
      <c r="F1" s="54">
        <v>2020</v>
      </c>
      <c r="G1" s="54">
        <v>2021</v>
      </c>
      <c r="H1" s="55">
        <v>2022</v>
      </c>
      <c r="I1" s="55">
        <v>2023</v>
      </c>
      <c r="J1" s="55">
        <v>2024</v>
      </c>
      <c r="K1" s="55">
        <v>2025</v>
      </c>
      <c r="L1" s="55">
        <v>2025</v>
      </c>
    </row>
    <row r="2" spans="1:15" x14ac:dyDescent="0.2">
      <c r="A2" s="119" t="s">
        <v>0</v>
      </c>
      <c r="B2" s="5"/>
      <c r="C2" s="96"/>
      <c r="D2" s="5"/>
      <c r="E2" s="5"/>
      <c r="F2" s="5"/>
      <c r="G2" s="5"/>
      <c r="H2" s="10"/>
      <c r="I2" s="10"/>
      <c r="J2" s="10"/>
      <c r="K2" s="10"/>
      <c r="L2" s="10"/>
    </row>
    <row r="3" spans="1:15" ht="16" x14ac:dyDescent="0.2">
      <c r="A3" s="35" t="s">
        <v>1</v>
      </c>
      <c r="B3" s="4">
        <v>3393.2160000000003</v>
      </c>
      <c r="C3" s="97">
        <v>3367.9139999999998</v>
      </c>
      <c r="D3" s="4">
        <v>3685.6179999999999</v>
      </c>
      <c r="E3" s="4">
        <v>6268</v>
      </c>
      <c r="F3" s="4">
        <v>19384</v>
      </c>
      <c r="G3" s="4">
        <v>17576</v>
      </c>
      <c r="H3" s="133"/>
      <c r="I3" s="133"/>
      <c r="J3" s="133"/>
      <c r="K3" s="133"/>
      <c r="L3" s="133"/>
    </row>
    <row r="4" spans="1:15" x14ac:dyDescent="0.2">
      <c r="A4" s="35" t="s">
        <v>2</v>
      </c>
      <c r="B4" s="4">
        <v>105.51900000000001</v>
      </c>
      <c r="C4" s="97"/>
      <c r="D4" s="4"/>
      <c r="E4" s="4">
        <v>246</v>
      </c>
      <c r="F4" s="4"/>
      <c r="G4" s="4"/>
      <c r="H4" s="10"/>
      <c r="I4" s="10"/>
      <c r="J4" s="10"/>
      <c r="K4" s="10"/>
      <c r="L4" s="10"/>
    </row>
    <row r="5" spans="1:15" x14ac:dyDescent="0.2">
      <c r="A5" s="35" t="s">
        <v>3</v>
      </c>
      <c r="B5" s="4"/>
      <c r="C5" s="97">
        <v>155.32300000000001</v>
      </c>
      <c r="D5" s="4">
        <v>192.55099999999999</v>
      </c>
      <c r="E5" s="4"/>
      <c r="F5" s="4"/>
      <c r="G5" s="4">
        <v>131</v>
      </c>
      <c r="H5" s="10"/>
      <c r="I5" s="10"/>
      <c r="J5" s="10"/>
      <c r="K5" s="10"/>
      <c r="L5" s="10"/>
    </row>
    <row r="6" spans="1:15" x14ac:dyDescent="0.2">
      <c r="A6" s="35" t="s">
        <v>4</v>
      </c>
      <c r="B6" s="4">
        <v>499.142</v>
      </c>
      <c r="C6" s="97">
        <v>515.38100000000009</v>
      </c>
      <c r="D6" s="4">
        <v>949.02199999999993</v>
      </c>
      <c r="E6" s="4">
        <v>1324</v>
      </c>
      <c r="F6" s="4">
        <v>1886</v>
      </c>
      <c r="G6" s="4">
        <v>1913</v>
      </c>
      <c r="H6" s="10">
        <f>income!H2/365*balance!H54</f>
        <v>4665.2397548060626</v>
      </c>
      <c r="I6" s="10">
        <f>income!I2/365*balance!I54</f>
        <v>5949.0093045269741</v>
      </c>
      <c r="J6" s="10">
        <f>income!J2/365*balance!J54</f>
        <v>7141.3364960174576</v>
      </c>
      <c r="K6" s="10">
        <f>income!K2/365*balance!K54</f>
        <v>6838.5036344120272</v>
      </c>
      <c r="L6" s="10">
        <f>income!L2/365*balance!L54</f>
        <v>9012.6388896022854</v>
      </c>
    </row>
    <row r="7" spans="1:15" x14ac:dyDescent="0.2">
      <c r="A7" s="35" t="s">
        <v>5</v>
      </c>
      <c r="B7" s="4">
        <v>2067.4540000000002</v>
      </c>
      <c r="C7" s="97">
        <v>2263.5369999999998</v>
      </c>
      <c r="D7" s="4">
        <v>3113.4459999999999</v>
      </c>
      <c r="E7" s="4">
        <v>3552</v>
      </c>
      <c r="F7" s="4">
        <v>4101</v>
      </c>
      <c r="G7" s="4">
        <v>5757</v>
      </c>
      <c r="H7" s="10">
        <f>income!H$2/365*balance!H55</f>
        <v>20166.367944632057</v>
      </c>
      <c r="I7" s="10">
        <f>income!I$2/365*balance!I55</f>
        <v>25715.700981399583</v>
      </c>
      <c r="J7" s="10">
        <f>income!J$2/365*balance!J55</f>
        <v>30869.757389586564</v>
      </c>
      <c r="K7" s="10">
        <f>income!K$2/365*balance!K55</f>
        <v>29560.705929461805</v>
      </c>
      <c r="L7" s="10">
        <f>income!L$2/365*balance!L55</f>
        <v>38958.810597586387</v>
      </c>
      <c r="O7" s="132"/>
    </row>
    <row r="8" spans="1:15" x14ac:dyDescent="0.2">
      <c r="A8" s="35" t="s">
        <v>6</v>
      </c>
      <c r="B8" s="33">
        <v>194.465</v>
      </c>
      <c r="C8" s="99">
        <v>268.36500000000001</v>
      </c>
      <c r="D8" s="33">
        <v>365.67099999999999</v>
      </c>
      <c r="E8" s="33">
        <v>713</v>
      </c>
      <c r="F8" s="33">
        <v>1346</v>
      </c>
      <c r="G8" s="33">
        <v>1723</v>
      </c>
      <c r="H8" s="56">
        <f>income!H2*H56</f>
        <v>2912.0162538596901</v>
      </c>
      <c r="I8" s="56">
        <f>income!I2*I56</f>
        <v>3713.3379418064301</v>
      </c>
      <c r="J8" s="56">
        <f>income!J2*J56</f>
        <v>4457.5818272278129</v>
      </c>
      <c r="K8" s="56">
        <f>income!K2*K56</f>
        <v>4268.5552687772251</v>
      </c>
      <c r="L8" s="56">
        <f>income!L2*L56</f>
        <v>5625.6381914032681</v>
      </c>
      <c r="O8" s="132"/>
    </row>
    <row r="9" spans="1:15" s="7" customFormat="1" ht="14" customHeight="1" x14ac:dyDescent="0.2">
      <c r="A9" s="15" t="s">
        <v>7</v>
      </c>
      <c r="B9" s="31">
        <v>6259.7960000000003</v>
      </c>
      <c r="C9" s="100">
        <v>6570.5199999999995</v>
      </c>
      <c r="D9" s="31">
        <v>8306.3080000000009</v>
      </c>
      <c r="E9" s="31">
        <v>12103</v>
      </c>
      <c r="F9" s="31">
        <v>26717</v>
      </c>
      <c r="G9" s="31">
        <v>27100</v>
      </c>
      <c r="H9" s="14">
        <f>SUM(H3:H8)</f>
        <v>27743.623953297807</v>
      </c>
      <c r="I9" s="14">
        <f>SUM(I3:I8)</f>
        <v>35378.048227732987</v>
      </c>
      <c r="J9" s="14">
        <f>SUM(J3:J8)</f>
        <v>42468.675712831835</v>
      </c>
      <c r="K9" s="14">
        <f>SUM(K3:K8)</f>
        <v>40667.764832651053</v>
      </c>
      <c r="L9" s="14">
        <f>SUM(L3:L8)</f>
        <v>53597.087678591939</v>
      </c>
      <c r="O9" s="5"/>
    </row>
    <row r="10" spans="1:15" s="9" customFormat="1" ht="14" customHeight="1" x14ac:dyDescent="0.2">
      <c r="A10" s="19"/>
      <c r="B10" s="32"/>
      <c r="C10" s="98"/>
      <c r="D10" s="32"/>
      <c r="E10" s="32"/>
      <c r="F10" s="32"/>
      <c r="G10" s="32"/>
      <c r="H10" s="32"/>
      <c r="I10" s="32"/>
      <c r="J10" s="32"/>
      <c r="K10" s="32"/>
      <c r="L10" s="32"/>
    </row>
    <row r="11" spans="1:15" s="9" customFormat="1" ht="14" hidden="1" customHeight="1" x14ac:dyDescent="0.2">
      <c r="A11" s="119" t="s">
        <v>191</v>
      </c>
      <c r="B11" s="32"/>
      <c r="C11" s="98"/>
      <c r="D11" s="32"/>
      <c r="E11" s="32"/>
      <c r="F11" s="32"/>
      <c r="G11" s="32"/>
      <c r="H11" s="13"/>
      <c r="I11" s="10"/>
      <c r="J11" s="10"/>
      <c r="K11" s="10"/>
      <c r="L11" s="13"/>
    </row>
    <row r="12" spans="1:15" hidden="1" x14ac:dyDescent="0.2">
      <c r="A12" s="35" t="s">
        <v>8</v>
      </c>
      <c r="B12" s="4">
        <v>3134.08</v>
      </c>
      <c r="C12" s="97">
        <v>4116.6040000000003</v>
      </c>
      <c r="D12" s="4">
        <v>2089.7580000000003</v>
      </c>
      <c r="E12" s="4">
        <v>2447</v>
      </c>
      <c r="F12" s="4">
        <v>3091</v>
      </c>
      <c r="G12" s="4">
        <v>4511</v>
      </c>
      <c r="H12" s="10"/>
      <c r="I12" s="10"/>
      <c r="J12" s="10"/>
      <c r="K12" s="10"/>
      <c r="L12" s="10"/>
    </row>
    <row r="13" spans="1:15" hidden="1" x14ac:dyDescent="0.2">
      <c r="A13" s="35" t="s">
        <v>9</v>
      </c>
      <c r="B13" s="4">
        <v>5919.88</v>
      </c>
      <c r="C13" s="97">
        <v>6347.49</v>
      </c>
      <c r="D13" s="4">
        <v>6271.3959999999997</v>
      </c>
      <c r="E13" s="4">
        <v>6138</v>
      </c>
      <c r="F13" s="4">
        <v>5979</v>
      </c>
      <c r="G13" s="4">
        <v>5765</v>
      </c>
      <c r="H13" s="10"/>
      <c r="I13" s="10"/>
      <c r="J13" s="10"/>
      <c r="K13" s="10"/>
      <c r="L13" s="10"/>
    </row>
    <row r="14" spans="1:15" hidden="1" x14ac:dyDescent="0.2">
      <c r="A14" s="35" t="s">
        <v>10</v>
      </c>
      <c r="B14" s="4">
        <v>5982.9570000000003</v>
      </c>
      <c r="C14" s="97">
        <v>10027.522000000001</v>
      </c>
      <c r="D14" s="4">
        <v>11330.077000000001</v>
      </c>
      <c r="E14" s="4">
        <v>10396</v>
      </c>
      <c r="F14" s="4">
        <v>12747</v>
      </c>
      <c r="G14" s="4">
        <v>18884</v>
      </c>
      <c r="H14" s="10"/>
      <c r="I14" s="10"/>
      <c r="J14" s="10"/>
      <c r="K14" s="10"/>
      <c r="L14" s="10"/>
    </row>
    <row r="15" spans="1:15" hidden="1" x14ac:dyDescent="0.2">
      <c r="A15" s="35" t="s">
        <v>11</v>
      </c>
      <c r="B15" s="4"/>
      <c r="C15" s="97">
        <v>361.50200000000001</v>
      </c>
      <c r="D15" s="4">
        <v>282.49200000000002</v>
      </c>
      <c r="E15" s="4">
        <v>1218</v>
      </c>
      <c r="F15" s="4">
        <v>1558</v>
      </c>
      <c r="G15" s="4">
        <v>2016</v>
      </c>
      <c r="H15" s="10"/>
      <c r="I15" s="10"/>
      <c r="J15" s="10"/>
      <c r="K15" s="10"/>
      <c r="L15" s="10"/>
    </row>
    <row r="16" spans="1:15" hidden="1" x14ac:dyDescent="0.2">
      <c r="A16" s="35" t="s">
        <v>12</v>
      </c>
      <c r="B16" s="4"/>
      <c r="C16" s="97">
        <v>60.237000000000002</v>
      </c>
      <c r="D16" s="4">
        <v>68.159000000000006</v>
      </c>
      <c r="E16" s="4"/>
      <c r="F16" s="4"/>
      <c r="G16" s="4">
        <v>1260</v>
      </c>
      <c r="H16" s="10"/>
      <c r="I16" s="10"/>
      <c r="J16" s="10"/>
      <c r="K16" s="10"/>
      <c r="L16" s="10"/>
    </row>
    <row r="17" spans="1:16" hidden="1" x14ac:dyDescent="0.2">
      <c r="A17" s="35" t="s">
        <v>13</v>
      </c>
      <c r="B17" s="4">
        <v>376.14499999999998</v>
      </c>
      <c r="C17" s="97">
        <v>456.65200000000004</v>
      </c>
      <c r="D17" s="4">
        <v>421.54799999999994</v>
      </c>
      <c r="E17" s="4">
        <v>339</v>
      </c>
      <c r="F17" s="4">
        <v>313</v>
      </c>
      <c r="G17" s="4">
        <v>257</v>
      </c>
      <c r="H17" s="10"/>
      <c r="I17" s="10"/>
      <c r="J17" s="10"/>
      <c r="K17" s="10"/>
      <c r="L17" s="10"/>
    </row>
    <row r="18" spans="1:16" hidden="1" x14ac:dyDescent="0.2">
      <c r="A18" s="35" t="s">
        <v>14</v>
      </c>
      <c r="B18" s="4"/>
      <c r="C18" s="97">
        <v>441.72200000000004</v>
      </c>
      <c r="D18" s="4">
        <v>398.21899999999999</v>
      </c>
      <c r="E18" s="4">
        <v>198</v>
      </c>
      <c r="F18" s="4">
        <v>207</v>
      </c>
      <c r="G18" s="4">
        <v>200</v>
      </c>
      <c r="H18" s="10"/>
      <c r="I18" s="10"/>
      <c r="J18" s="10"/>
      <c r="K18" s="10"/>
      <c r="L18" s="10"/>
    </row>
    <row r="19" spans="1:16" hidden="1" x14ac:dyDescent="0.2">
      <c r="A19" s="35" t="s">
        <v>15</v>
      </c>
      <c r="B19" s="4">
        <v>506.30200000000002</v>
      </c>
      <c r="C19" s="97"/>
      <c r="D19" s="4"/>
      <c r="E19" s="4">
        <v>393</v>
      </c>
      <c r="F19" s="4"/>
      <c r="G19" s="4"/>
      <c r="H19" s="10"/>
      <c r="I19" s="10"/>
      <c r="J19" s="10"/>
      <c r="K19" s="10"/>
      <c r="L19" s="10"/>
    </row>
    <row r="20" spans="1:16" hidden="1" x14ac:dyDescent="0.2">
      <c r="A20" s="35" t="s">
        <v>16</v>
      </c>
      <c r="B20" s="4">
        <v>268.16500000000002</v>
      </c>
      <c r="C20" s="97"/>
      <c r="D20" s="4"/>
      <c r="E20" s="4">
        <v>269</v>
      </c>
      <c r="F20" s="4"/>
      <c r="G20" s="4"/>
      <c r="H20" s="10"/>
      <c r="I20" s="10"/>
      <c r="J20" s="10"/>
      <c r="K20" s="10"/>
      <c r="L20" s="10"/>
    </row>
    <row r="21" spans="1:16" hidden="1" x14ac:dyDescent="0.2">
      <c r="A21" s="35" t="s">
        <v>17</v>
      </c>
      <c r="B21" s="120">
        <v>216.75100000000003</v>
      </c>
      <c r="C21" s="97">
        <v>273.12299999999999</v>
      </c>
      <c r="D21" s="120">
        <v>571.65699999999993</v>
      </c>
      <c r="E21" s="120">
        <v>808</v>
      </c>
      <c r="F21" s="120">
        <v>1536</v>
      </c>
      <c r="G21" s="120">
        <v>2138</v>
      </c>
      <c r="H21" s="10"/>
      <c r="I21" s="10"/>
      <c r="J21" s="10"/>
      <c r="K21" s="10"/>
      <c r="L21" s="10"/>
    </row>
    <row r="22" spans="1:16" x14ac:dyDescent="0.2">
      <c r="A22" s="16" t="s">
        <v>192</v>
      </c>
      <c r="B22" s="33">
        <f>SUM(B12:B21)</f>
        <v>16404.28</v>
      </c>
      <c r="C22" s="99">
        <f>SUM(C12:C21)</f>
        <v>22084.852000000006</v>
      </c>
      <c r="D22" s="33">
        <f>SUM(D12:D21)</f>
        <v>21433.305999999997</v>
      </c>
      <c r="E22" s="33">
        <f>SUM(E12:E21)</f>
        <v>22206</v>
      </c>
      <c r="F22" s="33">
        <f t="shared" ref="F22:G22" si="0">SUM(F12:F21)</f>
        <v>25431</v>
      </c>
      <c r="G22" s="33">
        <f t="shared" si="0"/>
        <v>35031</v>
      </c>
      <c r="H22" s="56"/>
      <c r="I22" s="56"/>
      <c r="J22" s="56"/>
      <c r="K22" s="56"/>
      <c r="L22" s="56"/>
    </row>
    <row r="23" spans="1:16" s="7" customFormat="1" x14ac:dyDescent="0.2">
      <c r="A23" s="15" t="s">
        <v>18</v>
      </c>
      <c r="B23" s="31">
        <v>22664.076000000001</v>
      </c>
      <c r="C23" s="100">
        <v>28655.371999999996</v>
      </c>
      <c r="D23" s="31">
        <v>29739.614000000001</v>
      </c>
      <c r="E23" s="31">
        <v>34309</v>
      </c>
      <c r="F23" s="31">
        <v>52148</v>
      </c>
      <c r="G23" s="31">
        <v>62131</v>
      </c>
      <c r="H23" s="14"/>
      <c r="I23" s="10"/>
      <c r="J23" s="10"/>
      <c r="K23" s="10"/>
      <c r="L23" s="14"/>
    </row>
    <row r="24" spans="1:16" s="7" customFormat="1" x14ac:dyDescent="0.2">
      <c r="A24" s="15"/>
      <c r="B24" s="31"/>
      <c r="C24" s="100"/>
      <c r="D24" s="31"/>
      <c r="E24" s="31"/>
      <c r="F24" s="31"/>
      <c r="G24" s="31"/>
      <c r="H24" s="14"/>
      <c r="I24" s="10"/>
      <c r="J24" s="10"/>
      <c r="K24" s="10"/>
      <c r="L24" s="14"/>
    </row>
    <row r="25" spans="1:16" x14ac:dyDescent="0.2">
      <c r="A25" s="119" t="s">
        <v>19</v>
      </c>
      <c r="B25" s="4"/>
      <c r="C25" s="97"/>
      <c r="D25" s="4"/>
      <c r="E25" s="4"/>
      <c r="F25" s="4"/>
      <c r="G25" s="4"/>
    </row>
    <row r="26" spans="1:16" x14ac:dyDescent="0.2">
      <c r="A26" s="35" t="s">
        <v>20</v>
      </c>
      <c r="B26" s="4">
        <v>1860.3409999999999</v>
      </c>
      <c r="C26" s="97">
        <v>2390.25</v>
      </c>
      <c r="D26" s="4">
        <v>3404.451</v>
      </c>
      <c r="E26" s="4">
        <v>3771</v>
      </c>
      <c r="F26" s="4">
        <v>6051</v>
      </c>
      <c r="G26" s="4">
        <v>10025</v>
      </c>
      <c r="H26" s="10">
        <f>income!H2/365*H59</f>
        <v>16645.936095609279</v>
      </c>
      <c r="I26" s="10">
        <f>income!I2/365*I59</f>
        <v>21226.525091947315</v>
      </c>
      <c r="J26" s="10">
        <f>income!J2/365*J59</f>
        <v>25480.840685087274</v>
      </c>
      <c r="K26" s="10">
        <f>income!K2/365*K59</f>
        <v>24400.309624118461</v>
      </c>
      <c r="L26" s="10">
        <f>income!L2/365*L59</f>
        <v>32157.792288074852</v>
      </c>
      <c r="O26" s="5"/>
      <c r="P26" s="5"/>
    </row>
    <row r="27" spans="1:16" x14ac:dyDescent="0.2">
      <c r="A27" s="35" t="s">
        <v>21</v>
      </c>
      <c r="B27" s="4">
        <v>1210.028</v>
      </c>
      <c r="C27" s="97">
        <v>1731.366</v>
      </c>
      <c r="D27" s="4">
        <v>2094.2529999999997</v>
      </c>
      <c r="E27" s="4">
        <v>2905</v>
      </c>
      <c r="F27" s="4">
        <v>3855</v>
      </c>
      <c r="G27" s="4">
        <v>5719</v>
      </c>
      <c r="H27" s="10">
        <f>income!H2*$H$60</f>
        <v>10714.87510380672</v>
      </c>
      <c r="I27" s="10">
        <f>income!I2*$H$60</f>
        <v>13663.368881250657</v>
      </c>
      <c r="J27" s="10">
        <f>income!J2*$H$60</f>
        <v>16401.842702779741</v>
      </c>
      <c r="K27" s="10">
        <f>income!K2*$H$60</f>
        <v>15706.31225633531</v>
      </c>
      <c r="L27" s="10">
        <f>income!L2*$H$60</f>
        <v>20699.750738065595</v>
      </c>
      <c r="O27" s="5"/>
      <c r="P27" s="5"/>
    </row>
    <row r="28" spans="1:16" x14ac:dyDescent="0.2">
      <c r="A28" s="35" t="s">
        <v>22</v>
      </c>
      <c r="B28" s="4">
        <v>763.12599999999998</v>
      </c>
      <c r="C28" s="97">
        <v>1015.253</v>
      </c>
      <c r="D28" s="4">
        <v>630.29200000000003</v>
      </c>
      <c r="E28" s="4">
        <v>1163</v>
      </c>
      <c r="F28" s="4">
        <v>1458</v>
      </c>
      <c r="G28" s="4">
        <v>1447</v>
      </c>
      <c r="H28" s="10">
        <f>income!H2*$H$61</f>
        <v>3612.943132332834</v>
      </c>
      <c r="I28" s="10">
        <f>income!I2*$H$61</f>
        <v>4607.1442070758822</v>
      </c>
      <c r="J28" s="10">
        <f>income!J2*$H$61</f>
        <v>5530.5287627252237</v>
      </c>
      <c r="K28" s="10">
        <f>income!K2*$H$61</f>
        <v>5296.0032152536505</v>
      </c>
      <c r="L28" s="10">
        <f>income!L2*$H$61</f>
        <v>6979.7381253212843</v>
      </c>
      <c r="O28" s="5"/>
      <c r="P28" s="5"/>
    </row>
    <row r="29" spans="1:16" x14ac:dyDescent="0.2">
      <c r="A29" s="35" t="s">
        <v>23</v>
      </c>
      <c r="B29" s="4">
        <v>179.50399999999999</v>
      </c>
      <c r="C29" s="97">
        <v>787.33299999999997</v>
      </c>
      <c r="D29" s="4">
        <v>502.84</v>
      </c>
      <c r="E29" s="4">
        <v>317</v>
      </c>
      <c r="F29" s="4"/>
      <c r="G29" s="4"/>
      <c r="H29" s="10"/>
      <c r="I29" s="10"/>
      <c r="J29" s="10"/>
      <c r="K29" s="10"/>
      <c r="L29" s="10"/>
      <c r="O29" s="5"/>
      <c r="P29" s="5"/>
    </row>
    <row r="30" spans="1:16" x14ac:dyDescent="0.2">
      <c r="A30" s="35" t="s">
        <v>24</v>
      </c>
      <c r="B30" s="4">
        <v>663.85900000000004</v>
      </c>
      <c r="C30" s="97">
        <v>853.9190000000001</v>
      </c>
      <c r="D30" s="4">
        <v>792.601</v>
      </c>
      <c r="E30" s="4">
        <v>726</v>
      </c>
      <c r="F30" s="4">
        <v>752</v>
      </c>
      <c r="G30" s="4">
        <v>925</v>
      </c>
      <c r="H30" s="10">
        <f>income!H2*$H$63</f>
        <v>2592.6979602897127</v>
      </c>
      <c r="I30" s="10">
        <f>income!I2*$H$63</f>
        <v>3306.1504017455995</v>
      </c>
      <c r="J30" s="10">
        <f>income!J2*$H$63</f>
        <v>3968.7839296775087</v>
      </c>
      <c r="K30" s="10">
        <f>income!K2*$H$63</f>
        <v>3800.4851532246498</v>
      </c>
      <c r="L30" s="10">
        <f>income!L2*$H$63</f>
        <v>5008.7566114532883</v>
      </c>
      <c r="O30" s="5"/>
      <c r="P30" s="5"/>
    </row>
    <row r="31" spans="1:16" x14ac:dyDescent="0.2">
      <c r="A31" s="35" t="s">
        <v>25</v>
      </c>
      <c r="B31" s="4">
        <v>984.21100000000001</v>
      </c>
      <c r="C31" s="97">
        <v>796.54899999999998</v>
      </c>
      <c r="D31" s="33">
        <v>2567.6990000000001</v>
      </c>
      <c r="E31" s="33">
        <v>1785</v>
      </c>
      <c r="F31" s="33">
        <v>2132</v>
      </c>
      <c r="G31" s="33">
        <v>1589</v>
      </c>
      <c r="H31" s="56">
        <f>income!H2*$H$64</f>
        <v>6979.5869151656507</v>
      </c>
      <c r="I31" s="56">
        <f>income!I2*$H$64</f>
        <v>8900.2129970491205</v>
      </c>
      <c r="J31" s="56">
        <f>income!J2*$H$64</f>
        <v>10684.033701172641</v>
      </c>
      <c r="K31" s="56">
        <f>income!K2*$H$64</f>
        <v>10230.970538413218</v>
      </c>
      <c r="L31" s="56">
        <f>income!L2*$H$64</f>
        <v>13483.657812050898</v>
      </c>
      <c r="O31" s="5"/>
      <c r="P31" s="5"/>
    </row>
    <row r="32" spans="1:16" s="7" customFormat="1" x14ac:dyDescent="0.2">
      <c r="A32" s="15" t="s">
        <v>26</v>
      </c>
      <c r="B32" s="31">
        <v>5827.0050000000001</v>
      </c>
      <c r="C32" s="100">
        <v>7674.67</v>
      </c>
      <c r="D32" s="31">
        <v>9992.1360000000004</v>
      </c>
      <c r="E32" s="31">
        <v>10667</v>
      </c>
      <c r="F32" s="31">
        <v>14248</v>
      </c>
      <c r="G32" s="31">
        <v>19705</v>
      </c>
      <c r="H32" s="14">
        <f>SUM(H26:H31)</f>
        <v>40546.039207204201</v>
      </c>
      <c r="I32" s="14">
        <f>SUM(I26:I31)</f>
        <v>51703.401579068581</v>
      </c>
      <c r="J32" s="14">
        <f>SUM(J26:J31)</f>
        <v>62066.029781442383</v>
      </c>
      <c r="K32" s="14">
        <f>SUM(K26:K31)</f>
        <v>59434.080787345287</v>
      </c>
      <c r="L32" s="14">
        <f>SUM(L26:L31)</f>
        <v>78329.695574965925</v>
      </c>
    </row>
    <row r="33" spans="1:12" s="9" customFormat="1" x14ac:dyDescent="0.2">
      <c r="A33" s="19"/>
      <c r="B33" s="128"/>
      <c r="C33" s="98"/>
      <c r="D33" s="32"/>
      <c r="E33" s="32"/>
      <c r="F33" s="32"/>
      <c r="G33" s="32"/>
      <c r="H33" s="32"/>
      <c r="I33" s="32"/>
      <c r="J33" s="32"/>
      <c r="K33" s="32"/>
      <c r="L33" s="32"/>
    </row>
    <row r="34" spans="1:12" s="7" customFormat="1" x14ac:dyDescent="0.2">
      <c r="A34" s="119" t="s">
        <v>212</v>
      </c>
      <c r="B34" s="31"/>
      <c r="C34" s="100"/>
      <c r="D34" s="31"/>
      <c r="E34" s="31"/>
      <c r="F34" s="31"/>
      <c r="G34" s="31"/>
      <c r="H34" s="14"/>
      <c r="I34" s="14"/>
      <c r="J34" s="14"/>
      <c r="K34" s="14"/>
      <c r="L34" s="14"/>
    </row>
    <row r="35" spans="1:12" x14ac:dyDescent="0.2">
      <c r="A35" s="35" t="s">
        <v>27</v>
      </c>
      <c r="B35" s="4">
        <v>5860.049</v>
      </c>
      <c r="C35" s="97">
        <v>9418.3189999999995</v>
      </c>
      <c r="D35" s="4">
        <v>9403.6720000000005</v>
      </c>
      <c r="E35" s="4">
        <v>11634</v>
      </c>
      <c r="F35" s="4">
        <v>9556</v>
      </c>
      <c r="G35" s="4">
        <v>5245</v>
      </c>
      <c r="H35" s="10"/>
      <c r="I35" s="10"/>
      <c r="J35" s="10"/>
      <c r="K35" s="10"/>
      <c r="L35" s="10"/>
    </row>
    <row r="36" spans="1:12" x14ac:dyDescent="0.2">
      <c r="A36" s="35" t="s">
        <v>28</v>
      </c>
      <c r="B36" s="4">
        <v>99.164000000000001</v>
      </c>
      <c r="C36" s="97"/>
      <c r="D36" s="4"/>
      <c r="E36" s="4"/>
      <c r="F36" s="4"/>
      <c r="G36" s="4"/>
      <c r="H36" s="10"/>
      <c r="I36" s="10"/>
      <c r="J36" s="10"/>
      <c r="K36" s="10"/>
      <c r="L36" s="10"/>
    </row>
    <row r="37" spans="1:12" x14ac:dyDescent="0.2">
      <c r="A37" s="35" t="s">
        <v>29</v>
      </c>
      <c r="B37" s="4">
        <v>10.287000000000001</v>
      </c>
      <c r="C37" s="97"/>
      <c r="D37" s="4"/>
      <c r="E37" s="4"/>
      <c r="F37" s="4"/>
      <c r="G37" s="4"/>
      <c r="H37" s="10"/>
      <c r="I37" s="10"/>
      <c r="J37" s="10"/>
      <c r="K37" s="10"/>
      <c r="L37" s="10"/>
    </row>
    <row r="38" spans="1:12" x14ac:dyDescent="0.2">
      <c r="A38" s="35" t="s">
        <v>30</v>
      </c>
      <c r="B38" s="4">
        <v>851.79</v>
      </c>
      <c r="C38" s="97">
        <v>1177.799</v>
      </c>
      <c r="D38" s="4">
        <v>990.87299999999993</v>
      </c>
      <c r="E38" s="4">
        <v>1207</v>
      </c>
      <c r="F38" s="4">
        <v>1284</v>
      </c>
      <c r="G38" s="4">
        <v>2052</v>
      </c>
      <c r="H38" s="10"/>
      <c r="I38" s="10"/>
      <c r="J38" s="10"/>
      <c r="K38" s="10"/>
      <c r="L38" s="10"/>
    </row>
    <row r="39" spans="1:12" x14ac:dyDescent="0.2">
      <c r="A39" s="35" t="s">
        <v>31</v>
      </c>
      <c r="B39" s="4">
        <v>2210.4229999999998</v>
      </c>
      <c r="C39" s="97">
        <v>2309.2220000000002</v>
      </c>
      <c r="D39" s="4">
        <v>328.92600000000004</v>
      </c>
      <c r="E39" s="4">
        <v>36</v>
      </c>
      <c r="F39" s="4"/>
      <c r="G39" s="4"/>
      <c r="H39" s="10"/>
      <c r="I39" s="10"/>
      <c r="J39" s="10"/>
      <c r="K39" s="10"/>
      <c r="L39" s="10"/>
    </row>
    <row r="40" spans="1:12" x14ac:dyDescent="0.2">
      <c r="A40" s="35" t="s">
        <v>32</v>
      </c>
      <c r="B40" s="33">
        <v>1891.4490000000001</v>
      </c>
      <c r="C40" s="99">
        <v>2442.9700000000003</v>
      </c>
      <c r="D40" s="33">
        <v>2710.4029999999998</v>
      </c>
      <c r="E40" s="33">
        <v>2655</v>
      </c>
      <c r="F40" s="33">
        <v>3330</v>
      </c>
      <c r="G40" s="33">
        <v>3546</v>
      </c>
      <c r="H40" s="10"/>
      <c r="I40" s="10"/>
      <c r="J40" s="10"/>
      <c r="K40" s="10"/>
      <c r="L40" s="10"/>
    </row>
    <row r="41" spans="1:12" s="7" customFormat="1" x14ac:dyDescent="0.2">
      <c r="A41" s="15" t="s">
        <v>33</v>
      </c>
      <c r="B41" s="31">
        <v>16750.167000000001</v>
      </c>
      <c r="C41" s="100">
        <v>23022.98</v>
      </c>
      <c r="D41" s="31">
        <v>23426.01</v>
      </c>
      <c r="E41" s="31">
        <v>26199</v>
      </c>
      <c r="F41" s="31">
        <v>28418</v>
      </c>
      <c r="G41" s="31">
        <v>30548</v>
      </c>
      <c r="H41" s="14"/>
      <c r="I41" s="10"/>
      <c r="J41" s="10"/>
      <c r="K41" s="10"/>
      <c r="L41" s="14"/>
    </row>
    <row r="42" spans="1:12" s="7" customFormat="1" x14ac:dyDescent="0.2">
      <c r="A42" s="15"/>
      <c r="B42" s="31"/>
      <c r="C42" s="100"/>
      <c r="D42" s="31"/>
      <c r="E42" s="31"/>
      <c r="F42" s="31"/>
      <c r="G42" s="31"/>
      <c r="H42" s="14"/>
      <c r="I42" s="10"/>
      <c r="J42" s="10"/>
      <c r="K42" s="10"/>
      <c r="L42" s="14"/>
    </row>
    <row r="43" spans="1:12" s="7" customFormat="1" x14ac:dyDescent="0.2">
      <c r="A43" s="119" t="s">
        <v>213</v>
      </c>
      <c r="B43" s="31"/>
      <c r="C43" s="100"/>
      <c r="D43" s="31"/>
      <c r="E43" s="31"/>
      <c r="F43" s="31"/>
      <c r="G43" s="31"/>
      <c r="H43" s="14"/>
      <c r="I43" s="10"/>
      <c r="J43" s="10"/>
      <c r="K43" s="10"/>
      <c r="L43" s="14"/>
    </row>
    <row r="44" spans="1:12" x14ac:dyDescent="0.2">
      <c r="A44" s="35" t="s">
        <v>133</v>
      </c>
      <c r="B44" s="4">
        <v>0.161</v>
      </c>
      <c r="C44" s="97">
        <v>0.16899999999999998</v>
      </c>
      <c r="D44" s="4">
        <v>0.17299999999999999</v>
      </c>
      <c r="E44" s="4"/>
      <c r="F44" s="4">
        <v>1</v>
      </c>
      <c r="G44" s="4">
        <v>1</v>
      </c>
      <c r="H44" s="10"/>
      <c r="I44" s="10"/>
      <c r="J44" s="10"/>
      <c r="K44" s="10"/>
      <c r="L44" s="10"/>
    </row>
    <row r="45" spans="1:12" x14ac:dyDescent="0.2">
      <c r="A45" s="35" t="s">
        <v>34</v>
      </c>
      <c r="B45" s="6">
        <v>-7773.7270000000008</v>
      </c>
      <c r="C45" s="65">
        <v>9178.0240000000013</v>
      </c>
      <c r="D45" s="6">
        <v>10249.119999999999</v>
      </c>
      <c r="E45" s="6">
        <v>12737</v>
      </c>
      <c r="F45" s="6">
        <v>27260</v>
      </c>
      <c r="G45" s="6">
        <v>29803</v>
      </c>
      <c r="H45" s="10"/>
      <c r="I45" s="10"/>
      <c r="J45" s="10"/>
      <c r="K45" s="10"/>
      <c r="L45" s="10"/>
    </row>
    <row r="46" spans="1:12" x14ac:dyDescent="0.2">
      <c r="A46" s="35" t="s">
        <v>35</v>
      </c>
      <c r="B46" s="6">
        <v>-23.740000000000002</v>
      </c>
      <c r="C46" s="65">
        <v>33.347999999999999</v>
      </c>
      <c r="D46" s="6">
        <v>-8.218</v>
      </c>
      <c r="E46" s="6">
        <v>-36</v>
      </c>
      <c r="F46" s="6">
        <v>363</v>
      </c>
      <c r="G46" s="6">
        <v>54</v>
      </c>
      <c r="H46" s="10"/>
      <c r="I46" s="10"/>
      <c r="J46" s="10"/>
      <c r="K46" s="10"/>
      <c r="L46" s="10"/>
    </row>
    <row r="47" spans="1:12" x14ac:dyDescent="0.2">
      <c r="A47" s="35" t="s">
        <v>36</v>
      </c>
      <c r="B47" s="18">
        <v>-2997.2370000000001</v>
      </c>
      <c r="C47" s="66">
        <v>-4974.299</v>
      </c>
      <c r="D47" s="18">
        <v>-5317.8320000000003</v>
      </c>
      <c r="E47" s="18">
        <v>-6083</v>
      </c>
      <c r="F47" s="18">
        <v>-5399</v>
      </c>
      <c r="G47" s="18">
        <v>331</v>
      </c>
      <c r="H47" s="10"/>
      <c r="I47" s="10"/>
      <c r="J47" s="10"/>
      <c r="K47" s="10"/>
      <c r="L47" s="10"/>
    </row>
    <row r="48" spans="1:12" x14ac:dyDescent="0.2">
      <c r="A48" s="15" t="s">
        <v>37</v>
      </c>
      <c r="B48" s="17">
        <v>4752.9110000000001</v>
      </c>
      <c r="C48" s="67">
        <v>4237.2420000000002</v>
      </c>
      <c r="D48" s="17">
        <v>4923.2430000000004</v>
      </c>
      <c r="E48" s="17">
        <v>6618</v>
      </c>
      <c r="F48" s="17">
        <v>22225</v>
      </c>
      <c r="G48" s="17">
        <v>30189</v>
      </c>
      <c r="H48" s="10"/>
      <c r="I48" s="10"/>
      <c r="J48" s="10"/>
      <c r="K48" s="10"/>
      <c r="L48" s="10"/>
    </row>
    <row r="49" spans="1:13" x14ac:dyDescent="0.2">
      <c r="A49" s="15" t="s">
        <v>38</v>
      </c>
      <c r="B49" s="17">
        <v>22664.076000000001</v>
      </c>
      <c r="C49" s="67">
        <v>28655.371999999996</v>
      </c>
      <c r="D49" s="17">
        <v>29739.614000000001</v>
      </c>
      <c r="E49" s="17">
        <v>34309</v>
      </c>
      <c r="F49" s="17">
        <v>52148</v>
      </c>
      <c r="G49" s="17">
        <v>62131</v>
      </c>
      <c r="H49" s="10"/>
      <c r="I49" s="10"/>
      <c r="J49" s="10"/>
      <c r="K49" s="10"/>
      <c r="L49" s="10"/>
    </row>
    <row r="52" spans="1:13" x14ac:dyDescent="0.2">
      <c r="A52" s="39"/>
      <c r="B52" s="89"/>
      <c r="C52" s="90"/>
      <c r="D52" s="114"/>
      <c r="E52" s="114"/>
      <c r="F52" s="114"/>
      <c r="G52" s="114"/>
      <c r="H52" s="114"/>
      <c r="I52" s="114"/>
      <c r="J52" s="114"/>
      <c r="K52" s="59"/>
      <c r="L52" s="59"/>
      <c r="M52" s="46"/>
    </row>
    <row r="53" spans="1:13" s="16" customFormat="1" x14ac:dyDescent="0.2">
      <c r="A53" s="102" t="s">
        <v>0</v>
      </c>
      <c r="B53" s="102"/>
      <c r="C53" s="101"/>
      <c r="D53" s="114"/>
      <c r="E53" s="114"/>
      <c r="F53" s="114"/>
      <c r="G53" s="114"/>
      <c r="I53" s="114"/>
      <c r="J53" s="114"/>
      <c r="K53" s="102"/>
      <c r="L53" s="121" t="s">
        <v>194</v>
      </c>
      <c r="M53" s="102"/>
    </row>
    <row r="54" spans="1:13" s="35" customFormat="1" ht="16" x14ac:dyDescent="0.2">
      <c r="A54" s="115" t="s">
        <v>239</v>
      </c>
      <c r="B54" s="109"/>
      <c r="C54" s="169">
        <f>income!C2/((B6+C6)/2)</f>
        <v>23.180846565331684</v>
      </c>
      <c r="D54" s="109">
        <f>D6/(income!D2/365)</f>
        <v>16.140380428593499</v>
      </c>
      <c r="E54" s="109">
        <f>E6/(income!E2/365)</f>
        <v>19.662299617544146</v>
      </c>
      <c r="F54" s="109">
        <f>F6/(income!F2/365)</f>
        <v>21.828703703703702</v>
      </c>
      <c r="G54" s="109">
        <f>G6/(income!G2/365)</f>
        <v>12.972985526633595</v>
      </c>
      <c r="H54" s="152">
        <f>AVERAGE(D54:G54)</f>
        <v>17.651092319118735</v>
      </c>
      <c r="I54" s="148">
        <f t="shared" ref="I54:L64" si="1">H54</f>
        <v>17.651092319118735</v>
      </c>
      <c r="J54" s="148">
        <f t="shared" si="1"/>
        <v>17.651092319118735</v>
      </c>
      <c r="K54" s="148">
        <f t="shared" si="1"/>
        <v>17.651092319118735</v>
      </c>
      <c r="L54" s="148">
        <f t="shared" si="1"/>
        <v>17.651092319118735</v>
      </c>
      <c r="M54" s="115"/>
    </row>
    <row r="55" spans="1:13" s="35" customFormat="1" ht="16" x14ac:dyDescent="0.2">
      <c r="A55" s="115" t="s">
        <v>240</v>
      </c>
      <c r="B55" s="109"/>
      <c r="C55" s="169">
        <f>income!C8/((B7+C7)/2)</f>
        <v>4.403733002446784</v>
      </c>
      <c r="D55" s="109">
        <f>D7/(income!D3/365)</f>
        <v>83.036923118741399</v>
      </c>
      <c r="E55" s="109">
        <f>E7/(income!E3/365)</f>
        <v>81.340109166196129</v>
      </c>
      <c r="F55" s="109">
        <f>F7/(income!F3/365)</f>
        <v>75.998426076360687</v>
      </c>
      <c r="G55" s="109">
        <f>G7/(income!G3/365)</f>
        <v>64.825080981027298</v>
      </c>
      <c r="H55" s="152">
        <f>AVERAGE(D55:G55)</f>
        <v>76.300134835581375</v>
      </c>
      <c r="I55" s="148">
        <f t="shared" si="1"/>
        <v>76.300134835581375</v>
      </c>
      <c r="J55" s="148">
        <f t="shared" si="1"/>
        <v>76.300134835581375</v>
      </c>
      <c r="K55" s="148">
        <f t="shared" si="1"/>
        <v>76.300134835581375</v>
      </c>
      <c r="L55" s="148">
        <f t="shared" si="1"/>
        <v>76.300134835581375</v>
      </c>
      <c r="M55" s="115"/>
    </row>
    <row r="56" spans="1:13" s="35" customFormat="1" ht="16" x14ac:dyDescent="0.2">
      <c r="A56" s="115" t="s">
        <v>195</v>
      </c>
      <c r="B56" s="108">
        <f>B8/income!B$2</f>
        <v>2.7780190430694733E-2</v>
      </c>
      <c r="C56" s="170">
        <f>C8/income!C$2</f>
        <v>2.2822576989681983E-2</v>
      </c>
      <c r="D56" s="108">
        <f>D8/income!D$2</f>
        <v>1.7038648415368559E-2</v>
      </c>
      <c r="E56" s="108">
        <f>E8/income!E$2</f>
        <v>2.9009683456749938E-2</v>
      </c>
      <c r="F56" s="108">
        <f>F8/income!F$2</f>
        <v>4.2681380010147131E-2</v>
      </c>
      <c r="G56" s="108">
        <f>G8/income!G$2</f>
        <v>3.2012336733366779E-2</v>
      </c>
      <c r="H56" s="146">
        <f t="shared" ref="H56" si="2">AVERAGE(D56:G56)</f>
        <v>3.0185512153908106E-2</v>
      </c>
      <c r="I56" s="145">
        <f t="shared" si="1"/>
        <v>3.0185512153908106E-2</v>
      </c>
      <c r="J56" s="145">
        <f t="shared" si="1"/>
        <v>3.0185512153908106E-2</v>
      </c>
      <c r="K56" s="145">
        <f t="shared" si="1"/>
        <v>3.0185512153908106E-2</v>
      </c>
      <c r="L56" s="145">
        <f t="shared" si="1"/>
        <v>3.0185512153908106E-2</v>
      </c>
      <c r="M56" s="115"/>
    </row>
    <row r="57" spans="1:13" x14ac:dyDescent="0.2">
      <c r="A57" s="41"/>
      <c r="B57" s="89"/>
      <c r="C57" s="90"/>
      <c r="D57" s="30"/>
      <c r="E57" s="30"/>
      <c r="F57" s="30"/>
      <c r="G57" s="30"/>
      <c r="H57" s="58"/>
      <c r="I57" s="58"/>
      <c r="J57" s="58"/>
      <c r="K57" s="58"/>
      <c r="L57" s="58"/>
      <c r="M57" s="46"/>
    </row>
    <row r="58" spans="1:13" x14ac:dyDescent="0.2">
      <c r="A58" s="102" t="s">
        <v>19</v>
      </c>
      <c r="B58" s="89"/>
      <c r="C58" s="90"/>
      <c r="E58" s="106"/>
      <c r="F58" s="106"/>
      <c r="G58" s="106"/>
      <c r="H58" s="117"/>
      <c r="I58" s="117"/>
      <c r="J58" s="117"/>
      <c r="K58" s="117"/>
      <c r="L58" s="117"/>
      <c r="M58" s="46"/>
    </row>
    <row r="59" spans="1:13" x14ac:dyDescent="0.2">
      <c r="A59" s="115" t="s">
        <v>241</v>
      </c>
      <c r="B59" s="114">
        <v>1860.3409999999999</v>
      </c>
      <c r="C59" s="116">
        <v>2390.25</v>
      </c>
      <c r="D59" s="106">
        <f>D26/income!D2*365</f>
        <v>57.900801341281415</v>
      </c>
      <c r="E59" s="106">
        <f>E26/income!E2*365</f>
        <v>56.001912279274144</v>
      </c>
      <c r="F59" s="106">
        <f>F26/income!F2*365</f>
        <v>70.034722222222214</v>
      </c>
      <c r="G59" s="106">
        <f>G26/income!G2*365</f>
        <v>67.984411868532035</v>
      </c>
      <c r="H59" s="179">
        <f>AVERAGE(D59:G59)</f>
        <v>62.980461927827449</v>
      </c>
      <c r="I59" s="179">
        <f>H59</f>
        <v>62.980461927827449</v>
      </c>
      <c r="J59" s="179">
        <f t="shared" ref="J59:L59" si="3">I59</f>
        <v>62.980461927827449</v>
      </c>
      <c r="K59" s="179">
        <f t="shared" si="3"/>
        <v>62.980461927827449</v>
      </c>
      <c r="L59" s="179">
        <f t="shared" si="3"/>
        <v>62.980461927827449</v>
      </c>
      <c r="M59" s="46"/>
    </row>
    <row r="60" spans="1:13" ht="16" x14ac:dyDescent="0.2">
      <c r="A60" s="115" t="s">
        <v>210</v>
      </c>
      <c r="B60" s="114">
        <v>1210.028</v>
      </c>
      <c r="C60" s="116">
        <v>1731.366</v>
      </c>
      <c r="D60" s="108">
        <f>D27/income!D2</f>
        <v>9.7582910758115496E-2</v>
      </c>
      <c r="E60" s="108">
        <f>E27/income!E2</f>
        <v>0.11819513385954919</v>
      </c>
      <c r="F60" s="108">
        <f>F27/income!F2</f>
        <v>0.12224124809741248</v>
      </c>
      <c r="G60" s="108">
        <f>G27/income!G2</f>
        <v>0.10625568994667707</v>
      </c>
      <c r="H60" s="146">
        <f t="shared" ref="H60:H64" si="4">AVERAGE(D60:G60)</f>
        <v>0.11106874566543856</v>
      </c>
      <c r="I60" s="145">
        <f t="shared" si="1"/>
        <v>0.11106874566543856</v>
      </c>
      <c r="J60" s="145">
        <f t="shared" si="1"/>
        <v>0.11106874566543856</v>
      </c>
      <c r="K60" s="145">
        <f t="shared" si="1"/>
        <v>0.11106874566543856</v>
      </c>
      <c r="L60" s="145">
        <f t="shared" si="1"/>
        <v>0.11106874566543856</v>
      </c>
      <c r="M60" s="46"/>
    </row>
    <row r="61" spans="1:13" ht="16" x14ac:dyDescent="0.2">
      <c r="A61" s="115" t="s">
        <v>196</v>
      </c>
      <c r="B61" s="114">
        <v>763.12599999999998</v>
      </c>
      <c r="C61" s="116">
        <v>1015.253</v>
      </c>
      <c r="D61" s="108">
        <f>D28/income!D2</f>
        <v>2.9368814554666577E-2</v>
      </c>
      <c r="E61" s="108">
        <f>E28/income!E2</f>
        <v>4.7318740336886649E-2</v>
      </c>
      <c r="F61" s="108">
        <f>F28/income!F2</f>
        <v>4.6232876712328765E-2</v>
      </c>
      <c r="G61" s="108">
        <f>G28/income!G2</f>
        <v>2.6884417442357356E-2</v>
      </c>
      <c r="H61" s="146">
        <f t="shared" si="4"/>
        <v>3.7451212261559841E-2</v>
      </c>
      <c r="I61" s="145">
        <f t="shared" si="1"/>
        <v>3.7451212261559841E-2</v>
      </c>
      <c r="J61" s="145">
        <f t="shared" si="1"/>
        <v>3.7451212261559841E-2</v>
      </c>
      <c r="K61" s="145">
        <f t="shared" si="1"/>
        <v>3.7451212261559841E-2</v>
      </c>
      <c r="L61" s="145">
        <f t="shared" si="1"/>
        <v>3.7451212261559841E-2</v>
      </c>
      <c r="M61" s="46"/>
    </row>
    <row r="62" spans="1:13" ht="16" x14ac:dyDescent="0.2">
      <c r="A62" s="115" t="s">
        <v>211</v>
      </c>
      <c r="B62" s="114">
        <v>179.50399999999999</v>
      </c>
      <c r="C62" s="116">
        <v>787.33299999999997</v>
      </c>
      <c r="D62" s="108">
        <f>D29/income!D2</f>
        <v>2.3430116058380145E-2</v>
      </c>
      <c r="E62" s="108">
        <f>E29/income!E2</f>
        <v>1.2897713402229637E-2</v>
      </c>
      <c r="F62" s="108"/>
      <c r="G62" s="108"/>
      <c r="H62" s="146">
        <f>AVERAGE(D62:G62)</f>
        <v>1.8163914730304889E-2</v>
      </c>
      <c r="I62" s="145">
        <f t="shared" si="1"/>
        <v>1.8163914730304889E-2</v>
      </c>
      <c r="J62" s="145">
        <f t="shared" si="1"/>
        <v>1.8163914730304889E-2</v>
      </c>
      <c r="K62" s="145">
        <f t="shared" si="1"/>
        <v>1.8163914730304889E-2</v>
      </c>
      <c r="L62" s="145">
        <f t="shared" si="1"/>
        <v>1.8163914730304889E-2</v>
      </c>
      <c r="M62" s="46"/>
    </row>
    <row r="63" spans="1:13" ht="16" x14ac:dyDescent="0.2">
      <c r="A63" s="115" t="s">
        <v>197</v>
      </c>
      <c r="B63" s="114">
        <v>663.85900000000004</v>
      </c>
      <c r="C63" s="116">
        <v>853.9190000000001</v>
      </c>
      <c r="D63" s="108">
        <f>D30/income!D2</f>
        <v>3.6931694809458605E-2</v>
      </c>
      <c r="E63" s="108">
        <f>E30/income!E2</f>
        <v>2.9538611766620555E-2</v>
      </c>
      <c r="F63" s="108">
        <f>F30/income!F2</f>
        <v>2.3845763571790968E-2</v>
      </c>
      <c r="G63" s="108">
        <f>G30/income!G2</f>
        <v>1.7185961391969977E-2</v>
      </c>
      <c r="H63" s="146">
        <f t="shared" si="4"/>
        <v>2.6875507884960029E-2</v>
      </c>
      <c r="I63" s="145">
        <f t="shared" si="1"/>
        <v>2.6875507884960029E-2</v>
      </c>
      <c r="J63" s="145">
        <f t="shared" si="1"/>
        <v>2.6875507884960029E-2</v>
      </c>
      <c r="K63" s="145">
        <f t="shared" si="1"/>
        <v>2.6875507884960029E-2</v>
      </c>
      <c r="L63" s="145">
        <f t="shared" si="1"/>
        <v>2.6875507884960029E-2</v>
      </c>
      <c r="M63" s="46"/>
    </row>
    <row r="64" spans="1:13" ht="16" x14ac:dyDescent="0.2">
      <c r="A64" s="115" t="s">
        <v>25</v>
      </c>
      <c r="B64" s="114">
        <v>984.21100000000001</v>
      </c>
      <c r="C64" s="116">
        <v>796.54899999999998</v>
      </c>
      <c r="D64" s="108">
        <f>D31/income!D2</f>
        <v>0.11964339665298435</v>
      </c>
      <c r="E64" s="108">
        <f>E31/income!E2</f>
        <v>7.2625925624542273E-2</v>
      </c>
      <c r="F64" s="108">
        <f>F31/income!F2</f>
        <v>6.7605276509386095E-2</v>
      </c>
      <c r="G64" s="108">
        <f>G31/income!G2</f>
        <v>2.9522694758746262E-2</v>
      </c>
      <c r="H64" s="146">
        <f t="shared" si="4"/>
        <v>7.2349323386414741E-2</v>
      </c>
      <c r="I64" s="145">
        <f t="shared" si="1"/>
        <v>7.2349323386414741E-2</v>
      </c>
      <c r="J64" s="145">
        <f t="shared" si="1"/>
        <v>7.2349323386414741E-2</v>
      </c>
      <c r="K64" s="145">
        <f t="shared" si="1"/>
        <v>7.2349323386414741E-2</v>
      </c>
      <c r="L64" s="145">
        <f t="shared" si="1"/>
        <v>7.2349323386414741E-2</v>
      </c>
      <c r="M64" s="46"/>
    </row>
    <row r="65" spans="1:13" x14ac:dyDescent="0.2">
      <c r="A65" s="115"/>
      <c r="B65" s="114"/>
      <c r="C65" s="116"/>
      <c r="D65" s="114"/>
      <c r="E65" s="114"/>
      <c r="F65" s="114"/>
      <c r="G65" s="114"/>
      <c r="H65" s="46"/>
      <c r="I65" s="117"/>
      <c r="J65" s="117"/>
      <c r="K65" s="117"/>
      <c r="L65" s="46"/>
      <c r="M65" s="46"/>
    </row>
    <row r="68" spans="1:13" x14ac:dyDescent="0.2">
      <c r="A68" s="102" t="s">
        <v>227</v>
      </c>
      <c r="B68" s="104"/>
      <c r="C68" s="105"/>
    </row>
    <row r="69" spans="1:13" x14ac:dyDescent="0.2">
      <c r="A69" s="35" t="s">
        <v>4</v>
      </c>
      <c r="B69" s="104"/>
      <c r="C69" s="105"/>
      <c r="D69" s="106">
        <f>balance!C6-balance!D6</f>
        <v>-433.64099999999985</v>
      </c>
      <c r="E69" s="106">
        <f>balance!D6-balance!E6</f>
        <v>-374.97800000000007</v>
      </c>
      <c r="F69" s="106">
        <f>balance!E6-balance!F6</f>
        <v>-562</v>
      </c>
      <c r="G69" s="106">
        <f>balance!F6-balance!G6</f>
        <v>-27</v>
      </c>
      <c r="H69" s="106">
        <f>G6-H6</f>
        <v>-2752.2397548060626</v>
      </c>
      <c r="I69" s="106">
        <f t="shared" ref="I69:L69" si="5">H6-I6</f>
        <v>-1283.7695497209115</v>
      </c>
      <c r="J69" s="106">
        <f t="shared" si="5"/>
        <v>-1192.3271914904835</v>
      </c>
      <c r="K69" s="106">
        <f t="shared" si="5"/>
        <v>302.83286160543048</v>
      </c>
      <c r="L69" s="106">
        <f t="shared" si="5"/>
        <v>-2174.1352551902582</v>
      </c>
    </row>
    <row r="70" spans="1:13" x14ac:dyDescent="0.2">
      <c r="A70" s="35" t="s">
        <v>5</v>
      </c>
      <c r="B70" s="80"/>
      <c r="C70" s="75"/>
      <c r="D70" s="106">
        <f>balance!C7-balance!D7</f>
        <v>-849.90900000000011</v>
      </c>
      <c r="E70" s="106">
        <f>balance!D7-balance!E7</f>
        <v>-438.55400000000009</v>
      </c>
      <c r="F70" s="106">
        <f>balance!E7-balance!F7</f>
        <v>-549</v>
      </c>
      <c r="G70" s="106">
        <f>balance!F7-balance!G7</f>
        <v>-1656</v>
      </c>
      <c r="H70" s="106">
        <f>balance!G7-balance!H7</f>
        <v>-14409.367944632057</v>
      </c>
      <c r="I70" s="106">
        <f>balance!H7-balance!I7</f>
        <v>-5549.3330367675262</v>
      </c>
      <c r="J70" s="106">
        <f>balance!I7-balance!J7</f>
        <v>-5154.0564081869816</v>
      </c>
      <c r="K70" s="106">
        <f>balance!J7-balance!K7</f>
        <v>1309.0514601247596</v>
      </c>
      <c r="L70" s="106">
        <f>balance!K7-balance!L7</f>
        <v>-9398.1046681245825</v>
      </c>
    </row>
    <row r="71" spans="1:13" x14ac:dyDescent="0.2">
      <c r="A71" s="134" t="s">
        <v>6</v>
      </c>
      <c r="B71" s="80"/>
      <c r="C71" s="75"/>
      <c r="D71" s="106">
        <f>balance!C8-balance!D8</f>
        <v>-97.305999999999983</v>
      </c>
      <c r="E71" s="106">
        <f>balance!D8-balance!E8</f>
        <v>-347.32900000000001</v>
      </c>
      <c r="F71" s="106">
        <f>balance!E8-balance!F8</f>
        <v>-633</v>
      </c>
      <c r="G71" s="106">
        <f>balance!F8-balance!G8</f>
        <v>-377</v>
      </c>
      <c r="H71" s="106">
        <f>balance!G8-balance!H8</f>
        <v>-1189.0162538596901</v>
      </c>
      <c r="I71" s="106">
        <f>balance!H8-balance!I8</f>
        <v>-801.32168794673998</v>
      </c>
      <c r="J71" s="106">
        <f>balance!I8-balance!J8</f>
        <v>-744.24388542138286</v>
      </c>
      <c r="K71" s="106">
        <f>balance!J8-balance!K8</f>
        <v>189.0265584505878</v>
      </c>
      <c r="L71" s="106">
        <f>balance!K8-balance!L8</f>
        <v>-1357.082922626043</v>
      </c>
    </row>
    <row r="72" spans="1:13" x14ac:dyDescent="0.2">
      <c r="A72" s="35" t="s">
        <v>20</v>
      </c>
      <c r="B72" s="80"/>
      <c r="C72" s="75"/>
      <c r="D72" s="6">
        <f>balance!D26-balance!C26</f>
        <v>1014.201</v>
      </c>
      <c r="E72" s="6">
        <f>balance!E26-balance!D26</f>
        <v>366.54899999999998</v>
      </c>
      <c r="F72" s="6">
        <f>balance!F26-balance!E26</f>
        <v>2280</v>
      </c>
      <c r="G72" s="6">
        <f>balance!G26-balance!F26</f>
        <v>3974</v>
      </c>
      <c r="H72" s="6">
        <f>balance!H26-balance!G26</f>
        <v>6620.9360956092787</v>
      </c>
      <c r="I72" s="6">
        <f>balance!I26-balance!H26</f>
        <v>4580.5889963380359</v>
      </c>
      <c r="J72" s="6">
        <f>balance!J26-balance!I26</f>
        <v>4254.3155931399597</v>
      </c>
      <c r="K72" s="6">
        <f>balance!K26-balance!J26</f>
        <v>-1080.5310609688131</v>
      </c>
      <c r="L72" s="6">
        <f>balance!L26-balance!K26</f>
        <v>7757.4826639563908</v>
      </c>
    </row>
    <row r="73" spans="1:13" x14ac:dyDescent="0.2">
      <c r="A73" s="35" t="s">
        <v>21</v>
      </c>
      <c r="B73" s="80"/>
      <c r="C73" s="75"/>
      <c r="D73" s="6">
        <f>balance!D27-balance!C27</f>
        <v>362.88699999999972</v>
      </c>
      <c r="E73" s="6">
        <f>balance!E27-balance!D27</f>
        <v>810.7470000000003</v>
      </c>
      <c r="F73" s="6">
        <f>balance!F27-balance!E27</f>
        <v>950</v>
      </c>
      <c r="G73" s="6">
        <f>balance!G27-balance!F27</f>
        <v>1864</v>
      </c>
      <c r="H73" s="6">
        <f>balance!H27-balance!G27</f>
        <v>4995.8751038067203</v>
      </c>
      <c r="I73" s="6">
        <f>balance!I27-balance!H27</f>
        <v>2948.4937774439368</v>
      </c>
      <c r="J73" s="6">
        <f>balance!J27-balance!I27</f>
        <v>2738.4738215290836</v>
      </c>
      <c r="K73" s="6">
        <f>balance!K27-balance!J27</f>
        <v>-695.53044644443071</v>
      </c>
      <c r="L73" s="6">
        <f>balance!L27-balance!K27</f>
        <v>4993.4384817302853</v>
      </c>
    </row>
    <row r="74" spans="1:13" x14ac:dyDescent="0.2">
      <c r="A74" s="35" t="s">
        <v>22</v>
      </c>
      <c r="B74" s="80"/>
      <c r="C74" s="75"/>
      <c r="D74" s="6">
        <f>balance!D28-balance!C28</f>
        <v>-384.96100000000001</v>
      </c>
      <c r="E74" s="6">
        <f>balance!E28-balance!D28</f>
        <v>532.70799999999997</v>
      </c>
      <c r="F74" s="6">
        <f>balance!F28-balance!E28</f>
        <v>295</v>
      </c>
      <c r="G74" s="6">
        <f>balance!G28-balance!F28</f>
        <v>-11</v>
      </c>
      <c r="H74" s="6">
        <f>balance!H28-balance!G28</f>
        <v>2165.943132332834</v>
      </c>
      <c r="I74" s="6">
        <f>balance!I28-balance!H28</f>
        <v>994.20107474304814</v>
      </c>
      <c r="J74" s="6">
        <f>balance!J28-balance!I28</f>
        <v>923.38455564934156</v>
      </c>
      <c r="K74" s="6">
        <f>balance!K28-balance!J28</f>
        <v>-234.52554747157319</v>
      </c>
      <c r="L74" s="6">
        <f>balance!L28-balance!K28</f>
        <v>1683.7349100676338</v>
      </c>
    </row>
    <row r="75" spans="1:13" x14ac:dyDescent="0.2">
      <c r="A75" s="35" t="s">
        <v>23</v>
      </c>
      <c r="B75" s="80"/>
      <c r="C75" s="75"/>
      <c r="D75" s="6">
        <f>balance!D29-balance!C29</f>
        <v>-284.49299999999999</v>
      </c>
      <c r="E75" s="6">
        <f>balance!E29-balance!D29</f>
        <v>-185.83999999999997</v>
      </c>
      <c r="F75" s="6">
        <f>balance!F29-balance!E29</f>
        <v>-317</v>
      </c>
      <c r="G75" s="6"/>
      <c r="H75" s="6"/>
      <c r="I75" s="6"/>
      <c r="J75" s="6"/>
      <c r="K75" s="6"/>
      <c r="L75" s="6"/>
    </row>
    <row r="76" spans="1:13" x14ac:dyDescent="0.2">
      <c r="A76" s="35" t="s">
        <v>24</v>
      </c>
      <c r="B76" s="80"/>
      <c r="C76" s="75"/>
      <c r="D76" s="18">
        <f>balance!D30-balance!C30</f>
        <v>-61.318000000000097</v>
      </c>
      <c r="E76" s="18">
        <f>balance!E30-balance!D30</f>
        <v>-66.600999999999999</v>
      </c>
      <c r="F76" s="18">
        <f>balance!F30-balance!E30</f>
        <v>26</v>
      </c>
      <c r="G76" s="18">
        <f>balance!G30-balance!F30</f>
        <v>173</v>
      </c>
      <c r="H76" s="18">
        <f>balance!H30-balance!G30</f>
        <v>1667.6979602897127</v>
      </c>
      <c r="I76" s="18">
        <f>balance!I30-balance!H30</f>
        <v>713.45244145588686</v>
      </c>
      <c r="J76" s="18">
        <f>balance!J30-balance!I30</f>
        <v>662.63352793190916</v>
      </c>
      <c r="K76" s="18">
        <f>balance!K30-balance!J30</f>
        <v>-168.29877645285887</v>
      </c>
      <c r="L76" s="18">
        <f>balance!L30-balance!K30</f>
        <v>1208.2714582286385</v>
      </c>
    </row>
    <row r="77" spans="1:13" x14ac:dyDescent="0.2">
      <c r="A77" s="135" t="s">
        <v>227</v>
      </c>
      <c r="B77" s="93"/>
      <c r="C77" s="79"/>
      <c r="D77" s="17">
        <f>SUM(D69:D76)</f>
        <v>-734.5400000000003</v>
      </c>
      <c r="E77" s="17">
        <f t="shared" ref="E77:J77" si="6">SUM(E69:E76)</f>
        <v>296.70200000000017</v>
      </c>
      <c r="F77" s="17">
        <f t="shared" si="6"/>
        <v>1490</v>
      </c>
      <c r="G77" s="17">
        <f>SUM(G69:G76)</f>
        <v>3940</v>
      </c>
      <c r="H77" s="17">
        <f>SUM(H69:H76)</f>
        <v>-2900.1716612592618</v>
      </c>
      <c r="I77" s="17">
        <f t="shared" si="6"/>
        <v>1602.31201554573</v>
      </c>
      <c r="J77" s="17">
        <f t="shared" si="6"/>
        <v>1488.1800131514456</v>
      </c>
      <c r="K77" s="17">
        <f>SUM(K69:K76)</f>
        <v>-377.97495115689799</v>
      </c>
      <c r="L77" s="17">
        <f>SUM(L69:L76)</f>
        <v>2713.6046680420645</v>
      </c>
    </row>
  </sheetData>
  <pageMargins left="0.7" right="0.7" top="0.75" bottom="0.75" header="0.3" footer="0.3"/>
  <pageSetup orientation="portrait" horizontalDpi="0" verticalDpi="0"/>
  <drawing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E01ED-67E6-FA48-A901-380656C9A536}">
  <dimension ref="A1:M99"/>
  <sheetViews>
    <sheetView zoomScale="130" zoomScaleNormal="130" workbookViewId="0">
      <selection activeCell="J13" sqref="J13"/>
    </sheetView>
  </sheetViews>
  <sheetFormatPr baseColWidth="10" defaultColWidth="8.83203125" defaultRowHeight="15" x14ac:dyDescent="0.2"/>
  <cols>
    <col min="1" max="1" width="48.5" style="16" customWidth="1"/>
    <col min="2" max="2" width="10.6640625" style="80" hidden="1" customWidth="1"/>
    <col min="3" max="3" width="0.1640625" style="75" hidden="1" customWidth="1"/>
    <col min="4" max="7" width="10.6640625" style="6" customWidth="1"/>
    <col min="8" max="12" width="10.6640625" style="1" customWidth="1"/>
    <col min="13" max="17" width="8.83203125" style="1"/>
    <col min="18" max="18" width="8.5" style="1" customWidth="1"/>
    <col min="19" max="16384" width="8.83203125" style="1"/>
  </cols>
  <sheetData>
    <row r="1" spans="1:13" x14ac:dyDescent="0.2">
      <c r="A1" s="23" t="s">
        <v>150</v>
      </c>
      <c r="B1" s="72">
        <v>2016</v>
      </c>
      <c r="C1" s="73">
        <v>2017</v>
      </c>
      <c r="D1" s="54">
        <v>2018</v>
      </c>
      <c r="E1" s="54">
        <v>2019</v>
      </c>
      <c r="F1" s="54">
        <v>2020</v>
      </c>
      <c r="G1" s="54">
        <v>2021</v>
      </c>
      <c r="H1" s="55">
        <v>2022</v>
      </c>
      <c r="I1" s="55">
        <v>2023</v>
      </c>
      <c r="J1" s="55">
        <v>2024</v>
      </c>
      <c r="K1" s="55">
        <v>2025</v>
      </c>
      <c r="L1" s="55">
        <v>2026</v>
      </c>
    </row>
    <row r="2" spans="1:13" x14ac:dyDescent="0.2">
      <c r="A2" s="16" t="s">
        <v>95</v>
      </c>
      <c r="H2" s="10"/>
      <c r="I2" s="10"/>
      <c r="J2" s="10"/>
      <c r="K2" s="10"/>
      <c r="L2" s="10"/>
    </row>
    <row r="3" spans="1:13" x14ac:dyDescent="0.2">
      <c r="A3" s="43" t="s">
        <v>94</v>
      </c>
      <c r="B3" s="80">
        <v>-773.04600000000005</v>
      </c>
      <c r="C3" s="75">
        <v>-2240.578</v>
      </c>
      <c r="D3" s="6">
        <v>-1062.5819999999999</v>
      </c>
      <c r="E3" s="6">
        <v>-775</v>
      </c>
      <c r="F3" s="6">
        <v>862</v>
      </c>
      <c r="G3" s="6">
        <v>5644</v>
      </c>
      <c r="H3" s="10"/>
      <c r="I3" s="10"/>
      <c r="J3" s="10"/>
      <c r="K3" s="10"/>
      <c r="L3" s="10"/>
    </row>
    <row r="4" spans="1:13" x14ac:dyDescent="0.2">
      <c r="A4" s="43" t="s">
        <v>93</v>
      </c>
      <c r="H4" s="10"/>
      <c r="I4" s="10"/>
      <c r="J4" s="10"/>
      <c r="K4" s="10"/>
      <c r="L4" s="10"/>
    </row>
    <row r="5" spans="1:13" x14ac:dyDescent="0.2">
      <c r="A5" s="44" t="s">
        <v>92</v>
      </c>
      <c r="B5" s="80">
        <v>947.09899999999993</v>
      </c>
      <c r="C5" s="75">
        <v>1636.0030000000002</v>
      </c>
      <c r="D5" s="6">
        <v>1901.05</v>
      </c>
      <c r="E5" s="6">
        <v>2154</v>
      </c>
      <c r="F5" s="6">
        <v>2322</v>
      </c>
      <c r="G5" s="6">
        <v>2911</v>
      </c>
      <c r="H5" s="10">
        <f>income!H2*H76</f>
        <v>7330.1947580386932</v>
      </c>
      <c r="I5" s="10">
        <f>income!I2*I76</f>
        <v>9347.3002699686167</v>
      </c>
      <c r="J5" s="10">
        <f>income!J2*J76</f>
        <v>11220.728215429883</v>
      </c>
      <c r="K5" s="10">
        <f>income!K2*K76</f>
        <v>10744.90618454387</v>
      </c>
      <c r="L5" s="10">
        <f>income!L2*L76</f>
        <v>14160.986748130092</v>
      </c>
    </row>
    <row r="6" spans="1:13" x14ac:dyDescent="0.2">
      <c r="A6" s="44" t="s">
        <v>91</v>
      </c>
      <c r="B6" s="80">
        <v>334.22500000000002</v>
      </c>
      <c r="C6" s="75">
        <v>466.76000000000005</v>
      </c>
      <c r="D6" s="6">
        <v>749.024</v>
      </c>
      <c r="E6" s="6">
        <v>898</v>
      </c>
      <c r="F6" s="6">
        <v>1734</v>
      </c>
      <c r="G6" s="6">
        <v>2121</v>
      </c>
      <c r="H6" s="10"/>
      <c r="I6" s="10"/>
      <c r="J6" s="10"/>
      <c r="K6" s="10"/>
      <c r="L6" s="10"/>
    </row>
    <row r="7" spans="1:13" x14ac:dyDescent="0.2">
      <c r="A7" s="44" t="s">
        <v>90</v>
      </c>
      <c r="B7" s="80">
        <v>94.69</v>
      </c>
      <c r="C7" s="75">
        <v>91.037000000000006</v>
      </c>
      <c r="D7" s="6">
        <v>158.72999999999999</v>
      </c>
      <c r="H7" s="10"/>
      <c r="I7" s="10"/>
      <c r="J7" s="10"/>
      <c r="K7" s="10"/>
      <c r="L7" s="10"/>
    </row>
    <row r="8" spans="1:13" x14ac:dyDescent="0.2">
      <c r="A8" s="44" t="s">
        <v>89</v>
      </c>
      <c r="B8" s="80">
        <v>65.52000000000001</v>
      </c>
      <c r="C8" s="75">
        <v>131.66500000000002</v>
      </c>
      <c r="D8" s="6">
        <v>85.272000000000006</v>
      </c>
      <c r="E8" s="6">
        <v>193</v>
      </c>
      <c r="F8" s="6">
        <v>202</v>
      </c>
      <c r="G8" s="6">
        <v>140</v>
      </c>
      <c r="H8" s="10"/>
      <c r="I8" s="10"/>
      <c r="J8" s="10"/>
      <c r="K8" s="10"/>
      <c r="L8" s="10"/>
    </row>
    <row r="9" spans="1:13" x14ac:dyDescent="0.2">
      <c r="A9" s="44" t="s">
        <v>88</v>
      </c>
      <c r="B9" s="80">
        <v>34.632999999999996</v>
      </c>
      <c r="C9" s="75">
        <v>105.77000000000001</v>
      </c>
      <c r="D9" s="6">
        <v>161.36099999999999</v>
      </c>
      <c r="H9" s="10"/>
      <c r="I9" s="10"/>
      <c r="J9" s="10"/>
      <c r="K9" s="10"/>
      <c r="L9" s="10"/>
    </row>
    <row r="10" spans="1:13" x14ac:dyDescent="0.2">
      <c r="A10" s="44" t="s">
        <v>87</v>
      </c>
      <c r="B10" s="80">
        <v>-29.183</v>
      </c>
      <c r="C10" s="75">
        <v>52.309000000000005</v>
      </c>
      <c r="D10" s="6">
        <v>-1.5109999999999999</v>
      </c>
      <c r="E10" s="6">
        <v>-48</v>
      </c>
      <c r="F10" s="6">
        <v>114</v>
      </c>
      <c r="G10" s="6">
        <v>-55</v>
      </c>
      <c r="H10" s="10"/>
      <c r="I10" s="10"/>
      <c r="J10" s="10"/>
      <c r="K10" s="10"/>
      <c r="L10" s="10"/>
    </row>
    <row r="11" spans="1:13" x14ac:dyDescent="0.2">
      <c r="A11" s="44" t="s">
        <v>86</v>
      </c>
      <c r="B11" s="80">
        <v>-88.727000000000004</v>
      </c>
      <c r="C11" s="75">
        <v>57.746000000000002</v>
      </c>
      <c r="D11" s="6">
        <v>0</v>
      </c>
      <c r="H11" s="10"/>
      <c r="I11" s="10"/>
      <c r="J11" s="10"/>
      <c r="K11" s="10"/>
      <c r="L11" s="10"/>
    </row>
    <row r="12" spans="1:13" x14ac:dyDescent="0.2">
      <c r="A12" s="44" t="s">
        <v>85</v>
      </c>
      <c r="B12" s="80">
        <v>-15.178999999999998</v>
      </c>
      <c r="C12" s="75">
        <v>135.23699999999999</v>
      </c>
      <c r="D12" s="6">
        <v>48.506999999999998</v>
      </c>
      <c r="E12" s="6">
        <v>520</v>
      </c>
      <c r="F12" s="6">
        <v>525</v>
      </c>
      <c r="G12" s="6">
        <v>245</v>
      </c>
      <c r="H12" s="10"/>
      <c r="I12" s="10"/>
      <c r="J12" s="10"/>
      <c r="K12" s="10"/>
      <c r="L12" s="10"/>
    </row>
    <row r="13" spans="1:13" x14ac:dyDescent="0.2">
      <c r="A13" s="44" t="s">
        <v>84</v>
      </c>
      <c r="B13" s="80">
        <v>-216.565</v>
      </c>
      <c r="G13" s="6">
        <v>-27</v>
      </c>
      <c r="H13" s="10"/>
      <c r="I13" s="10"/>
      <c r="J13" s="10"/>
      <c r="K13" s="10"/>
      <c r="L13" s="10"/>
    </row>
    <row r="14" spans="1:13" x14ac:dyDescent="0.2">
      <c r="A14" s="44" t="s">
        <v>83</v>
      </c>
      <c r="B14" s="80">
        <v>-632.86699999999996</v>
      </c>
      <c r="E14" s="6">
        <v>-188</v>
      </c>
      <c r="H14" s="10"/>
      <c r="I14" s="10"/>
      <c r="J14" s="10"/>
      <c r="K14" s="10"/>
      <c r="L14" s="10"/>
    </row>
    <row r="15" spans="1:13" x14ac:dyDescent="0.2">
      <c r="A15" s="43" t="s">
        <v>82</v>
      </c>
      <c r="G15" s="10">
        <f>balance!C6-balance!D6</f>
        <v>-433.64099999999985</v>
      </c>
      <c r="H15" s="10"/>
      <c r="I15" s="10"/>
      <c r="J15" s="10"/>
      <c r="K15" s="10"/>
      <c r="L15" s="10"/>
    </row>
    <row r="16" spans="1:13" x14ac:dyDescent="0.2">
      <c r="A16" s="44" t="s">
        <v>81</v>
      </c>
      <c r="B16" s="80">
        <v>-1832.836</v>
      </c>
      <c r="C16" s="75">
        <v>-24.634999999999998</v>
      </c>
      <c r="D16" s="6">
        <v>-496.73200000000003</v>
      </c>
      <c r="E16" s="6">
        <v>-367</v>
      </c>
      <c r="F16" s="6">
        <v>-652</v>
      </c>
      <c r="G16" s="6">
        <v>-130</v>
      </c>
      <c r="H16" s="10" t="e">
        <f>balance!G6-balance!#REF!</f>
        <v>#REF!</v>
      </c>
      <c r="I16" s="10" t="e">
        <f>balance!#REF!-balance!#REF!</f>
        <v>#REF!</v>
      </c>
      <c r="J16" s="10" t="e">
        <f>balance!#REF!-balance!#REF!</f>
        <v>#REF!</v>
      </c>
      <c r="K16" s="10" t="e">
        <f>balance!#REF!-balance!#REF!</f>
        <v>#REF!</v>
      </c>
      <c r="L16" s="10" t="e">
        <f>balance!#REF!-balance!#REF!</f>
        <v>#REF!</v>
      </c>
      <c r="M16" s="10"/>
    </row>
    <row r="17" spans="1:12" x14ac:dyDescent="0.2">
      <c r="A17" s="44" t="s">
        <v>5</v>
      </c>
      <c r="B17" s="80">
        <v>56.805999999999997</v>
      </c>
      <c r="C17" s="75">
        <v>-178.85</v>
      </c>
      <c r="D17" s="6">
        <v>-1023.2639999999999</v>
      </c>
      <c r="E17" s="6">
        <v>-429</v>
      </c>
      <c r="F17" s="6">
        <v>-422</v>
      </c>
      <c r="G17" s="6">
        <v>-1709</v>
      </c>
      <c r="H17" s="10">
        <f>balance!G7-balance!H7</f>
        <v>-14409.367944632057</v>
      </c>
      <c r="I17" s="10">
        <f>balance!H7-balance!I7</f>
        <v>-5549.3330367675262</v>
      </c>
      <c r="J17" s="10">
        <f>balance!I7-balance!J7</f>
        <v>-5154.0564081869816</v>
      </c>
      <c r="K17" s="10">
        <f>balance!J7-balance!K7</f>
        <v>1309.0514601247596</v>
      </c>
      <c r="L17" s="10">
        <f>balance!K7-balance!L7</f>
        <v>-9398.1046681245825</v>
      </c>
    </row>
    <row r="18" spans="1:12" x14ac:dyDescent="0.2">
      <c r="A18" s="44" t="s">
        <v>80</v>
      </c>
      <c r="B18" s="80">
        <v>-49.352999999999994</v>
      </c>
      <c r="C18" s="75">
        <v>-1522.5729999999999</v>
      </c>
      <c r="D18" s="6">
        <v>-214.74699999999999</v>
      </c>
      <c r="E18" s="6">
        <v>-764</v>
      </c>
      <c r="F18" s="6">
        <v>-1072</v>
      </c>
      <c r="G18" s="6">
        <v>-2114</v>
      </c>
      <c r="H18" s="10"/>
      <c r="I18" s="10"/>
      <c r="J18" s="10"/>
      <c r="K18" s="10"/>
      <c r="L18" s="10"/>
    </row>
    <row r="19" spans="1:12" x14ac:dyDescent="0.2">
      <c r="A19" s="44" t="s">
        <v>6</v>
      </c>
      <c r="B19" s="80">
        <v>750.64</v>
      </c>
      <c r="C19" s="75">
        <v>-72.084000000000003</v>
      </c>
      <c r="D19" s="6">
        <v>-82.125</v>
      </c>
      <c r="E19" s="6">
        <v>-288</v>
      </c>
      <c r="F19" s="6">
        <v>-251</v>
      </c>
      <c r="G19" s="6">
        <v>-271</v>
      </c>
      <c r="H19" s="10">
        <f>balance!G8-balance!H8</f>
        <v>-1189.0162538596901</v>
      </c>
      <c r="I19" s="10">
        <f>balance!H8-balance!I8</f>
        <v>-801.32168794673998</v>
      </c>
      <c r="J19" s="10">
        <f>balance!I8-balance!J8</f>
        <v>-744.24388542138286</v>
      </c>
      <c r="K19" s="10">
        <f>balance!J8-balance!K8</f>
        <v>189.0265584505878</v>
      </c>
      <c r="L19" s="10">
        <f>balance!K8-balance!L8</f>
        <v>-1357.082922626043</v>
      </c>
    </row>
    <row r="20" spans="1:12" x14ac:dyDescent="0.2">
      <c r="A20" s="43" t="s">
        <v>17</v>
      </c>
      <c r="B20" s="80">
        <v>382.96199999999999</v>
      </c>
      <c r="C20" s="75">
        <v>-15.452999999999999</v>
      </c>
      <c r="D20" s="6">
        <v>-207.40900000000002</v>
      </c>
      <c r="E20" s="6">
        <v>115</v>
      </c>
      <c r="F20" s="6">
        <v>-344</v>
      </c>
      <c r="G20" s="6">
        <v>-1291</v>
      </c>
      <c r="H20" s="10"/>
      <c r="I20" s="10"/>
      <c r="J20" s="10"/>
      <c r="K20" s="10"/>
      <c r="L20" s="10"/>
    </row>
    <row r="21" spans="1:12" x14ac:dyDescent="0.2">
      <c r="A21" s="44" t="s">
        <v>79</v>
      </c>
      <c r="B21" s="80">
        <v>388.36099999999999</v>
      </c>
      <c r="C21" s="75">
        <v>388.20600000000002</v>
      </c>
      <c r="D21" s="6">
        <v>1722.85</v>
      </c>
      <c r="E21" s="6">
        <v>646</v>
      </c>
      <c r="F21" s="6">
        <v>2102</v>
      </c>
      <c r="G21" s="6">
        <v>4578</v>
      </c>
      <c r="H21" s="10"/>
      <c r="I21" s="10"/>
      <c r="J21" s="10"/>
      <c r="K21" s="10"/>
      <c r="L21" s="10"/>
    </row>
    <row r="22" spans="1:12" x14ac:dyDescent="0.2">
      <c r="A22" s="44" t="s">
        <v>22</v>
      </c>
      <c r="B22" s="80">
        <v>326.93400000000003</v>
      </c>
      <c r="C22" s="75">
        <v>468.90200000000004</v>
      </c>
      <c r="D22" s="6">
        <v>406.661</v>
      </c>
      <c r="E22" s="6">
        <v>801</v>
      </c>
      <c r="F22" s="6">
        <v>321</v>
      </c>
      <c r="G22" s="6">
        <v>793</v>
      </c>
      <c r="H22" s="10"/>
      <c r="I22" s="10"/>
      <c r="J22" s="10"/>
      <c r="K22" s="10"/>
      <c r="L22" s="10"/>
    </row>
    <row r="23" spans="1:12" x14ac:dyDescent="0.2">
      <c r="A23" s="44" t="s">
        <v>24</v>
      </c>
      <c r="B23" s="80">
        <v>132.05699999999999</v>
      </c>
      <c r="C23" s="75">
        <v>170.02699999999999</v>
      </c>
      <c r="D23" s="6">
        <v>-96.685000000000002</v>
      </c>
      <c r="E23" s="6">
        <v>-58</v>
      </c>
      <c r="F23" s="6">
        <v>7</v>
      </c>
      <c r="G23" s="6">
        <v>186</v>
      </c>
      <c r="H23" s="10"/>
      <c r="I23" s="10"/>
      <c r="J23" s="10"/>
      <c r="K23" s="10"/>
      <c r="L23" s="10"/>
    </row>
    <row r="24" spans="1:12" x14ac:dyDescent="0.2">
      <c r="A24" s="44" t="s">
        <v>78</v>
      </c>
      <c r="B24" s="80">
        <v>-123.82899999999999</v>
      </c>
      <c r="C24" s="75">
        <v>208.71799999999999</v>
      </c>
      <c r="D24" s="6">
        <v>-110.56400000000001</v>
      </c>
      <c r="H24" s="10"/>
      <c r="I24" s="10"/>
      <c r="J24" s="10"/>
      <c r="K24" s="10"/>
      <c r="L24" s="10"/>
    </row>
    <row r="25" spans="1:12" x14ac:dyDescent="0.2">
      <c r="A25" s="43" t="s">
        <v>32</v>
      </c>
      <c r="B25" s="76">
        <v>0</v>
      </c>
      <c r="C25" s="77">
        <v>81.138999999999996</v>
      </c>
      <c r="D25" s="18">
        <v>159.96600000000001</v>
      </c>
      <c r="E25" s="18">
        <v>-5</v>
      </c>
      <c r="F25" s="18">
        <v>495</v>
      </c>
      <c r="G25" s="18">
        <v>476</v>
      </c>
      <c r="H25" s="56"/>
      <c r="I25" s="56"/>
      <c r="J25" s="56"/>
      <c r="K25" s="56"/>
      <c r="L25" s="56"/>
    </row>
    <row r="26" spans="1:12" x14ac:dyDescent="0.2">
      <c r="A26" s="45" t="s">
        <v>77</v>
      </c>
      <c r="B26" s="93">
        <v>-1280.8020000000001</v>
      </c>
      <c r="C26" s="79">
        <v>-60.653999999999996</v>
      </c>
      <c r="D26" s="17">
        <v>2097.8020000000001</v>
      </c>
      <c r="E26" s="17">
        <v>2405</v>
      </c>
      <c r="F26" s="17">
        <v>5943</v>
      </c>
      <c r="G26" s="17">
        <v>11497</v>
      </c>
      <c r="H26" s="10"/>
      <c r="I26" s="10"/>
      <c r="J26" s="10"/>
      <c r="K26" s="10"/>
      <c r="L26" s="10"/>
    </row>
    <row r="27" spans="1:12" x14ac:dyDescent="0.2">
      <c r="A27" s="45"/>
      <c r="B27" s="93"/>
      <c r="C27" s="79"/>
      <c r="D27" s="17"/>
      <c r="E27" s="17"/>
      <c r="F27" s="17"/>
      <c r="G27" s="17"/>
      <c r="H27" s="10"/>
      <c r="I27" s="10"/>
      <c r="J27" s="10"/>
      <c r="K27" s="10"/>
      <c r="L27" s="10"/>
    </row>
    <row r="28" spans="1:12" x14ac:dyDescent="0.2">
      <c r="A28" s="16" t="s">
        <v>76</v>
      </c>
      <c r="H28" s="10"/>
      <c r="I28" s="10"/>
      <c r="J28" s="10"/>
      <c r="K28" s="10"/>
      <c r="L28" s="10"/>
    </row>
    <row r="29" spans="1:12" x14ac:dyDescent="0.2">
      <c r="A29" s="43" t="s">
        <v>75</v>
      </c>
      <c r="C29" s="75">
        <v>-3414.8139999999999</v>
      </c>
      <c r="D29" s="6">
        <v>-2100.7240000000002</v>
      </c>
      <c r="E29" s="6">
        <v>-1327</v>
      </c>
      <c r="F29" s="6">
        <v>-3157</v>
      </c>
      <c r="G29" s="6">
        <v>-6482</v>
      </c>
      <c r="H29" s="10">
        <f>income!H2*H88</f>
        <v>-2406.4443486740697</v>
      </c>
      <c r="I29" s="10">
        <f>income!I2*I88</f>
        <v>-3068.6439654768656</v>
      </c>
      <c r="J29" s="10">
        <f>income!J2*J88</f>
        <v>-3683.6753856255982</v>
      </c>
      <c r="K29" s="10">
        <f>income!K2*K88</f>
        <v>-3527.4668161405175</v>
      </c>
      <c r="L29" s="10">
        <f>income!L2*L88</f>
        <v>-4648.938760367133</v>
      </c>
    </row>
    <row r="30" spans="1:12" x14ac:dyDescent="0.2">
      <c r="A30" s="43" t="s">
        <v>74</v>
      </c>
      <c r="B30" s="80">
        <v>16.666999999999998</v>
      </c>
      <c r="H30" s="10"/>
      <c r="I30" s="10"/>
      <c r="J30" s="10"/>
      <c r="K30" s="10"/>
      <c r="L30" s="10"/>
    </row>
    <row r="31" spans="1:12" x14ac:dyDescent="0.2">
      <c r="A31" s="43" t="s">
        <v>73</v>
      </c>
      <c r="B31" s="80">
        <v>-159.66900000000001</v>
      </c>
      <c r="C31" s="75">
        <v>-666.54</v>
      </c>
      <c r="D31" s="6">
        <v>-218.792</v>
      </c>
      <c r="E31" s="6">
        <v>-105</v>
      </c>
      <c r="F31" s="6">
        <v>-75</v>
      </c>
      <c r="G31" s="6">
        <v>-32</v>
      </c>
      <c r="H31" s="10"/>
      <c r="I31" s="10"/>
      <c r="J31" s="10"/>
      <c r="K31" s="10"/>
      <c r="L31" s="10"/>
    </row>
    <row r="32" spans="1:12" x14ac:dyDescent="0.2">
      <c r="A32" s="43" t="s">
        <v>72</v>
      </c>
      <c r="G32" s="6">
        <v>-1500</v>
      </c>
      <c r="H32" s="10"/>
      <c r="I32" s="10"/>
      <c r="J32" s="10"/>
      <c r="K32" s="10"/>
      <c r="L32" s="10"/>
    </row>
    <row r="33" spans="1:12" x14ac:dyDescent="0.2">
      <c r="A33" s="43" t="s">
        <v>71</v>
      </c>
      <c r="G33" s="6">
        <v>272</v>
      </c>
      <c r="H33" s="10"/>
      <c r="I33" s="10"/>
      <c r="J33" s="10"/>
      <c r="K33" s="10"/>
      <c r="L33" s="10"/>
    </row>
    <row r="34" spans="1:12" x14ac:dyDescent="0.2">
      <c r="A34" s="43" t="s">
        <v>70</v>
      </c>
      <c r="G34" s="6">
        <v>-132</v>
      </c>
      <c r="H34" s="10"/>
      <c r="I34" s="10"/>
      <c r="J34" s="10"/>
      <c r="K34" s="10"/>
      <c r="L34" s="10"/>
    </row>
    <row r="35" spans="1:12" x14ac:dyDescent="0.2">
      <c r="A35" s="43" t="s">
        <v>69</v>
      </c>
      <c r="E35" s="6">
        <v>46</v>
      </c>
      <c r="F35" s="6">
        <v>123</v>
      </c>
      <c r="G35" s="6">
        <v>6</v>
      </c>
      <c r="H35" s="10"/>
      <c r="I35" s="10"/>
      <c r="J35" s="10"/>
      <c r="K35" s="10"/>
      <c r="L35" s="10"/>
    </row>
    <row r="36" spans="1:12" x14ac:dyDescent="0.2">
      <c r="A36" s="43" t="s">
        <v>68</v>
      </c>
      <c r="E36" s="6">
        <v>-5</v>
      </c>
      <c r="F36" s="6">
        <v>-10</v>
      </c>
      <c r="H36" s="10"/>
      <c r="I36" s="10"/>
      <c r="J36" s="10"/>
      <c r="K36" s="10"/>
      <c r="L36" s="10"/>
    </row>
    <row r="37" spans="1:12" x14ac:dyDescent="0.2">
      <c r="A37" s="43" t="s">
        <v>67</v>
      </c>
      <c r="B37" s="76">
        <v>342.71899999999999</v>
      </c>
      <c r="C37" s="77">
        <v>-114.523</v>
      </c>
      <c r="D37" s="18">
        <v>-17.911999999999999</v>
      </c>
      <c r="E37" s="18">
        <v>-45</v>
      </c>
      <c r="F37" s="18">
        <v>-13</v>
      </c>
      <c r="G37" s="18"/>
      <c r="H37" s="10"/>
      <c r="I37" s="10"/>
      <c r="J37" s="10"/>
      <c r="K37" s="10"/>
      <c r="L37" s="10"/>
    </row>
    <row r="38" spans="1:12" x14ac:dyDescent="0.2">
      <c r="A38" s="45" t="s">
        <v>66</v>
      </c>
      <c r="B38" s="93">
        <v>-1081.085</v>
      </c>
      <c r="C38" s="79">
        <v>-4195.8769999999995</v>
      </c>
      <c r="D38" s="17">
        <v>-2337.4279999999999</v>
      </c>
      <c r="E38" s="17">
        <v>-1436</v>
      </c>
      <c r="F38" s="17">
        <v>-3132</v>
      </c>
      <c r="G38" s="17">
        <v>-7868</v>
      </c>
      <c r="H38" s="10"/>
      <c r="I38" s="10"/>
      <c r="J38" s="10"/>
      <c r="K38" s="10"/>
      <c r="L38" s="10"/>
    </row>
    <row r="39" spans="1:12" x14ac:dyDescent="0.2">
      <c r="A39" s="45"/>
      <c r="B39" s="93"/>
      <c r="C39" s="79"/>
      <c r="D39" s="17"/>
      <c r="E39" s="17"/>
      <c r="F39" s="17"/>
      <c r="G39" s="17"/>
      <c r="H39" s="10"/>
      <c r="I39" s="10"/>
      <c r="J39" s="10"/>
      <c r="K39" s="10"/>
      <c r="L39" s="10"/>
    </row>
    <row r="40" spans="1:12" x14ac:dyDescent="0.2">
      <c r="A40" s="16" t="s">
        <v>65</v>
      </c>
      <c r="H40" s="10"/>
      <c r="I40" s="10"/>
      <c r="J40" s="10"/>
      <c r="K40" s="10"/>
      <c r="L40" s="10"/>
    </row>
    <row r="41" spans="1:12" x14ac:dyDescent="0.2">
      <c r="A41" s="43" t="s">
        <v>64</v>
      </c>
      <c r="B41" s="80">
        <v>1701.7339999999999</v>
      </c>
      <c r="C41" s="75">
        <v>400.17500000000001</v>
      </c>
      <c r="E41" s="6">
        <v>848</v>
      </c>
      <c r="F41" s="6">
        <v>12269</v>
      </c>
      <c r="H41" s="10"/>
      <c r="I41" s="10"/>
      <c r="J41" s="10"/>
      <c r="K41" s="10"/>
      <c r="L41" s="10"/>
    </row>
    <row r="42" spans="1:12" x14ac:dyDescent="0.2">
      <c r="A42" s="43" t="s">
        <v>63</v>
      </c>
      <c r="B42" s="80">
        <v>2852.9639999999999</v>
      </c>
      <c r="C42" s="75">
        <v>7138.0550000000003</v>
      </c>
      <c r="D42" s="6">
        <v>6176.1730000000007</v>
      </c>
      <c r="E42" s="6">
        <v>10669</v>
      </c>
      <c r="F42" s="6">
        <v>9713</v>
      </c>
      <c r="G42" s="6">
        <v>8883</v>
      </c>
      <c r="H42" s="10"/>
      <c r="I42" s="10"/>
      <c r="J42" s="10"/>
      <c r="K42" s="10"/>
      <c r="L42" s="10"/>
    </row>
    <row r="43" spans="1:12" x14ac:dyDescent="0.2">
      <c r="A43" s="43" t="s">
        <v>62</v>
      </c>
      <c r="B43" s="80">
        <v>-1857.5939999999998</v>
      </c>
      <c r="C43" s="75">
        <v>-3995.4839999999995</v>
      </c>
      <c r="D43" s="6">
        <v>-5247.0569999999998</v>
      </c>
      <c r="E43" s="6">
        <v>-9161</v>
      </c>
      <c r="F43" s="6">
        <v>-11623</v>
      </c>
      <c r="G43" s="6">
        <v>-14167</v>
      </c>
      <c r="H43" s="10"/>
      <c r="I43" s="10"/>
      <c r="J43" s="10"/>
      <c r="K43" s="10"/>
      <c r="L43" s="10"/>
    </row>
    <row r="44" spans="1:12" x14ac:dyDescent="0.2">
      <c r="A44" s="43" t="s">
        <v>61</v>
      </c>
      <c r="C44" s="75">
        <v>-165</v>
      </c>
      <c r="D44" s="6">
        <v>-100</v>
      </c>
      <c r="H44" s="10"/>
      <c r="I44" s="10"/>
      <c r="J44" s="10"/>
      <c r="K44" s="10"/>
      <c r="L44" s="10"/>
    </row>
    <row r="45" spans="1:12" x14ac:dyDescent="0.2">
      <c r="A45" s="43" t="s">
        <v>60</v>
      </c>
      <c r="B45" s="80">
        <v>769.70900000000006</v>
      </c>
      <c r="C45" s="75">
        <v>511.32100000000003</v>
      </c>
      <c r="D45" s="6">
        <v>-559.16700000000003</v>
      </c>
      <c r="E45" s="6">
        <v>-389</v>
      </c>
      <c r="F45" s="6">
        <v>-240</v>
      </c>
      <c r="G45" s="6">
        <v>-9</v>
      </c>
      <c r="H45" s="10"/>
      <c r="I45" s="10"/>
      <c r="J45" s="10"/>
      <c r="K45" s="10"/>
      <c r="L45" s="10"/>
    </row>
    <row r="46" spans="1:12" x14ac:dyDescent="0.2">
      <c r="A46" s="43" t="s">
        <v>59</v>
      </c>
      <c r="B46" s="80">
        <v>163.81700000000001</v>
      </c>
      <c r="C46" s="75">
        <v>259.11599999999999</v>
      </c>
      <c r="D46" s="6">
        <v>295.72199999999998</v>
      </c>
      <c r="E46" s="6">
        <v>263</v>
      </c>
      <c r="F46" s="6">
        <v>417</v>
      </c>
      <c r="G46" s="6">
        <v>707</v>
      </c>
      <c r="H46" s="10"/>
      <c r="I46" s="10"/>
      <c r="J46" s="10"/>
      <c r="K46" s="10"/>
      <c r="L46" s="10"/>
    </row>
    <row r="47" spans="1:12" x14ac:dyDescent="0.2">
      <c r="A47" s="43" t="s">
        <v>58</v>
      </c>
      <c r="B47" s="80">
        <v>-46.888999999999996</v>
      </c>
      <c r="C47" s="75">
        <v>-103.304</v>
      </c>
      <c r="D47" s="6">
        <v>-180.80500000000001</v>
      </c>
      <c r="E47" s="6">
        <v>-321</v>
      </c>
      <c r="F47" s="6">
        <v>-338</v>
      </c>
      <c r="G47" s="6">
        <v>-439</v>
      </c>
      <c r="H47" s="10"/>
      <c r="I47" s="10"/>
      <c r="J47" s="10"/>
      <c r="K47" s="10"/>
      <c r="L47" s="10"/>
    </row>
    <row r="48" spans="1:12" x14ac:dyDescent="0.2">
      <c r="A48" s="43" t="s">
        <v>57</v>
      </c>
      <c r="B48" s="80">
        <v>-20.041999999999998</v>
      </c>
      <c r="C48" s="75">
        <v>-63.111000000000004</v>
      </c>
      <c r="D48" s="6">
        <v>-14.972999999999999</v>
      </c>
      <c r="E48" s="6">
        <v>-37</v>
      </c>
      <c r="F48" s="6">
        <v>-6</v>
      </c>
      <c r="G48" s="6">
        <v>-9</v>
      </c>
      <c r="H48" s="10"/>
      <c r="I48" s="10"/>
      <c r="J48" s="10"/>
      <c r="K48" s="10"/>
      <c r="L48" s="10"/>
    </row>
    <row r="49" spans="1:12" x14ac:dyDescent="0.2">
      <c r="A49" s="43" t="s">
        <v>56</v>
      </c>
      <c r="C49" s="75">
        <v>-204.102</v>
      </c>
      <c r="E49" s="6">
        <v>-476</v>
      </c>
      <c r="H49" s="10"/>
      <c r="I49" s="10"/>
      <c r="J49" s="10"/>
      <c r="K49" s="10"/>
      <c r="L49" s="10"/>
    </row>
    <row r="50" spans="1:12" x14ac:dyDescent="0.2">
      <c r="A50" s="43" t="s">
        <v>55</v>
      </c>
      <c r="C50" s="75">
        <v>287.21300000000002</v>
      </c>
      <c r="E50" s="6">
        <v>174</v>
      </c>
      <c r="H50" s="10"/>
      <c r="I50" s="10"/>
      <c r="J50" s="10"/>
      <c r="K50" s="10"/>
      <c r="L50" s="10"/>
    </row>
    <row r="51" spans="1:12" x14ac:dyDescent="0.2">
      <c r="A51" s="43" t="s">
        <v>53</v>
      </c>
      <c r="C51" s="75">
        <v>52.883000000000003</v>
      </c>
      <c r="E51" s="6">
        <v>279</v>
      </c>
      <c r="F51" s="6">
        <v>24</v>
      </c>
      <c r="G51" s="6">
        <v>2</v>
      </c>
      <c r="H51" s="10"/>
      <c r="I51" s="10"/>
      <c r="J51" s="10"/>
      <c r="K51" s="10"/>
      <c r="L51" s="10"/>
    </row>
    <row r="52" spans="1:12" x14ac:dyDescent="0.2">
      <c r="A52" s="43" t="s">
        <v>54</v>
      </c>
      <c r="C52" s="75">
        <v>-230.38499999999999</v>
      </c>
      <c r="H52" s="10"/>
      <c r="I52" s="10"/>
      <c r="J52" s="10"/>
      <c r="K52" s="10"/>
      <c r="L52" s="10"/>
    </row>
    <row r="53" spans="1:12" x14ac:dyDescent="0.2">
      <c r="A53" s="43" t="s">
        <v>53</v>
      </c>
      <c r="B53" s="80">
        <v>201.52699999999999</v>
      </c>
      <c r="C53" s="75">
        <v>789.70399999999995</v>
      </c>
      <c r="D53" s="6">
        <v>437.13400000000001</v>
      </c>
      <c r="H53" s="10"/>
      <c r="I53" s="10"/>
      <c r="J53" s="10"/>
      <c r="K53" s="10"/>
      <c r="L53" s="10"/>
    </row>
    <row r="54" spans="1:12" x14ac:dyDescent="0.2">
      <c r="A54" s="43" t="s">
        <v>52</v>
      </c>
      <c r="B54" s="80">
        <v>-21.25</v>
      </c>
      <c r="C54" s="75">
        <v>-261.84399999999999</v>
      </c>
      <c r="D54" s="6">
        <v>-227.304</v>
      </c>
      <c r="E54" s="6">
        <v>-311</v>
      </c>
      <c r="F54" s="6">
        <v>-208</v>
      </c>
      <c r="G54" s="6">
        <v>-161</v>
      </c>
      <c r="H54" s="10"/>
      <c r="I54" s="10"/>
      <c r="J54" s="10"/>
      <c r="K54" s="10"/>
      <c r="L54" s="10"/>
    </row>
    <row r="55" spans="1:12" x14ac:dyDescent="0.2">
      <c r="A55" s="43" t="s">
        <v>51</v>
      </c>
      <c r="D55" s="6">
        <v>-5.9569999999999999</v>
      </c>
      <c r="E55" s="6">
        <v>-9</v>
      </c>
      <c r="F55" s="6">
        <v>-35</v>
      </c>
      <c r="G55" s="6">
        <v>-10</v>
      </c>
      <c r="H55" s="10"/>
      <c r="I55" s="10"/>
      <c r="J55" s="10"/>
      <c r="K55" s="10"/>
      <c r="L55" s="10"/>
    </row>
    <row r="56" spans="1:12" x14ac:dyDescent="0.2">
      <c r="A56" s="20" t="s">
        <v>50</v>
      </c>
      <c r="B56" s="94">
        <v>3743.9760000000001</v>
      </c>
      <c r="C56" s="95">
        <v>4414.8639999999996</v>
      </c>
      <c r="D56" s="21">
        <v>573.755</v>
      </c>
      <c r="E56" s="21">
        <v>1529</v>
      </c>
      <c r="F56" s="21">
        <v>9973</v>
      </c>
      <c r="G56" s="21">
        <v>-5203</v>
      </c>
      <c r="H56" s="10"/>
      <c r="I56" s="10"/>
      <c r="J56" s="10"/>
      <c r="K56" s="10"/>
      <c r="L56" s="10"/>
    </row>
    <row r="57" spans="1:12" x14ac:dyDescent="0.2">
      <c r="A57" s="43" t="s">
        <v>49</v>
      </c>
      <c r="B57" s="80">
        <v>-6.5529999999999999</v>
      </c>
      <c r="C57" s="75">
        <v>39.725999999999999</v>
      </c>
      <c r="D57" s="6">
        <v>-22.7</v>
      </c>
      <c r="E57" s="6">
        <v>8</v>
      </c>
      <c r="F57" s="6">
        <v>334</v>
      </c>
      <c r="G57" s="6">
        <v>-183</v>
      </c>
      <c r="H57" s="10"/>
      <c r="I57" s="10"/>
      <c r="J57" s="10"/>
      <c r="K57" s="10"/>
      <c r="L57" s="10"/>
    </row>
    <row r="58" spans="1:12" x14ac:dyDescent="0.2">
      <c r="A58" s="43" t="s">
        <v>48</v>
      </c>
      <c r="B58" s="80">
        <v>2532.509</v>
      </c>
      <c r="C58" s="75">
        <v>198.059</v>
      </c>
      <c r="D58" s="6">
        <v>311.42899999999997</v>
      </c>
      <c r="E58" s="6">
        <v>2506</v>
      </c>
      <c r="F58" s="6">
        <v>13118</v>
      </c>
      <c r="G58" s="6">
        <v>-1757</v>
      </c>
      <c r="H58" s="10"/>
      <c r="I58" s="10"/>
      <c r="J58" s="10"/>
      <c r="K58" s="10"/>
      <c r="L58" s="10"/>
    </row>
    <row r="59" spans="1:12" x14ac:dyDescent="0.2">
      <c r="A59" s="43" t="s">
        <v>47</v>
      </c>
      <c r="B59" s="80">
        <v>1234.3910000000001</v>
      </c>
      <c r="C59" s="75">
        <v>3766.9</v>
      </c>
      <c r="D59" s="6">
        <v>3964.9589999999998</v>
      </c>
      <c r="E59" s="6">
        <v>4277</v>
      </c>
      <c r="F59" s="6">
        <v>6783</v>
      </c>
      <c r="G59" s="6">
        <v>19901</v>
      </c>
      <c r="H59" s="10"/>
      <c r="I59" s="10"/>
      <c r="J59" s="10"/>
      <c r="K59" s="10"/>
      <c r="L59" s="10"/>
    </row>
    <row r="60" spans="1:12" x14ac:dyDescent="0.2">
      <c r="A60" s="43" t="s">
        <v>46</v>
      </c>
      <c r="B60" s="80">
        <v>3766.9</v>
      </c>
      <c r="C60" s="75">
        <v>3964.9589999999998</v>
      </c>
      <c r="D60" s="6">
        <v>4276.3879999999999</v>
      </c>
      <c r="E60" s="6">
        <v>6783</v>
      </c>
      <c r="F60" s="6">
        <v>19901</v>
      </c>
      <c r="G60" s="6">
        <v>18144</v>
      </c>
      <c r="H60" s="10"/>
      <c r="I60" s="10"/>
      <c r="J60" s="10"/>
      <c r="K60" s="10"/>
      <c r="L60" s="10"/>
    </row>
    <row r="61" spans="1:12" x14ac:dyDescent="0.2">
      <c r="A61" s="43"/>
      <c r="H61" s="10"/>
      <c r="I61" s="10"/>
      <c r="J61" s="10"/>
      <c r="K61" s="10"/>
      <c r="L61" s="10"/>
    </row>
    <row r="62" spans="1:12" x14ac:dyDescent="0.2">
      <c r="A62" s="16" t="s">
        <v>45</v>
      </c>
      <c r="H62" s="10"/>
      <c r="I62" s="10"/>
      <c r="J62" s="10"/>
      <c r="K62" s="10"/>
      <c r="L62" s="10"/>
    </row>
    <row r="63" spans="1:12" x14ac:dyDescent="0.2">
      <c r="A63" s="43" t="s">
        <v>44</v>
      </c>
      <c r="B63" s="80">
        <v>2145.9769999999999</v>
      </c>
      <c r="C63" s="75">
        <v>10.528</v>
      </c>
      <c r="E63" s="6">
        <v>207</v>
      </c>
      <c r="H63" s="10"/>
      <c r="I63" s="10"/>
      <c r="J63" s="10"/>
      <c r="K63" s="10"/>
      <c r="L63" s="10"/>
    </row>
    <row r="64" spans="1:12" x14ac:dyDescent="0.2">
      <c r="A64" s="43" t="s">
        <v>43</v>
      </c>
      <c r="B64" s="80">
        <v>663.77099999999996</v>
      </c>
      <c r="C64" s="75">
        <v>914.10799999999995</v>
      </c>
      <c r="D64" s="6">
        <v>249.14099999999999</v>
      </c>
      <c r="E64" s="6">
        <v>562</v>
      </c>
      <c r="F64" s="6">
        <v>1088</v>
      </c>
      <c r="G64" s="6">
        <v>2251</v>
      </c>
      <c r="H64" s="10"/>
      <c r="I64" s="10"/>
      <c r="J64" s="10"/>
      <c r="K64" s="10"/>
      <c r="L64" s="10"/>
    </row>
    <row r="65" spans="1:12" x14ac:dyDescent="0.2">
      <c r="A65" s="43" t="s">
        <v>42</v>
      </c>
      <c r="B65" s="80">
        <v>307.87900000000002</v>
      </c>
      <c r="C65" s="75">
        <v>313.483</v>
      </c>
      <c r="D65" s="6">
        <v>94.445000000000007</v>
      </c>
      <c r="H65" s="10"/>
      <c r="I65" s="10"/>
      <c r="J65" s="10"/>
      <c r="K65" s="10"/>
      <c r="L65" s="10"/>
    </row>
    <row r="66" spans="1:12" x14ac:dyDescent="0.2">
      <c r="A66" s="43"/>
      <c r="H66" s="10"/>
      <c r="I66" s="10"/>
      <c r="J66" s="10"/>
      <c r="K66" s="10"/>
      <c r="L66" s="10"/>
    </row>
    <row r="67" spans="1:12" x14ac:dyDescent="0.2">
      <c r="A67" s="16" t="s">
        <v>41</v>
      </c>
      <c r="H67" s="10"/>
      <c r="I67" s="10"/>
      <c r="J67" s="10"/>
      <c r="K67" s="10"/>
      <c r="L67" s="10"/>
    </row>
    <row r="68" spans="1:12" x14ac:dyDescent="0.2">
      <c r="A68" s="43" t="s">
        <v>40</v>
      </c>
      <c r="B68" s="80">
        <v>38.692999999999998</v>
      </c>
      <c r="C68" s="75">
        <v>182.571</v>
      </c>
      <c r="D68" s="6">
        <v>380.83600000000001</v>
      </c>
      <c r="E68" s="6">
        <v>455</v>
      </c>
      <c r="F68" s="6">
        <v>444</v>
      </c>
      <c r="G68" s="6">
        <v>266</v>
      </c>
      <c r="H68" s="10"/>
      <c r="I68" s="10"/>
      <c r="J68" s="10"/>
      <c r="K68" s="10"/>
      <c r="L68" s="10"/>
    </row>
    <row r="69" spans="1:12" x14ac:dyDescent="0.2">
      <c r="A69" s="43" t="s">
        <v>39</v>
      </c>
      <c r="B69" s="80">
        <v>16.384999999999998</v>
      </c>
      <c r="C69" s="75">
        <v>65.695000000000007</v>
      </c>
      <c r="D69" s="6">
        <v>35.408999999999999</v>
      </c>
      <c r="E69" s="6">
        <v>54</v>
      </c>
      <c r="F69" s="6">
        <v>115</v>
      </c>
      <c r="G69" s="6">
        <v>561</v>
      </c>
      <c r="H69" s="10"/>
      <c r="I69" s="10"/>
      <c r="J69" s="10"/>
      <c r="K69" s="10"/>
      <c r="L69" s="10"/>
    </row>
    <row r="72" spans="1:12" x14ac:dyDescent="0.2">
      <c r="A72" s="41" t="s">
        <v>162</v>
      </c>
      <c r="B72" s="89"/>
      <c r="C72" s="90"/>
      <c r="D72" s="30"/>
      <c r="E72" s="30"/>
      <c r="F72" s="30"/>
      <c r="G72" s="30"/>
      <c r="H72" s="58"/>
      <c r="I72" s="59"/>
      <c r="J72" s="59"/>
      <c r="K72" s="59"/>
      <c r="L72" s="59" t="s">
        <v>161</v>
      </c>
    </row>
    <row r="73" spans="1:12" x14ac:dyDescent="0.2">
      <c r="A73" s="41"/>
      <c r="B73" s="89"/>
      <c r="C73" s="90"/>
      <c r="D73" s="30"/>
      <c r="E73" s="30"/>
      <c r="F73" s="30"/>
      <c r="G73" s="30"/>
      <c r="H73" s="58"/>
      <c r="I73" s="59"/>
      <c r="J73" s="59"/>
      <c r="K73" s="59"/>
      <c r="L73" s="59"/>
    </row>
    <row r="74" spans="1:12" s="46" customFormat="1" x14ac:dyDescent="0.2">
      <c r="A74" s="39" t="s">
        <v>142</v>
      </c>
      <c r="C74" s="101"/>
    </row>
    <row r="75" spans="1:12" s="46" customFormat="1" x14ac:dyDescent="0.2">
      <c r="A75" s="102" t="s">
        <v>95</v>
      </c>
      <c r="C75" s="101"/>
    </row>
    <row r="76" spans="1:12" s="46" customFormat="1" x14ac:dyDescent="0.2">
      <c r="A76" s="103" t="s">
        <v>92</v>
      </c>
      <c r="B76" s="89">
        <f>B37/B$8</f>
        <v>5.2307539682539677</v>
      </c>
      <c r="C76" s="90">
        <f t="shared" ref="C76" si="0">C37/C$8</f>
        <v>-0.86980594691072022</v>
      </c>
      <c r="D76" s="30">
        <f>D5/income!D2</f>
        <v>8.858050698588732E-2</v>
      </c>
      <c r="E76" s="30">
        <f>E5/income!E2</f>
        <v>8.7639352266254369E-2</v>
      </c>
      <c r="F76" s="30">
        <f>F5/income!F2</f>
        <v>7.3630136986301373E-2</v>
      </c>
      <c r="G76" s="30">
        <f>G5/income!G2</f>
        <v>5.4084684985972541E-2</v>
      </c>
      <c r="H76" s="145">
        <f>AVERAGE(D76:G76)</f>
        <v>7.5983670306103895E-2</v>
      </c>
      <c r="I76" s="145">
        <f t="shared" ref="I76:L76" si="1">H76</f>
        <v>7.5983670306103895E-2</v>
      </c>
      <c r="J76" s="145">
        <f t="shared" si="1"/>
        <v>7.5983670306103895E-2</v>
      </c>
      <c r="K76" s="145">
        <f t="shared" si="1"/>
        <v>7.5983670306103895E-2</v>
      </c>
      <c r="L76" s="145">
        <f t="shared" si="1"/>
        <v>7.5983670306103895E-2</v>
      </c>
    </row>
    <row r="77" spans="1:12" s="46" customFormat="1" x14ac:dyDescent="0.2">
      <c r="A77" s="103" t="s">
        <v>163</v>
      </c>
      <c r="B77" s="104"/>
      <c r="C77" s="105"/>
      <c r="D77" s="106"/>
      <c r="E77" s="106"/>
      <c r="F77" s="106"/>
      <c r="G77" s="106"/>
      <c r="H77" s="145"/>
      <c r="I77" s="145"/>
      <c r="J77" s="145"/>
      <c r="K77" s="145"/>
      <c r="L77" s="147"/>
    </row>
    <row r="78" spans="1:12" s="46" customFormat="1" x14ac:dyDescent="0.2">
      <c r="A78" s="107" t="s">
        <v>81</v>
      </c>
      <c r="B78" s="104"/>
      <c r="C78" s="105"/>
      <c r="D78" s="109">
        <f>income!D$2/((D16+C16)/2)</f>
        <v>-82.326913671175959</v>
      </c>
      <c r="E78" s="109">
        <f>income!E$2/((E16+D16)/2)</f>
        <v>-56.911171520795804</v>
      </c>
      <c r="F78" s="109">
        <f>income!F$2/((F16+E16)/2)</f>
        <v>-61.895976447497546</v>
      </c>
      <c r="G78" s="109">
        <f>income!G$2/((G16+F16)/2)</f>
        <v>-137.65473145780052</v>
      </c>
      <c r="H78" s="148">
        <f>AVERAGE(D78:G78)</f>
        <v>-84.697198274317458</v>
      </c>
      <c r="I78" s="148">
        <f t="shared" ref="I78:I86" si="2">H78</f>
        <v>-84.697198274317458</v>
      </c>
      <c r="J78" s="148">
        <f t="shared" ref="J78:J86" si="3">I78</f>
        <v>-84.697198274317458</v>
      </c>
      <c r="K78" s="148">
        <f t="shared" ref="K78:L86" si="4">J78</f>
        <v>-84.697198274317458</v>
      </c>
      <c r="L78" s="148">
        <f t="shared" si="4"/>
        <v>-84.697198274317458</v>
      </c>
    </row>
    <row r="79" spans="1:12" s="46" customFormat="1" x14ac:dyDescent="0.2">
      <c r="A79" s="107" t="s">
        <v>5</v>
      </c>
      <c r="B79" s="104"/>
      <c r="C79" s="105"/>
      <c r="D79" s="109">
        <f>income!D$2/(D17+C17)/2</f>
        <v>-8.9264695361671205</v>
      </c>
      <c r="E79" s="109">
        <f>income!E$2/(E17+D17)/2</f>
        <v>-8.4619600843923699</v>
      </c>
      <c r="F79" s="109">
        <f>income!F$2/(F17+E17)/2</f>
        <v>-18.52878965922444</v>
      </c>
      <c r="G79" s="109">
        <f>income!G$2/(G17+F17)/2</f>
        <v>-12.628578132332239</v>
      </c>
      <c r="H79" s="148">
        <f t="shared" ref="H79:H86" si="5">AVERAGE(D79:G79)</f>
        <v>-12.136449353029043</v>
      </c>
      <c r="I79" s="148">
        <f t="shared" si="2"/>
        <v>-12.136449353029043</v>
      </c>
      <c r="J79" s="148">
        <f t="shared" si="3"/>
        <v>-12.136449353029043</v>
      </c>
      <c r="K79" s="148">
        <f t="shared" si="4"/>
        <v>-12.136449353029043</v>
      </c>
      <c r="L79" s="148">
        <f t="shared" si="4"/>
        <v>-12.136449353029043</v>
      </c>
    </row>
    <row r="80" spans="1:12" s="46" customFormat="1" x14ac:dyDescent="0.2">
      <c r="A80" s="107" t="s">
        <v>80</v>
      </c>
      <c r="B80" s="104"/>
      <c r="C80" s="105"/>
      <c r="D80" s="109">
        <f>income!D$2/(D18+C18)/2</f>
        <v>-6.1765443326502893</v>
      </c>
      <c r="E80" s="109">
        <f>income!E$2/(E18+D18)/2</f>
        <v>-12.555849468759547</v>
      </c>
      <c r="F80" s="109">
        <f>income!F$2/(F18+E18)/2</f>
        <v>-8.5882352941176467</v>
      </c>
      <c r="G80" s="109">
        <f>income!G$2/(G18+F18)/2</f>
        <v>-8.4467984934086626</v>
      </c>
      <c r="H80" s="148">
        <f t="shared" si="5"/>
        <v>-8.941856897234036</v>
      </c>
      <c r="I80" s="148">
        <f t="shared" si="2"/>
        <v>-8.941856897234036</v>
      </c>
      <c r="J80" s="148">
        <f t="shared" si="3"/>
        <v>-8.941856897234036</v>
      </c>
      <c r="K80" s="148">
        <f t="shared" si="4"/>
        <v>-8.941856897234036</v>
      </c>
      <c r="L80" s="148">
        <f t="shared" si="4"/>
        <v>-8.941856897234036</v>
      </c>
    </row>
    <row r="81" spans="1:12" s="46" customFormat="1" x14ac:dyDescent="0.2">
      <c r="A81" s="107" t="s">
        <v>6</v>
      </c>
      <c r="B81" s="104"/>
      <c r="C81" s="105"/>
      <c r="D81" s="109">
        <f>income!D$2/(D19+C19)/2</f>
        <v>-69.585004766258777</v>
      </c>
      <c r="E81" s="109">
        <f>income!E$2/(E19+D19)/2</f>
        <v>-33.202296521445454</v>
      </c>
      <c r="F81" s="109">
        <f>income!F$2/(F19+E19)/2</f>
        <v>-29.254174397031541</v>
      </c>
      <c r="G81" s="109">
        <f>income!G$2/(G19+F19)/2</f>
        <v>-51.554597701149426</v>
      </c>
      <c r="H81" s="148">
        <f t="shared" si="5"/>
        <v>-45.899018346471294</v>
      </c>
      <c r="I81" s="148">
        <f t="shared" si="2"/>
        <v>-45.899018346471294</v>
      </c>
      <c r="J81" s="148">
        <f t="shared" si="3"/>
        <v>-45.899018346471294</v>
      </c>
      <c r="K81" s="148">
        <f t="shared" si="4"/>
        <v>-45.899018346471294</v>
      </c>
      <c r="L81" s="148">
        <f t="shared" si="4"/>
        <v>-45.899018346471294</v>
      </c>
    </row>
    <row r="82" spans="1:12" s="46" customFormat="1" x14ac:dyDescent="0.2">
      <c r="A82" s="107" t="s">
        <v>17</v>
      </c>
      <c r="B82" s="104"/>
      <c r="C82" s="105"/>
      <c r="D82" s="109">
        <f>income!D$2/(D20+C20)/2</f>
        <v>-48.149231362906185</v>
      </c>
      <c r="E82" s="109">
        <f>income!E$2/(E20+D20)/2</f>
        <v>-132.98488242487201</v>
      </c>
      <c r="F82" s="109">
        <f>income!F$2/(F20+E20)/2</f>
        <v>-68.855895196506552</v>
      </c>
      <c r="G82" s="109">
        <f>income!G$2/(G20+F20)/2</f>
        <v>-16.459633027522937</v>
      </c>
      <c r="H82" s="148">
        <f t="shared" si="5"/>
        <v>-66.612410502951931</v>
      </c>
      <c r="I82" s="148">
        <f t="shared" si="2"/>
        <v>-66.612410502951931</v>
      </c>
      <c r="J82" s="148">
        <f t="shared" si="3"/>
        <v>-66.612410502951931</v>
      </c>
      <c r="K82" s="148">
        <f t="shared" si="4"/>
        <v>-66.612410502951931</v>
      </c>
      <c r="L82" s="148">
        <f t="shared" si="4"/>
        <v>-66.612410502951931</v>
      </c>
    </row>
    <row r="83" spans="1:12" s="46" customFormat="1" x14ac:dyDescent="0.2">
      <c r="A83" s="107" t="s">
        <v>79</v>
      </c>
      <c r="B83" s="104"/>
      <c r="C83" s="105"/>
      <c r="D83" s="109">
        <f>income!D$2/(D21+C21)/2</f>
        <v>5.0830645894755992</v>
      </c>
      <c r="E83" s="109">
        <f>income!E$2/(E21+D21)/2</f>
        <v>5.1877493298435953</v>
      </c>
      <c r="F83" s="109">
        <f>income!F$2/(F21+E21)/2</f>
        <v>5.7379912663755457</v>
      </c>
      <c r="G83" s="109">
        <f>income!G$2/(G21+F21)/2</f>
        <v>4.0286676646706585</v>
      </c>
      <c r="H83" s="148">
        <f t="shared" si="5"/>
        <v>5.0093682125913492</v>
      </c>
      <c r="I83" s="148">
        <f t="shared" si="2"/>
        <v>5.0093682125913492</v>
      </c>
      <c r="J83" s="148">
        <f t="shared" si="3"/>
        <v>5.0093682125913492</v>
      </c>
      <c r="K83" s="148">
        <f t="shared" si="4"/>
        <v>5.0093682125913492</v>
      </c>
      <c r="L83" s="148">
        <f t="shared" si="4"/>
        <v>5.0093682125913492</v>
      </c>
    </row>
    <row r="84" spans="1:12" s="46" customFormat="1" x14ac:dyDescent="0.2">
      <c r="A84" s="107" t="s">
        <v>22</v>
      </c>
      <c r="B84" s="104"/>
      <c r="C84" s="105"/>
      <c r="D84" s="109">
        <f>income!D$2/(D22+C22)/2</f>
        <v>12.255696049284859</v>
      </c>
      <c r="E84" s="109">
        <f>income!E$2/(E22+D22)/2</f>
        <v>10.175868890359132</v>
      </c>
      <c r="F84" s="109">
        <f>income!F$2/(F22+E22)/2</f>
        <v>14.053475935828876</v>
      </c>
      <c r="G84" s="109">
        <f>income!G$2/(G22+F22)/2</f>
        <v>24.157540394973068</v>
      </c>
      <c r="H84" s="148">
        <f t="shared" si="5"/>
        <v>15.160645317611484</v>
      </c>
      <c r="I84" s="148">
        <f t="shared" si="2"/>
        <v>15.160645317611484</v>
      </c>
      <c r="J84" s="148">
        <f t="shared" si="3"/>
        <v>15.160645317611484</v>
      </c>
      <c r="K84" s="148">
        <f t="shared" si="4"/>
        <v>15.160645317611484</v>
      </c>
      <c r="L84" s="148">
        <f t="shared" si="4"/>
        <v>15.160645317611484</v>
      </c>
    </row>
    <row r="85" spans="1:12" s="46" customFormat="1" x14ac:dyDescent="0.2">
      <c r="A85" s="107" t="s">
        <v>24</v>
      </c>
      <c r="B85" s="104"/>
      <c r="C85" s="105"/>
      <c r="D85" s="109">
        <f>income!D$2/(D23+C23)/2</f>
        <v>146.30953614572826</v>
      </c>
      <c r="E85" s="109">
        <f>income!E$2/(E23+D23)/2</f>
        <v>-79.445324368878687</v>
      </c>
      <c r="F85" s="109">
        <f>income!F$2/(F23+E23)/2</f>
        <v>-309.1764705882353</v>
      </c>
      <c r="G85" s="109">
        <f>income!G$2/(G23+F23)/2</f>
        <v>139.43782383419691</v>
      </c>
      <c r="H85" s="148">
        <f t="shared" si="5"/>
        <v>-25.718608744297207</v>
      </c>
      <c r="I85" s="148">
        <f t="shared" si="2"/>
        <v>-25.718608744297207</v>
      </c>
      <c r="J85" s="148">
        <f t="shared" si="3"/>
        <v>-25.718608744297207</v>
      </c>
      <c r="K85" s="148">
        <f t="shared" si="4"/>
        <v>-25.718608744297207</v>
      </c>
      <c r="L85" s="148">
        <f t="shared" si="4"/>
        <v>-25.718608744297207</v>
      </c>
    </row>
    <row r="86" spans="1:12" s="46" customFormat="1" x14ac:dyDescent="0.2">
      <c r="A86" s="107" t="s">
        <v>78</v>
      </c>
      <c r="B86" s="104"/>
      <c r="C86" s="105"/>
      <c r="D86" s="109">
        <f>income!D$2/(D24+C24)/2</f>
        <v>109.32446971086254</v>
      </c>
      <c r="E86" s="109">
        <f>income!E$2/(E24+D24)/2</f>
        <v>-111.14829420064396</v>
      </c>
      <c r="F86" s="109"/>
      <c r="G86" s="109"/>
      <c r="H86" s="148">
        <f t="shared" si="5"/>
        <v>-0.91191224489070777</v>
      </c>
      <c r="I86" s="148">
        <f t="shared" si="2"/>
        <v>-0.91191224489070777</v>
      </c>
      <c r="J86" s="148">
        <f t="shared" si="3"/>
        <v>-0.91191224489070777</v>
      </c>
      <c r="K86" s="148">
        <f t="shared" si="4"/>
        <v>-0.91191224489070777</v>
      </c>
      <c r="L86" s="148">
        <f t="shared" si="4"/>
        <v>-0.91191224489070777</v>
      </c>
    </row>
    <row r="87" spans="1:12" s="46" customFormat="1" x14ac:dyDescent="0.2">
      <c r="A87" s="102" t="s">
        <v>76</v>
      </c>
      <c r="B87" s="104"/>
      <c r="C87" s="105"/>
      <c r="D87" s="106"/>
      <c r="E87" s="106"/>
      <c r="F87" s="106"/>
      <c r="G87" s="106"/>
      <c r="H87" s="147"/>
      <c r="I87" s="147"/>
      <c r="J87" s="147"/>
      <c r="K87" s="147"/>
      <c r="L87" s="147"/>
    </row>
    <row r="88" spans="1:12" s="46" customFormat="1" ht="14" customHeight="1" x14ac:dyDescent="0.2">
      <c r="A88" s="40" t="s">
        <v>145</v>
      </c>
      <c r="B88" s="89">
        <f>cashflow!B45/B$8</f>
        <v>11.74769536019536</v>
      </c>
      <c r="C88" s="90">
        <f>cashflow!C45/C$8</f>
        <v>3.8834997911365963</v>
      </c>
      <c r="D88" s="30">
        <f>cashflow!D29/income!H2</f>
        <v>-2.1775781556836672E-2</v>
      </c>
      <c r="E88" s="30">
        <f>cashflow!E29/income!I2</f>
        <v>-1.0787107248512345E-2</v>
      </c>
      <c r="F88" s="30">
        <f>cashflow!F29/income!J2</f>
        <v>-2.1378331472863308E-2</v>
      </c>
      <c r="G88" s="30">
        <f>cashflow!G29/income!K2</f>
        <v>-4.5838106211913247E-2</v>
      </c>
      <c r="H88" s="145">
        <f>AVERAGE(D88:G88)</f>
        <v>-2.4944831622531395E-2</v>
      </c>
      <c r="I88" s="145">
        <f>H88</f>
        <v>-2.4944831622531395E-2</v>
      </c>
      <c r="J88" s="145">
        <f t="shared" ref="J88:L88" si="6">I88</f>
        <v>-2.4944831622531395E-2</v>
      </c>
      <c r="K88" s="145">
        <f t="shared" si="6"/>
        <v>-2.4944831622531395E-2</v>
      </c>
      <c r="L88" s="145">
        <f t="shared" si="6"/>
        <v>-2.4944831622531395E-2</v>
      </c>
    </row>
    <row r="89" spans="1:12" s="46" customFormat="1" x14ac:dyDescent="0.2">
      <c r="A89" s="102"/>
      <c r="B89" s="104"/>
      <c r="C89" s="105"/>
      <c r="D89" s="106"/>
      <c r="E89" s="106"/>
      <c r="F89" s="106"/>
      <c r="G89" s="106"/>
    </row>
    <row r="90" spans="1:12" s="46" customFormat="1" x14ac:dyDescent="0.2">
      <c r="A90" s="102" t="s">
        <v>227</v>
      </c>
      <c r="B90" s="104"/>
      <c r="C90" s="105"/>
      <c r="D90" s="106"/>
      <c r="E90" s="106"/>
      <c r="F90" s="106"/>
      <c r="G90" s="106"/>
    </row>
    <row r="91" spans="1:12" s="46" customFormat="1" x14ac:dyDescent="0.2">
      <c r="A91" s="35" t="s">
        <v>4</v>
      </c>
      <c r="B91" s="104"/>
      <c r="C91" s="105"/>
      <c r="D91" s="106">
        <f>balance!C6-balance!D6</f>
        <v>-433.64099999999985</v>
      </c>
      <c r="E91" s="106">
        <f>balance!D6-balance!E6</f>
        <v>-374.97800000000007</v>
      </c>
      <c r="F91" s="106">
        <f>balance!E6-balance!F6</f>
        <v>-562</v>
      </c>
      <c r="G91" s="106">
        <f>balance!F6-balance!G6</f>
        <v>-27</v>
      </c>
      <c r="H91" s="106" t="e">
        <f>balance!G6-balance!#REF!</f>
        <v>#REF!</v>
      </c>
      <c r="I91" s="106" t="e">
        <f>balance!#REF!-balance!#REF!</f>
        <v>#REF!</v>
      </c>
      <c r="J91" s="106" t="e">
        <f>balance!#REF!-balance!#REF!</f>
        <v>#REF!</v>
      </c>
      <c r="K91" s="106" t="e">
        <f>balance!#REF!-balance!#REF!</f>
        <v>#REF!</v>
      </c>
      <c r="L91" s="106" t="e">
        <f>balance!#REF!-balance!#REF!</f>
        <v>#REF!</v>
      </c>
    </row>
    <row r="92" spans="1:12" x14ac:dyDescent="0.2">
      <c r="A92" s="35" t="s">
        <v>5</v>
      </c>
      <c r="D92" s="106">
        <f>balance!C7-balance!D7</f>
        <v>-849.90900000000011</v>
      </c>
      <c r="E92" s="106">
        <f>balance!D7-balance!E7</f>
        <v>-438.55400000000009</v>
      </c>
      <c r="F92" s="106">
        <f>balance!E7-balance!F7</f>
        <v>-549</v>
      </c>
      <c r="G92" s="106">
        <f>balance!F7-balance!G7</f>
        <v>-1656</v>
      </c>
      <c r="H92" s="106">
        <f>balance!G7-balance!H7</f>
        <v>-14409.367944632057</v>
      </c>
      <c r="I92" s="106">
        <f>balance!H7-balance!I7</f>
        <v>-5549.3330367675262</v>
      </c>
      <c r="J92" s="106">
        <f>balance!I7-balance!J7</f>
        <v>-5154.0564081869816</v>
      </c>
      <c r="K92" s="106">
        <f>balance!J7-balance!K7</f>
        <v>1309.0514601247596</v>
      </c>
      <c r="L92" s="106">
        <f>balance!K7-balance!L7</f>
        <v>-9398.1046681245825</v>
      </c>
    </row>
    <row r="93" spans="1:12" x14ac:dyDescent="0.2">
      <c r="A93" s="134" t="s">
        <v>6</v>
      </c>
      <c r="D93" s="106">
        <f>balance!C8-balance!D8</f>
        <v>-97.305999999999983</v>
      </c>
      <c r="E93" s="106">
        <f>balance!D8-balance!E8</f>
        <v>-347.32900000000001</v>
      </c>
      <c r="F93" s="106">
        <f>balance!E8-balance!F8</f>
        <v>-633</v>
      </c>
      <c r="G93" s="106">
        <f>balance!F8-balance!G8</f>
        <v>-377</v>
      </c>
      <c r="H93" s="106">
        <f>balance!G8-balance!H8</f>
        <v>-1189.0162538596901</v>
      </c>
      <c r="I93" s="106">
        <f>balance!H8-balance!I8</f>
        <v>-801.32168794673998</v>
      </c>
      <c r="J93" s="106">
        <f>balance!I8-balance!J8</f>
        <v>-744.24388542138286</v>
      </c>
      <c r="K93" s="106">
        <f>balance!J8-balance!K8</f>
        <v>189.0265584505878</v>
      </c>
      <c r="L93" s="106">
        <f>balance!K8-balance!L8</f>
        <v>-1357.082922626043</v>
      </c>
    </row>
    <row r="94" spans="1:12" x14ac:dyDescent="0.2">
      <c r="A94" s="35" t="s">
        <v>20</v>
      </c>
      <c r="D94" s="6">
        <f>balance!D26-balance!C26</f>
        <v>1014.201</v>
      </c>
      <c r="E94" s="6">
        <f>balance!E26-balance!D26</f>
        <v>366.54899999999998</v>
      </c>
      <c r="F94" s="6">
        <f>balance!F26-balance!E26</f>
        <v>2280</v>
      </c>
      <c r="G94" s="6">
        <f>balance!G26-balance!F26</f>
        <v>3974</v>
      </c>
      <c r="H94" s="6">
        <f>balance!H26-balance!G26</f>
        <v>6620.9360956092787</v>
      </c>
      <c r="I94" s="6">
        <f>balance!I26-balance!H26</f>
        <v>4580.5889963380359</v>
      </c>
      <c r="J94" s="6">
        <f>balance!J26-balance!I26</f>
        <v>4254.3155931399597</v>
      </c>
      <c r="K94" s="6">
        <f>balance!K26-balance!J26</f>
        <v>-1080.5310609688131</v>
      </c>
      <c r="L94" s="6">
        <f>balance!L26-balance!K26</f>
        <v>7757.4826639563908</v>
      </c>
    </row>
    <row r="95" spans="1:12" x14ac:dyDescent="0.2">
      <c r="A95" s="35" t="s">
        <v>21</v>
      </c>
      <c r="D95" s="6">
        <f>balance!D27-balance!C27</f>
        <v>362.88699999999972</v>
      </c>
      <c r="E95" s="6">
        <f>balance!E27-balance!D27</f>
        <v>810.7470000000003</v>
      </c>
      <c r="F95" s="6">
        <f>balance!F27-balance!E27</f>
        <v>950</v>
      </c>
      <c r="G95" s="6">
        <f>balance!G27-balance!F27</f>
        <v>1864</v>
      </c>
      <c r="H95" s="6">
        <f>balance!H27-balance!G27</f>
        <v>4995.8751038067203</v>
      </c>
      <c r="I95" s="6">
        <f>balance!I27-balance!H27</f>
        <v>2948.4937774439368</v>
      </c>
      <c r="J95" s="6">
        <f>balance!J27-balance!I27</f>
        <v>2738.4738215290836</v>
      </c>
      <c r="K95" s="6">
        <f>balance!K27-balance!J27</f>
        <v>-695.53044644443071</v>
      </c>
      <c r="L95" s="6">
        <f>balance!L27-balance!K27</f>
        <v>4993.4384817302853</v>
      </c>
    </row>
    <row r="96" spans="1:12" x14ac:dyDescent="0.2">
      <c r="A96" s="35" t="s">
        <v>22</v>
      </c>
      <c r="D96" s="6">
        <f>balance!D28-balance!C28</f>
        <v>-384.96100000000001</v>
      </c>
      <c r="E96" s="6">
        <f>balance!E28-balance!D28</f>
        <v>532.70799999999997</v>
      </c>
      <c r="F96" s="6">
        <f>balance!F28-balance!E28</f>
        <v>295</v>
      </c>
      <c r="G96" s="6">
        <f>balance!G28-balance!F28</f>
        <v>-11</v>
      </c>
      <c r="H96" s="6">
        <f>balance!H28-balance!G28</f>
        <v>2165.943132332834</v>
      </c>
      <c r="I96" s="6">
        <f>balance!I28-balance!H28</f>
        <v>994.20107474304814</v>
      </c>
      <c r="J96" s="6">
        <f>balance!J28-balance!I28</f>
        <v>923.38455564934156</v>
      </c>
      <c r="K96" s="6">
        <f>balance!K28-balance!J28</f>
        <v>-234.52554747157319</v>
      </c>
      <c r="L96" s="6">
        <f>balance!L28-balance!K28</f>
        <v>1683.7349100676338</v>
      </c>
    </row>
    <row r="97" spans="1:12" x14ac:dyDescent="0.2">
      <c r="A97" s="35" t="s">
        <v>23</v>
      </c>
      <c r="D97" s="6">
        <f>balance!D29-balance!C29</f>
        <v>-284.49299999999999</v>
      </c>
      <c r="E97" s="6">
        <f>balance!E29-balance!D29</f>
        <v>-185.83999999999997</v>
      </c>
      <c r="F97" s="6">
        <f>balance!F29-balance!E29</f>
        <v>-317</v>
      </c>
      <c r="H97" s="6"/>
      <c r="I97" s="6"/>
      <c r="J97" s="6"/>
      <c r="K97" s="6"/>
      <c r="L97" s="6"/>
    </row>
    <row r="98" spans="1:12" x14ac:dyDescent="0.2">
      <c r="A98" s="35" t="s">
        <v>24</v>
      </c>
      <c r="D98" s="6">
        <f>balance!D30-balance!C30</f>
        <v>-61.318000000000097</v>
      </c>
      <c r="E98" s="6">
        <f>balance!E30-balance!D30</f>
        <v>-66.600999999999999</v>
      </c>
      <c r="F98" s="6">
        <f>balance!F30-balance!E30</f>
        <v>26</v>
      </c>
      <c r="G98" s="6">
        <f>balance!G30-balance!F30</f>
        <v>173</v>
      </c>
      <c r="H98" s="6">
        <f>balance!H30-balance!G30</f>
        <v>1667.6979602897127</v>
      </c>
      <c r="I98" s="6">
        <f>balance!I30-balance!H30</f>
        <v>713.45244145588686</v>
      </c>
      <c r="J98" s="6">
        <f>balance!J30-balance!I30</f>
        <v>662.63352793190916</v>
      </c>
      <c r="K98" s="6">
        <f>balance!K30-balance!J30</f>
        <v>-168.29877645285887</v>
      </c>
      <c r="L98" s="6">
        <f>balance!L30-balance!K30</f>
        <v>1208.2714582286385</v>
      </c>
    </row>
    <row r="99" spans="1:12" s="7" customFormat="1" x14ac:dyDescent="0.2">
      <c r="A99" s="135" t="s">
        <v>227</v>
      </c>
      <c r="B99" s="93"/>
      <c r="C99" s="79"/>
      <c r="D99" s="17">
        <f>SUM(D91:D98)</f>
        <v>-734.5400000000003</v>
      </c>
      <c r="E99" s="17">
        <f t="shared" ref="E99:J99" si="7">SUM(E91:E98)</f>
        <v>296.70200000000017</v>
      </c>
      <c r="F99" s="17">
        <f t="shared" si="7"/>
        <v>1490</v>
      </c>
      <c r="G99" s="17">
        <f>SUM(G91:G98)</f>
        <v>3940</v>
      </c>
      <c r="H99" s="17" t="e">
        <f>SUM(H91:H98)</f>
        <v>#REF!</v>
      </c>
      <c r="I99" s="17" t="e">
        <f t="shared" si="7"/>
        <v>#REF!</v>
      </c>
      <c r="J99" s="17" t="e">
        <f t="shared" si="7"/>
        <v>#REF!</v>
      </c>
      <c r="K99" s="17" t="e">
        <f>SUM(K91:K98)</f>
        <v>#REF!</v>
      </c>
      <c r="L99" s="17" t="e">
        <f>SUM(L91:L98)</f>
        <v>#REF!</v>
      </c>
    </row>
  </sheetData>
  <pageMargins left="0.7" right="0.7" top="0.75" bottom="0.75" header="0.3" footer="0.3"/>
  <pageSetup orientation="portrait" horizontalDpi="0" verticalDpi="0"/>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23E3E9-7938-5B41-AAD6-45D5BBDA482E}">
  <dimension ref="A1:L21"/>
  <sheetViews>
    <sheetView zoomScale="190" zoomScaleNormal="190" workbookViewId="0">
      <selection activeCell="B20" sqref="B20"/>
    </sheetView>
  </sheetViews>
  <sheetFormatPr baseColWidth="10" defaultRowHeight="15" x14ac:dyDescent="0.2"/>
  <cols>
    <col min="1" max="1" width="25.33203125" style="2" bestFit="1" customWidth="1"/>
    <col min="2" max="12" width="10.83203125" style="2" customWidth="1"/>
    <col min="13" max="16384" width="10.83203125" style="2"/>
  </cols>
  <sheetData>
    <row r="1" spans="1:12" x14ac:dyDescent="0.2">
      <c r="A1" s="159" t="s">
        <v>131</v>
      </c>
      <c r="B1" s="160">
        <v>2016</v>
      </c>
      <c r="C1" s="161">
        <v>2017</v>
      </c>
      <c r="D1" s="162">
        <v>2018</v>
      </c>
      <c r="E1" s="162">
        <v>2019</v>
      </c>
      <c r="F1" s="162">
        <v>2020</v>
      </c>
      <c r="G1" s="162">
        <v>2021</v>
      </c>
      <c r="H1" s="163">
        <v>2022</v>
      </c>
      <c r="I1" s="163">
        <v>2023</v>
      </c>
      <c r="J1" s="163">
        <v>2024</v>
      </c>
      <c r="K1" s="163">
        <v>2025</v>
      </c>
      <c r="L1" s="163">
        <v>2025</v>
      </c>
    </row>
    <row r="2" spans="1:12" x14ac:dyDescent="0.2">
      <c r="A2" s="164" t="s">
        <v>198</v>
      </c>
    </row>
    <row r="3" spans="1:12" x14ac:dyDescent="0.2">
      <c r="A3" s="2" t="s">
        <v>203</v>
      </c>
    </row>
    <row r="4" spans="1:12" x14ac:dyDescent="0.2">
      <c r="A4" s="2" t="s">
        <v>199</v>
      </c>
    </row>
    <row r="5" spans="1:12" x14ac:dyDescent="0.2">
      <c r="A5" s="2" t="s">
        <v>204</v>
      </c>
    </row>
    <row r="6" spans="1:12" x14ac:dyDescent="0.2">
      <c r="A6" s="3" t="s">
        <v>205</v>
      </c>
    </row>
    <row r="8" spans="1:12" x14ac:dyDescent="0.2">
      <c r="A8" s="164" t="s">
        <v>206</v>
      </c>
    </row>
    <row r="9" spans="1:12" x14ac:dyDescent="0.2">
      <c r="A9" s="2" t="s">
        <v>203</v>
      </c>
    </row>
    <row r="10" spans="1:12" x14ac:dyDescent="0.2">
      <c r="A10" s="2" t="s">
        <v>199</v>
      </c>
    </row>
    <row r="11" spans="1:12" x14ac:dyDescent="0.2">
      <c r="A11" s="2" t="s">
        <v>208</v>
      </c>
    </row>
    <row r="12" spans="1:12" x14ac:dyDescent="0.2">
      <c r="A12" s="3" t="s">
        <v>205</v>
      </c>
    </row>
    <row r="14" spans="1:12" x14ac:dyDescent="0.2">
      <c r="A14" s="164" t="s">
        <v>207</v>
      </c>
    </row>
    <row r="15" spans="1:12" x14ac:dyDescent="0.2">
      <c r="A15" s="2" t="s">
        <v>198</v>
      </c>
    </row>
    <row r="16" spans="1:12" x14ac:dyDescent="0.2">
      <c r="A16" s="2" t="s">
        <v>200</v>
      </c>
    </row>
    <row r="17" spans="1:5" x14ac:dyDescent="0.2">
      <c r="A17" s="2" t="s">
        <v>201</v>
      </c>
      <c r="E17" s="165"/>
    </row>
    <row r="18" spans="1:5" x14ac:dyDescent="0.2">
      <c r="A18" s="3" t="s">
        <v>202</v>
      </c>
    </row>
    <row r="20" spans="1:5" x14ac:dyDescent="0.2">
      <c r="A20" s="164" t="s">
        <v>129</v>
      </c>
    </row>
    <row r="21" spans="1:5" x14ac:dyDescent="0.2">
      <c r="A21" s="2" t="s">
        <v>209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3EDAE4-17BA-8949-93C8-A7CDED419B71}">
  <dimension ref="A1:B12"/>
  <sheetViews>
    <sheetView zoomScale="210" zoomScaleNormal="210" workbookViewId="0">
      <selection activeCell="C19" sqref="C19"/>
    </sheetView>
  </sheetViews>
  <sheetFormatPr baseColWidth="10" defaultRowHeight="15" x14ac:dyDescent="0.2"/>
  <cols>
    <col min="1" max="16384" width="10.83203125" style="2"/>
  </cols>
  <sheetData>
    <row r="1" spans="1:2" ht="20" x14ac:dyDescent="0.2">
      <c r="A1" s="2" t="s">
        <v>178</v>
      </c>
      <c r="B1" s="2" t="s">
        <v>180</v>
      </c>
    </row>
    <row r="2" spans="1:2" x14ac:dyDescent="0.2">
      <c r="A2" s="2" t="s">
        <v>181</v>
      </c>
      <c r="B2" s="2" t="s">
        <v>182</v>
      </c>
    </row>
    <row r="3" spans="1:2" x14ac:dyDescent="0.2">
      <c r="A3" s="2" t="s">
        <v>179</v>
      </c>
    </row>
    <row r="5" spans="1:2" x14ac:dyDescent="0.2">
      <c r="A5" s="2" t="s">
        <v>188</v>
      </c>
    </row>
    <row r="6" spans="1:2" x14ac:dyDescent="0.2">
      <c r="A6" s="2" t="s">
        <v>189</v>
      </c>
    </row>
    <row r="7" spans="1:2" x14ac:dyDescent="0.2">
      <c r="A7" s="2" t="s">
        <v>183</v>
      </c>
    </row>
    <row r="8" spans="1:2" x14ac:dyDescent="0.2">
      <c r="A8" s="2" t="s">
        <v>184</v>
      </c>
    </row>
    <row r="9" spans="1:2" x14ac:dyDescent="0.2">
      <c r="A9" s="2" t="s">
        <v>185</v>
      </c>
    </row>
    <row r="10" spans="1:2" x14ac:dyDescent="0.2">
      <c r="A10" s="2" t="s">
        <v>186</v>
      </c>
    </row>
    <row r="11" spans="1:2" x14ac:dyDescent="0.2">
      <c r="A11" s="2" t="s">
        <v>187</v>
      </c>
    </row>
    <row r="12" spans="1:2" x14ac:dyDescent="0.2">
      <c r="A12" s="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DCF</vt:lpstr>
      <vt:lpstr>Revenue</vt:lpstr>
      <vt:lpstr>income</vt:lpstr>
      <vt:lpstr>balance</vt:lpstr>
      <vt:lpstr>cashflow</vt:lpstr>
      <vt:lpstr>Debt</vt:lpstr>
      <vt:lpstr>Competitors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2022-02-08T00:48:27Z</dcterms:created>
  <dcterms:modified xsi:type="dcterms:W3CDTF">2022-02-24T03:07:23Z</dcterms:modified>
</cp:coreProperties>
</file>