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7DDCCF11-522D-954B-B7A8-1C946EAA37F0}" xr6:coauthVersionLast="47" xr6:coauthVersionMax="47" xr10:uidLastSave="{00000000-0000-0000-0000-000000000000}"/>
  <bookViews>
    <workbookView xWindow="36620" yWindow="500" windowWidth="47280" windowHeight="28300" xr2:uid="{00000000-000D-0000-FFFF-FFFF00000000}"/>
  </bookViews>
  <sheets>
    <sheet name="QLYS-US" sheetId="2" r:id="rId1"/>
    <sheet name="Sheet1" sheetId="3" r:id="rId2"/>
  </sheets>
  <definedNames>
    <definedName name="_xlchart.v1.0" hidden="1">'QLYS-US'!$B$6:$B$8</definedName>
    <definedName name="_xlchart.v1.1" hidden="1">'QLYS-US'!$C$5</definedName>
    <definedName name="_xlchart.v1.10" hidden="1">'QLYS-US'!$C$5</definedName>
    <definedName name="_xlchart.v1.11" hidden="1">'QLYS-US'!$C$6:$C$8</definedName>
    <definedName name="_xlchart.v1.12" hidden="1">'QLYS-US'!$D$5</definedName>
    <definedName name="_xlchart.v1.13" hidden="1">'QLYS-US'!$D$6:$D$8</definedName>
    <definedName name="_xlchart.v1.14" hidden="1">'QLYS-US'!$E$5</definedName>
    <definedName name="_xlchart.v1.15" hidden="1">'QLYS-US'!$E$6:$E$8</definedName>
    <definedName name="_xlchart.v1.16" hidden="1">'QLYS-US'!$F$5</definedName>
    <definedName name="_xlchart.v1.17" hidden="1">'QLYS-US'!$F$6:$F$8</definedName>
    <definedName name="_xlchart.v1.18" hidden="1">'QLYS-US'!#REF!</definedName>
    <definedName name="_xlchart.v1.19" hidden="1">'QLYS-US'!$B$6:$B$10</definedName>
    <definedName name="_xlchart.v1.2" hidden="1">'QLYS-US'!$C$6:$C$8</definedName>
    <definedName name="_xlchart.v1.20" hidden="1">'QLYS-US'!$C$5</definedName>
    <definedName name="_xlchart.v1.21" hidden="1">'QLYS-US'!$C$6:$C$9</definedName>
    <definedName name="_xlchart.v1.22" hidden="1">'QLYS-US'!$D$5</definedName>
    <definedName name="_xlchart.v1.23" hidden="1">'QLYS-US'!$D$6:$D$9</definedName>
    <definedName name="_xlchart.v1.24" hidden="1">'QLYS-US'!$E$5</definedName>
    <definedName name="_xlchart.v1.25" hidden="1">'QLYS-US'!$E$6:$E$9</definedName>
    <definedName name="_xlchart.v1.26" hidden="1">'QLYS-US'!$F$5</definedName>
    <definedName name="_xlchart.v1.27" hidden="1">'QLYS-US'!$F$6:$F$9</definedName>
    <definedName name="_xlchart.v1.28" hidden="1">'QLYS-US'!$G$6:$G$9</definedName>
    <definedName name="_xlchart.v1.29" hidden="1">'QLYS-US'!$B$6:$B$8</definedName>
    <definedName name="_xlchart.v1.3" hidden="1">'QLYS-US'!$D$5</definedName>
    <definedName name="_xlchart.v1.30" hidden="1">'QLYS-US'!$C$5</definedName>
    <definedName name="_xlchart.v1.31" hidden="1">'QLYS-US'!$C$6:$C$8</definedName>
    <definedName name="_xlchart.v1.32" hidden="1">'QLYS-US'!$D$5</definedName>
    <definedName name="_xlchart.v1.33" hidden="1">'QLYS-US'!$D$6:$D$8</definedName>
    <definedName name="_xlchart.v1.34" hidden="1">'QLYS-US'!$E$5</definedName>
    <definedName name="_xlchart.v1.35" hidden="1">'QLYS-US'!$E$6:$E$8</definedName>
    <definedName name="_xlchart.v1.36" hidden="1">'QLYS-US'!$F$5</definedName>
    <definedName name="_xlchart.v1.37" hidden="1">'QLYS-US'!$F$6:$F$8</definedName>
    <definedName name="_xlchart.v1.38" hidden="1">'QLYS-US'!$B$6:$B$8</definedName>
    <definedName name="_xlchart.v1.39" hidden="1">'QLYS-US'!$C$5</definedName>
    <definedName name="_xlchart.v1.4" hidden="1">'QLYS-US'!$D$6:$D$8</definedName>
    <definedName name="_xlchart.v1.40" hidden="1">'QLYS-US'!$C$6:$C$8</definedName>
    <definedName name="_xlchart.v1.41" hidden="1">'QLYS-US'!$D$5</definedName>
    <definedName name="_xlchart.v1.42" hidden="1">'QLYS-US'!$D$6:$D$8</definedName>
    <definedName name="_xlchart.v1.43" hidden="1">'QLYS-US'!$E$5</definedName>
    <definedName name="_xlchart.v1.44" hidden="1">'QLYS-US'!$E$6:$E$8</definedName>
    <definedName name="_xlchart.v1.45" hidden="1">'QLYS-US'!$F$5</definedName>
    <definedName name="_xlchart.v1.46" hidden="1">'QLYS-US'!$F$6:$F$8</definedName>
    <definedName name="_xlchart.v1.47" hidden="1">'QLYS-US'!$B$6:$B$8</definedName>
    <definedName name="_xlchart.v1.48" hidden="1">'QLYS-US'!$C$5</definedName>
    <definedName name="_xlchart.v1.49" hidden="1">'QLYS-US'!$C$6:$C$8</definedName>
    <definedName name="_xlchart.v1.5" hidden="1">'QLYS-US'!$E$5</definedName>
    <definedName name="_xlchart.v1.50" hidden="1">'QLYS-US'!$D$5</definedName>
    <definedName name="_xlchart.v1.51" hidden="1">'QLYS-US'!$D$6:$D$8</definedName>
    <definedName name="_xlchart.v1.52" hidden="1">'QLYS-US'!$E$5</definedName>
    <definedName name="_xlchart.v1.53" hidden="1">'QLYS-US'!$E$6:$E$8</definedName>
    <definedName name="_xlchart.v1.54" hidden="1">'QLYS-US'!$F$5</definedName>
    <definedName name="_xlchart.v1.55" hidden="1">'QLYS-US'!$F$6:$F$8</definedName>
    <definedName name="_xlchart.v1.56" hidden="1">'QLYS-US'!$B$6:$B$9</definedName>
    <definedName name="_xlchart.v1.57" hidden="1">'QLYS-US'!$C$5</definedName>
    <definedName name="_xlchart.v1.58" hidden="1">'QLYS-US'!$C$6:$C$9</definedName>
    <definedName name="_xlchart.v1.59" hidden="1">'QLYS-US'!$D$5</definedName>
    <definedName name="_xlchart.v1.6" hidden="1">'QLYS-US'!$E$6:$E$8</definedName>
    <definedName name="_xlchart.v1.60" hidden="1">'QLYS-US'!$D$6:$D$9</definedName>
    <definedName name="_xlchart.v1.61" hidden="1">'QLYS-US'!$E$5</definedName>
    <definedName name="_xlchart.v1.62" hidden="1">'QLYS-US'!$E$6:$E$9</definedName>
    <definedName name="_xlchart.v1.63" hidden="1">'QLYS-US'!$F$5</definedName>
    <definedName name="_xlchart.v1.64" hidden="1">'QLYS-US'!$F$6:$F$9</definedName>
    <definedName name="_xlchart.v1.65" hidden="1">'QLYS-US'!$G$5:$G$9</definedName>
    <definedName name="_xlchart.v1.66" hidden="1">'QLYS-US'!$G$6:$G$9</definedName>
    <definedName name="_xlchart.v1.67" hidden="1">'QLYS-US'!$B$6:$B$9</definedName>
    <definedName name="_xlchart.v1.68" hidden="1">'QLYS-US'!$C$5</definedName>
    <definedName name="_xlchart.v1.69" hidden="1">'QLYS-US'!$C$6:$C$9</definedName>
    <definedName name="_xlchart.v1.7" hidden="1">'QLYS-US'!$F$5</definedName>
    <definedName name="_xlchart.v1.70" hidden="1">'QLYS-US'!$D$5</definedName>
    <definedName name="_xlchart.v1.71" hidden="1">'QLYS-US'!$D$6:$D$9</definedName>
    <definedName name="_xlchart.v1.72" hidden="1">'QLYS-US'!$E$5</definedName>
    <definedName name="_xlchart.v1.73" hidden="1">'QLYS-US'!$E$6:$E$9</definedName>
    <definedName name="_xlchart.v1.74" hidden="1">'QLYS-US'!$F$5</definedName>
    <definedName name="_xlchart.v1.75" hidden="1">'QLYS-US'!$F$6:$F$9</definedName>
    <definedName name="_xlchart.v1.76" hidden="1">'QLYS-US'!$G$5:$G$9</definedName>
    <definedName name="_xlchart.v1.77" hidden="1">'QLYS-US'!$G$6:$G$9</definedName>
    <definedName name="_xlchart.v1.78" hidden="1">'QLYS-US'!#REF!</definedName>
    <definedName name="_xlchart.v1.79" hidden="1">'QLYS-US'!#REF!</definedName>
    <definedName name="_xlchart.v1.8" hidden="1">'QLYS-US'!$F$6:$F$8</definedName>
    <definedName name="_xlchart.v1.80" hidden="1">'QLYS-US'!$C$5</definedName>
    <definedName name="_xlchart.v1.81" hidden="1">'QLYS-US'!$C$6:$C$8</definedName>
    <definedName name="_xlchart.v1.82" hidden="1">'QLYS-US'!$D$5</definedName>
    <definedName name="_xlchart.v1.83" hidden="1">'QLYS-US'!$D$6:$D$8</definedName>
    <definedName name="_xlchart.v1.84" hidden="1">'QLYS-US'!$E$5</definedName>
    <definedName name="_xlchart.v1.85" hidden="1">'QLYS-US'!$E$6:$E$8</definedName>
    <definedName name="_xlchart.v1.86" hidden="1">'QLYS-US'!$F$5</definedName>
    <definedName name="_xlchart.v1.87" hidden="1">'QLYS-US'!$F$6:$F$8</definedName>
    <definedName name="_xlchart.v1.88" hidden="1">'QLYS-US'!$B$6:$B$9</definedName>
    <definedName name="_xlchart.v1.89" hidden="1">'QLYS-US'!$C$5</definedName>
    <definedName name="_xlchart.v1.9" hidden="1">'QLYS-US'!$B$6:$B$8</definedName>
    <definedName name="_xlchart.v1.90" hidden="1">'QLYS-US'!$C$6:$C$9</definedName>
    <definedName name="_xlchart.v1.91" hidden="1">'QLYS-US'!$D$5</definedName>
    <definedName name="_xlchart.v1.92" hidden="1">'QLYS-US'!$D$6:$D$9</definedName>
    <definedName name="_xlchart.v1.93" hidden="1">'QLYS-US'!$E$5</definedName>
    <definedName name="_xlchart.v1.94" hidden="1">'QLYS-US'!$E$6:$E$9</definedName>
    <definedName name="_xlchart.v1.95" hidden="1">'QLYS-US'!$F$5</definedName>
    <definedName name="_xlchart.v1.96" hidden="1">'QLYS-US'!$F$6:$F$9</definedName>
    <definedName name="_xlchart.v1.97" hidden="1">'QLYS-US'!$G$5:$G$9</definedName>
    <definedName name="_xlchart.v1.98" hidden="1">'QLYS-US'!$G$6:$G$9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9" i="2" l="1" a="1"/>
  <c r="G9" i="2" s="1"/>
  <c r="F9" i="2" s="1"/>
  <c r="E8" i="2"/>
  <c r="D9" i="2" l="1"/>
  <c r="E9" i="2"/>
  <c r="E26" i="2" l="1"/>
  <c r="F26" i="2"/>
  <c r="G26" i="2"/>
  <c r="H26" i="2"/>
  <c r="I26" i="2"/>
  <c r="J26" i="2"/>
  <c r="J44" i="2"/>
  <c r="I44" i="2"/>
  <c r="H44" i="2"/>
  <c r="G44" i="2"/>
  <c r="F44" i="2"/>
  <c r="E44" i="2"/>
  <c r="F42" i="2"/>
  <c r="G42" i="2"/>
  <c r="H42" i="2"/>
  <c r="I42" i="2"/>
  <c r="J42" i="2"/>
  <c r="E42" i="2"/>
  <c r="Q60" i="2"/>
  <c r="Q61" i="2" s="1"/>
  <c r="Q62" i="2" s="1"/>
  <c r="Q63" i="2" s="1"/>
  <c r="R59" i="2"/>
  <c r="R60" i="2" s="1"/>
  <c r="R61" i="2" s="1"/>
  <c r="R62" i="2" s="1"/>
  <c r="R63" i="2" s="1"/>
  <c r="S59" i="2"/>
  <c r="S60" i="2" s="1"/>
  <c r="S61" i="2" s="1"/>
  <c r="S62" i="2" s="1"/>
  <c r="S63" i="2" s="1"/>
  <c r="M71" i="2"/>
  <c r="N71" i="2" s="1"/>
  <c r="O71" i="2" s="1"/>
  <c r="E71" i="2"/>
  <c r="F71" i="2" s="1"/>
  <c r="G71" i="2" s="1"/>
  <c r="M62" i="2"/>
  <c r="N62" i="2" s="1"/>
  <c r="O62" i="2" s="1"/>
  <c r="F62" i="2"/>
  <c r="G62" i="2" s="1"/>
  <c r="D62" i="2"/>
  <c r="C62" i="2" s="1"/>
  <c r="S33" i="2"/>
  <c r="S34" i="2" s="1"/>
  <c r="S39" i="2" a="1"/>
  <c r="S39" i="2" s="1"/>
  <c r="F39" i="2"/>
  <c r="G39" i="2"/>
  <c r="H39" i="2"/>
  <c r="I39" i="2"/>
  <c r="J39" i="2"/>
  <c r="E39" i="2"/>
  <c r="F33" i="2"/>
  <c r="G33" i="2"/>
  <c r="H33" i="2"/>
  <c r="I33" i="2"/>
  <c r="J33" i="2"/>
  <c r="E33" i="2"/>
  <c r="W187" i="2"/>
  <c r="X187" i="2"/>
  <c r="W177" i="2"/>
  <c r="X177" i="2"/>
  <c r="W178" i="2"/>
  <c r="X178" i="2"/>
  <c r="W179" i="2"/>
  <c r="X179" i="2"/>
  <c r="W180" i="2"/>
  <c r="X180" i="2"/>
  <c r="W181" i="2"/>
  <c r="X181" i="2"/>
  <c r="W182" i="2"/>
  <c r="X182" i="2"/>
  <c r="Y182" i="2"/>
  <c r="Z182" i="2"/>
  <c r="AA182" i="2"/>
  <c r="AB182" i="2"/>
  <c r="AC182" i="2"/>
  <c r="AD182" i="2"/>
  <c r="T185" i="2"/>
  <c r="U185" i="2"/>
  <c r="V185" i="2"/>
  <c r="W185" i="2"/>
  <c r="X185" i="2"/>
  <c r="Y185" i="2"/>
  <c r="Z185" i="2"/>
  <c r="AA185" i="2"/>
  <c r="AB185" i="2"/>
  <c r="AC185" i="2"/>
  <c r="AD185" i="2"/>
  <c r="T186" i="2"/>
  <c r="U186" i="2"/>
  <c r="V186" i="2"/>
  <c r="W186" i="2"/>
  <c r="X186" i="2"/>
  <c r="Y186" i="2"/>
  <c r="Z186" i="2"/>
  <c r="AA186" i="2"/>
  <c r="AB186" i="2"/>
  <c r="AC186" i="2"/>
  <c r="AD186" i="2"/>
  <c r="AE189" i="2"/>
  <c r="AE188" i="2"/>
  <c r="X176" i="2"/>
  <c r="W176" i="2"/>
  <c r="X175" i="2"/>
  <c r="W175" i="2"/>
  <c r="X174" i="2"/>
  <c r="W174" i="2"/>
  <c r="F35" i="2"/>
  <c r="G35" i="2"/>
  <c r="H35" i="2"/>
  <c r="I35" i="2"/>
  <c r="J35" i="2"/>
  <c r="E35" i="2"/>
  <c r="E29" i="2" s="1"/>
  <c r="T131" i="2" s="1"/>
  <c r="W118" i="2"/>
  <c r="X118" i="2"/>
  <c r="AE119" i="2"/>
  <c r="AE120" i="2"/>
  <c r="U117" i="2"/>
  <c r="V117" i="2"/>
  <c r="W117" i="2"/>
  <c r="X117" i="2"/>
  <c r="Y117" i="2"/>
  <c r="S30" i="2" s="1"/>
  <c r="T117" i="2"/>
  <c r="W116" i="2"/>
  <c r="X116" i="2"/>
  <c r="W113" i="2"/>
  <c r="X113" i="2"/>
  <c r="Y113" i="2"/>
  <c r="X105" i="2"/>
  <c r="W108" i="2"/>
  <c r="X108" i="2"/>
  <c r="W109" i="2"/>
  <c r="X109" i="2"/>
  <c r="W110" i="2"/>
  <c r="X110" i="2"/>
  <c r="W111" i="2"/>
  <c r="X111" i="2"/>
  <c r="W112" i="2"/>
  <c r="X112" i="2"/>
  <c r="W107" i="2"/>
  <c r="X107" i="2"/>
  <c r="W106" i="2"/>
  <c r="X106" i="2"/>
  <c r="W105" i="2"/>
  <c r="X104" i="2"/>
  <c r="L50" i="2"/>
  <c r="M50" i="2" s="1"/>
  <c r="N50" i="2" s="1"/>
  <c r="O50" i="2" s="1"/>
  <c r="S27" i="2" a="1"/>
  <c r="S27" i="2" s="1"/>
  <c r="S26" i="2" a="1"/>
  <c r="S26" i="2" s="1"/>
  <c r="S84" i="2" l="1"/>
  <c r="G27" i="2"/>
  <c r="H27" i="2"/>
  <c r="J27" i="2"/>
  <c r="E46" i="2"/>
  <c r="I27" i="2"/>
  <c r="F27" i="2"/>
  <c r="L62" i="2"/>
  <c r="K62" i="2" s="1"/>
  <c r="L71" i="2"/>
  <c r="K71" i="2" s="1"/>
  <c r="D71" i="2"/>
  <c r="C71" i="2" s="1"/>
  <c r="S32" i="2"/>
  <c r="B87" i="2" s="1"/>
  <c r="I29" i="2"/>
  <c r="X131" i="2" s="1"/>
  <c r="H29" i="2"/>
  <c r="I36" i="2"/>
  <c r="F29" i="2"/>
  <c r="J29" i="2"/>
  <c r="G29" i="2"/>
  <c r="I37" i="2"/>
  <c r="H36" i="2"/>
  <c r="F37" i="2"/>
  <c r="H37" i="2"/>
  <c r="J37" i="2"/>
  <c r="B86" i="2" l="1"/>
  <c r="J87" i="2"/>
  <c r="J96" i="2" s="1"/>
  <c r="B96" i="2"/>
  <c r="B88" i="2"/>
  <c r="G46" i="2"/>
  <c r="V131" i="2"/>
  <c r="J46" i="2"/>
  <c r="Y131" i="2"/>
  <c r="H46" i="2"/>
  <c r="W131" i="2"/>
  <c r="F46" i="2"/>
  <c r="U131" i="2"/>
  <c r="I46" i="2"/>
  <c r="I47" i="2" s="1"/>
  <c r="Y187" i="2"/>
  <c r="Y178" i="2"/>
  <c r="Y118" i="2"/>
  <c r="Y110" i="2"/>
  <c r="Y177" i="2"/>
  <c r="Y181" i="2"/>
  <c r="Y175" i="2"/>
  <c r="Y111" i="2"/>
  <c r="Y112" i="2"/>
  <c r="Y105" i="2"/>
  <c r="Y180" i="2"/>
  <c r="Y104" i="2"/>
  <c r="Y176" i="2"/>
  <c r="Y106" i="2"/>
  <c r="Y179" i="2"/>
  <c r="Y107" i="2"/>
  <c r="Y109" i="2"/>
  <c r="Y174" i="2"/>
  <c r="Y116" i="2"/>
  <c r="Y108" i="2"/>
  <c r="I31" i="2"/>
  <c r="I30" i="2"/>
  <c r="H30" i="2"/>
  <c r="F31" i="2"/>
  <c r="J31" i="2"/>
  <c r="H31" i="2"/>
  <c r="G31" i="2"/>
  <c r="S82" i="2" l="1"/>
  <c r="S86" i="2" s="1"/>
  <c r="S83" i="2"/>
  <c r="B97" i="2"/>
  <c r="J88" i="2"/>
  <c r="J97" i="2" s="1"/>
  <c r="B89" i="2"/>
  <c r="J86" i="2"/>
  <c r="J95" i="2" s="1"/>
  <c r="B95" i="2"/>
  <c r="B85" i="2"/>
  <c r="I48" i="2"/>
  <c r="AE131" i="2"/>
  <c r="J36" i="2"/>
  <c r="J30" i="2"/>
  <c r="J47" i="2"/>
  <c r="F48" i="2"/>
  <c r="H47" i="2"/>
  <c r="J48" i="2"/>
  <c r="H48" i="2"/>
  <c r="E84" i="2" l="1"/>
  <c r="D84" i="2" s="1"/>
  <c r="C84" i="2" s="1"/>
  <c r="S85" i="2"/>
  <c r="F84" i="2"/>
  <c r="E93" i="2"/>
  <c r="M84" i="2"/>
  <c r="M93" i="2"/>
  <c r="J89" i="2"/>
  <c r="J98" i="2" s="1"/>
  <c r="B98" i="2"/>
  <c r="B94" i="2"/>
  <c r="J85" i="2"/>
  <c r="J94" i="2" s="1"/>
  <c r="G47" i="2"/>
  <c r="U178" i="2"/>
  <c r="U107" i="2"/>
  <c r="U108" i="2"/>
  <c r="U176" i="2"/>
  <c r="U118" i="2"/>
  <c r="U110" i="2"/>
  <c r="U181" i="2"/>
  <c r="U175" i="2"/>
  <c r="U174" i="2"/>
  <c r="U104" i="2"/>
  <c r="U105" i="2"/>
  <c r="U177" i="2"/>
  <c r="U106" i="2"/>
  <c r="U111" i="2"/>
  <c r="E36" i="2"/>
  <c r="F47" i="2"/>
  <c r="F30" i="2"/>
  <c r="U109" i="2"/>
  <c r="U180" i="2"/>
  <c r="U187" i="2"/>
  <c r="U179" i="2"/>
  <c r="U112" i="2"/>
  <c r="U116" i="2"/>
  <c r="T112" i="2"/>
  <c r="T180" i="2"/>
  <c r="T110" i="2"/>
  <c r="T106" i="2"/>
  <c r="T105" i="2"/>
  <c r="T181" i="2"/>
  <c r="T177" i="2"/>
  <c r="T108" i="2"/>
  <c r="T174" i="2"/>
  <c r="T107" i="2"/>
  <c r="T178" i="2"/>
  <c r="T175" i="2"/>
  <c r="T118" i="2"/>
  <c r="T111" i="2"/>
  <c r="T176" i="2"/>
  <c r="T109" i="2"/>
  <c r="T179" i="2"/>
  <c r="T187" i="2"/>
  <c r="AE186" i="2" s="1"/>
  <c r="T116" i="2"/>
  <c r="V106" i="2"/>
  <c r="V181" i="2"/>
  <c r="V177" i="2"/>
  <c r="W104" i="2"/>
  <c r="V108" i="2"/>
  <c r="V112" i="2"/>
  <c r="V118" i="2"/>
  <c r="V104" i="2"/>
  <c r="V175" i="2"/>
  <c r="V178" i="2"/>
  <c r="V187" i="2"/>
  <c r="V111" i="2"/>
  <c r="V105" i="2"/>
  <c r="V109" i="2"/>
  <c r="V179" i="2"/>
  <c r="V116" i="2"/>
  <c r="V107" i="2"/>
  <c r="V174" i="2"/>
  <c r="V180" i="2"/>
  <c r="V110" i="2"/>
  <c r="V176" i="2"/>
  <c r="L93" i="2" l="1"/>
  <c r="L84" i="2"/>
  <c r="D93" i="2"/>
  <c r="G84" i="2"/>
  <c r="N84" i="2"/>
  <c r="F93" i="2"/>
  <c r="N93" i="2"/>
  <c r="AE105" i="2"/>
  <c r="AE116" i="2"/>
  <c r="AE178" i="2"/>
  <c r="AE174" i="2"/>
  <c r="AE179" i="2"/>
  <c r="AE111" i="2"/>
  <c r="AE117" i="2"/>
  <c r="AE184" i="2"/>
  <c r="AE185" i="2"/>
  <c r="AE176" i="2"/>
  <c r="AE113" i="2"/>
  <c r="S29" i="2" s="1"/>
  <c r="S31" i="2" s="1"/>
  <c r="S35" i="2" s="1"/>
  <c r="AE182" i="2"/>
  <c r="AE183" i="2"/>
  <c r="AE112" i="2"/>
  <c r="AE104" i="2"/>
  <c r="K104" i="2" s="1"/>
  <c r="AE110" i="2"/>
  <c r="AE106" i="2"/>
  <c r="F36" i="2"/>
  <c r="AE108" i="2"/>
  <c r="AE107" i="2"/>
  <c r="AE181" i="2"/>
  <c r="AE180" i="2"/>
  <c r="AE187" i="2"/>
  <c r="AE118" i="2"/>
  <c r="AE175" i="2"/>
  <c r="AE109" i="2"/>
  <c r="AE177" i="2"/>
  <c r="E30" i="2"/>
  <c r="E47" i="2"/>
  <c r="G36" i="2"/>
  <c r="G30" i="2"/>
  <c r="G93" i="2" l="1"/>
  <c r="O84" i="2"/>
  <c r="O93" i="2"/>
  <c r="K93" i="2"/>
  <c r="C93" i="2"/>
  <c r="K84" i="2"/>
  <c r="L104" i="2"/>
  <c r="L26" i="2" s="1"/>
  <c r="K26" i="2"/>
  <c r="K27" i="2" s="1"/>
  <c r="G53" i="2"/>
  <c r="G52" i="2" s="1"/>
  <c r="G51" i="2" s="1"/>
  <c r="B65" i="2"/>
  <c r="B64" i="2" s="1"/>
  <c r="B63" i="2" s="1"/>
  <c r="Z174" i="2"/>
  <c r="K112" i="2"/>
  <c r="Z112" i="2" s="1"/>
  <c r="Z110" i="2"/>
  <c r="Z108" i="2"/>
  <c r="Z109" i="2"/>
  <c r="Z180" i="2"/>
  <c r="Z104" i="2"/>
  <c r="Z179" i="2"/>
  <c r="K105" i="2"/>
  <c r="Z105" i="2" s="1"/>
  <c r="Z178" i="2"/>
  <c r="K187" i="2"/>
  <c r="K113" i="2"/>
  <c r="Z175" i="2"/>
  <c r="Z181" i="2"/>
  <c r="K116" i="2"/>
  <c r="K35" i="2" s="1"/>
  <c r="Z177" i="2"/>
  <c r="K176" i="2"/>
  <c r="K42" i="2" s="1"/>
  <c r="K107" i="2"/>
  <c r="Z107" i="2" s="1"/>
  <c r="L176" i="2" l="1"/>
  <c r="L42" i="2" s="1"/>
  <c r="L107" i="2"/>
  <c r="AA107" i="2" s="1"/>
  <c r="L112" i="2"/>
  <c r="AA112" i="2" s="1"/>
  <c r="AA108" i="2"/>
  <c r="AA181" i="2"/>
  <c r="L113" i="2"/>
  <c r="AA104" i="2"/>
  <c r="M104" i="2"/>
  <c r="M26" i="2" s="1"/>
  <c r="M27" i="2" s="1"/>
  <c r="AA180" i="2"/>
  <c r="AA109" i="2"/>
  <c r="AA174" i="2"/>
  <c r="AA179" i="2"/>
  <c r="AA175" i="2"/>
  <c r="L105" i="2"/>
  <c r="AA105" i="2" s="1"/>
  <c r="AA110" i="2"/>
  <c r="AA177" i="2"/>
  <c r="AA178" i="2"/>
  <c r="K106" i="2"/>
  <c r="K111" i="2" s="1"/>
  <c r="Z111" i="2" s="1"/>
  <c r="K33" i="2"/>
  <c r="K29" i="2" s="1"/>
  <c r="L187" i="2"/>
  <c r="L44" i="2" s="1"/>
  <c r="L116" i="2"/>
  <c r="L35" i="2" s="1"/>
  <c r="Z176" i="2"/>
  <c r="L27" i="2"/>
  <c r="Z187" i="2"/>
  <c r="K44" i="2"/>
  <c r="G54" i="2"/>
  <c r="G55" i="2" s="1"/>
  <c r="B74" i="2"/>
  <c r="J65" i="2"/>
  <c r="J74" i="2" s="1"/>
  <c r="B66" i="2"/>
  <c r="Z116" i="2"/>
  <c r="K117" i="2"/>
  <c r="K118" i="2" s="1"/>
  <c r="Z118" i="2" s="1"/>
  <c r="AA176" i="2"/>
  <c r="K37" i="2"/>
  <c r="K36" i="2"/>
  <c r="AB110" i="2" l="1"/>
  <c r="AA116" i="2"/>
  <c r="L33" i="2"/>
  <c r="L29" i="2" s="1"/>
  <c r="M112" i="2"/>
  <c r="AB112" i="2" s="1"/>
  <c r="Z106" i="2"/>
  <c r="AB177" i="2"/>
  <c r="AB108" i="2"/>
  <c r="AB174" i="2"/>
  <c r="AB181" i="2"/>
  <c r="M116" i="2"/>
  <c r="M117" i="2" s="1"/>
  <c r="M118" i="2" s="1"/>
  <c r="AB118" i="2" s="1"/>
  <c r="M113" i="2"/>
  <c r="L106" i="2"/>
  <c r="L111" i="2" s="1"/>
  <c r="AA111" i="2" s="1"/>
  <c r="AB179" i="2"/>
  <c r="M187" i="2"/>
  <c r="AB187" i="2" s="1"/>
  <c r="AB178" i="2"/>
  <c r="AB180" i="2"/>
  <c r="N104" i="2"/>
  <c r="N26" i="2" s="1"/>
  <c r="N27" i="2" s="1"/>
  <c r="AB109" i="2"/>
  <c r="M176" i="2"/>
  <c r="M42" i="2" s="1"/>
  <c r="M105" i="2"/>
  <c r="AB105" i="2" s="1"/>
  <c r="AB175" i="2"/>
  <c r="AB104" i="2"/>
  <c r="M107" i="2"/>
  <c r="AB107" i="2" s="1"/>
  <c r="L117" i="2"/>
  <c r="L39" i="2" s="1"/>
  <c r="AA187" i="2"/>
  <c r="J64" i="2"/>
  <c r="J73" i="2" s="1"/>
  <c r="B73" i="2"/>
  <c r="B75" i="2"/>
  <c r="B67" i="2"/>
  <c r="J66" i="2"/>
  <c r="J75" i="2" s="1"/>
  <c r="Z117" i="2"/>
  <c r="K39" i="2"/>
  <c r="K46" i="2" s="1"/>
  <c r="L36" i="2"/>
  <c r="L37" i="2"/>
  <c r="K31" i="2"/>
  <c r="K30" i="2"/>
  <c r="AC175" i="2" l="1"/>
  <c r="N113" i="2"/>
  <c r="AC180" i="2"/>
  <c r="AC108" i="2"/>
  <c r="M44" i="2"/>
  <c r="O104" i="2"/>
  <c r="O26" i="2" s="1"/>
  <c r="O27" i="2" s="1"/>
  <c r="N187" i="2"/>
  <c r="AC187" i="2" s="1"/>
  <c r="N107" i="2"/>
  <c r="AC107" i="2" s="1"/>
  <c r="M33" i="2"/>
  <c r="AC110" i="2"/>
  <c r="AC104" i="2"/>
  <c r="N105" i="2"/>
  <c r="AC105" i="2" s="1"/>
  <c r="N116" i="2"/>
  <c r="AC116" i="2" s="1"/>
  <c r="AB176" i="2"/>
  <c r="AC179" i="2"/>
  <c r="AA117" i="2"/>
  <c r="AC178" i="2"/>
  <c r="AC181" i="2"/>
  <c r="M106" i="2"/>
  <c r="AB106" i="2" s="1"/>
  <c r="AA106" i="2"/>
  <c r="AB116" i="2"/>
  <c r="N176" i="2"/>
  <c r="N42" i="2" s="1"/>
  <c r="M35" i="2"/>
  <c r="M36" i="2" s="1"/>
  <c r="AC174" i="2"/>
  <c r="N112" i="2"/>
  <c r="AC112" i="2" s="1"/>
  <c r="AC109" i="2"/>
  <c r="AC177" i="2"/>
  <c r="L46" i="2"/>
  <c r="L118" i="2"/>
  <c r="AA118" i="2" s="1"/>
  <c r="J67" i="2"/>
  <c r="J76" i="2" s="1"/>
  <c r="B76" i="2"/>
  <c r="J63" i="2"/>
  <c r="J72" i="2" s="1"/>
  <c r="B72" i="2"/>
  <c r="K47" i="2"/>
  <c r="K48" i="2"/>
  <c r="M39" i="2"/>
  <c r="AB117" i="2"/>
  <c r="L30" i="2"/>
  <c r="L31" i="2"/>
  <c r="AD109" i="2" l="1"/>
  <c r="O113" i="2"/>
  <c r="AD175" i="2"/>
  <c r="AD104" i="2"/>
  <c r="O112" i="2"/>
  <c r="AD112" i="2" s="1"/>
  <c r="O187" i="2"/>
  <c r="AD187" i="2" s="1"/>
  <c r="AD177" i="2"/>
  <c r="AD180" i="2"/>
  <c r="AD178" i="2"/>
  <c r="AD110" i="2"/>
  <c r="AD179" i="2"/>
  <c r="AD174" i="2"/>
  <c r="O105" i="2"/>
  <c r="AD105" i="2" s="1"/>
  <c r="N33" i="2"/>
  <c r="AD108" i="2"/>
  <c r="N44" i="2"/>
  <c r="O107" i="2"/>
  <c r="AD107" i="2" s="1"/>
  <c r="O176" i="2"/>
  <c r="O42" i="2" s="1"/>
  <c r="O116" i="2"/>
  <c r="O117" i="2" s="1"/>
  <c r="O118" i="2" s="1"/>
  <c r="AD118" i="2" s="1"/>
  <c r="AD181" i="2"/>
  <c r="AC176" i="2"/>
  <c r="N117" i="2"/>
  <c r="N118" i="2" s="1"/>
  <c r="AC118" i="2" s="1"/>
  <c r="N106" i="2"/>
  <c r="AC106" i="2" s="1"/>
  <c r="M37" i="2"/>
  <c r="N35" i="2"/>
  <c r="N36" i="2" s="1"/>
  <c r="M111" i="2"/>
  <c r="AB111" i="2" s="1"/>
  <c r="M29" i="2"/>
  <c r="M31" i="2" s="1"/>
  <c r="L47" i="2"/>
  <c r="L48" i="2"/>
  <c r="AD176" i="2"/>
  <c r="O33" i="2"/>
  <c r="O106" i="2" l="1"/>
  <c r="O44" i="2"/>
  <c r="M46" i="2"/>
  <c r="M48" i="2" s="1"/>
  <c r="AD116" i="2"/>
  <c r="O35" i="2"/>
  <c r="O29" i="2" s="1"/>
  <c r="N39" i="2"/>
  <c r="N29" i="2"/>
  <c r="N30" i="2" s="1"/>
  <c r="N37" i="2"/>
  <c r="N111" i="2"/>
  <c r="AC111" i="2" s="1"/>
  <c r="AC117" i="2"/>
  <c r="M30" i="2"/>
  <c r="AD106" i="2"/>
  <c r="O111" i="2"/>
  <c r="AD111" i="2" s="1"/>
  <c r="O36" i="2"/>
  <c r="O37" i="2"/>
  <c r="O39" i="2"/>
  <c r="AD117" i="2"/>
  <c r="M47" i="2" l="1"/>
  <c r="N46" i="2"/>
  <c r="N48" i="2" s="1"/>
  <c r="N31" i="2"/>
  <c r="C87" i="2"/>
  <c r="F88" i="2"/>
  <c r="C89" i="2"/>
  <c r="F87" i="2"/>
  <c r="G87" i="2"/>
  <c r="D85" i="2"/>
  <c r="C88" i="2"/>
  <c r="F86" i="2"/>
  <c r="D88" i="2"/>
  <c r="F85" i="2"/>
  <c r="G86" i="2"/>
  <c r="D87" i="2"/>
  <c r="G88" i="2"/>
  <c r="E87" i="2"/>
  <c r="C86" i="2"/>
  <c r="D89" i="2"/>
  <c r="D86" i="2"/>
  <c r="E89" i="2"/>
  <c r="E86" i="2"/>
  <c r="F89" i="2"/>
  <c r="E85" i="2"/>
  <c r="G89" i="2"/>
  <c r="E88" i="2"/>
  <c r="C85" i="2"/>
  <c r="G85" i="2"/>
  <c r="O46" i="2"/>
  <c r="O30" i="2"/>
  <c r="O31" i="2"/>
  <c r="C63" i="2" l="1"/>
  <c r="F63" i="2"/>
  <c r="G63" i="2"/>
  <c r="E63" i="2"/>
  <c r="D63" i="2"/>
  <c r="N47" i="2"/>
  <c r="C65" i="2"/>
  <c r="D65" i="2"/>
  <c r="E65" i="2"/>
  <c r="F65" i="2"/>
  <c r="G65" i="2"/>
  <c r="E64" i="2"/>
  <c r="G66" i="2"/>
  <c r="C66" i="2"/>
  <c r="F66" i="2"/>
  <c r="F64" i="2"/>
  <c r="E66" i="2"/>
  <c r="C64" i="2"/>
  <c r="G64" i="2"/>
  <c r="D64" i="2"/>
  <c r="D66" i="2"/>
  <c r="D67" i="2"/>
  <c r="F67" i="2"/>
  <c r="G67" i="2"/>
  <c r="E67" i="2"/>
  <c r="C67" i="2"/>
  <c r="O55" i="2"/>
  <c r="N54" i="2"/>
  <c r="O48" i="2"/>
  <c r="M54" i="2"/>
  <c r="K54" i="2"/>
  <c r="N52" i="2"/>
  <c r="N53" i="2"/>
  <c r="L52" i="2"/>
  <c r="K53" i="2"/>
  <c r="L53" i="2"/>
  <c r="M55" i="2"/>
  <c r="O54" i="2"/>
  <c r="O51" i="2"/>
  <c r="K55" i="2"/>
  <c r="O53" i="2"/>
  <c r="L54" i="2"/>
  <c r="M51" i="2"/>
  <c r="M52" i="2"/>
  <c r="N55" i="2"/>
  <c r="L55" i="2"/>
  <c r="K52" i="2"/>
  <c r="O52" i="2"/>
  <c r="L51" i="2"/>
  <c r="N51" i="2"/>
  <c r="O47" i="2"/>
  <c r="M53" i="2"/>
  <c r="K51" i="2"/>
  <c r="H55" i="2" l="1"/>
  <c r="H54" i="2"/>
  <c r="H52" i="2"/>
  <c r="H51" i="2"/>
  <c r="H53" i="2"/>
  <c r="M66" i="2" l="1"/>
  <c r="E75" i="2" s="1"/>
  <c r="M75" i="2" s="1"/>
  <c r="K88" i="2"/>
  <c r="C97" i="2" s="1"/>
  <c r="K97" i="2" s="1"/>
  <c r="M88" i="2"/>
  <c r="E97" i="2" s="1"/>
  <c r="M97" i="2" s="1"/>
  <c r="O88" i="2"/>
  <c r="G97" i="2" s="1"/>
  <c r="O97" i="2" s="1"/>
  <c r="N88" i="2"/>
  <c r="F97" i="2" s="1"/>
  <c r="N97" i="2" s="1"/>
  <c r="L88" i="2"/>
  <c r="D97" i="2" s="1"/>
  <c r="L97" i="2" s="1"/>
  <c r="K65" i="2"/>
  <c r="C74" i="2" s="1"/>
  <c r="K74" i="2" s="1"/>
  <c r="K87" i="2"/>
  <c r="C96" i="2" s="1"/>
  <c r="K96" i="2" s="1"/>
  <c r="M87" i="2"/>
  <c r="E96" i="2" s="1"/>
  <c r="M96" i="2" s="1"/>
  <c r="O87" i="2"/>
  <c r="G96" i="2" s="1"/>
  <c r="O96" i="2" s="1"/>
  <c r="L87" i="2"/>
  <c r="D96" i="2" s="1"/>
  <c r="L96" i="2" s="1"/>
  <c r="N87" i="2"/>
  <c r="F96" i="2" s="1"/>
  <c r="N96" i="2" s="1"/>
  <c r="K85" i="2"/>
  <c r="C94" i="2" s="1"/>
  <c r="K94" i="2" s="1"/>
  <c r="M85" i="2"/>
  <c r="E94" i="2" s="1"/>
  <c r="M94" i="2" s="1"/>
  <c r="O85" i="2"/>
  <c r="G94" i="2" s="1"/>
  <c r="O94" i="2" s="1"/>
  <c r="L85" i="2"/>
  <c r="D94" i="2" s="1"/>
  <c r="L94" i="2" s="1"/>
  <c r="N85" i="2"/>
  <c r="F94" i="2" s="1"/>
  <c r="N94" i="2" s="1"/>
  <c r="L64" i="2"/>
  <c r="D73" i="2" s="1"/>
  <c r="L73" i="2" s="1"/>
  <c r="L86" i="2"/>
  <c r="D95" i="2" s="1"/>
  <c r="L95" i="2" s="1"/>
  <c r="K86" i="2"/>
  <c r="C95" i="2" s="1"/>
  <c r="K95" i="2" s="1"/>
  <c r="M86" i="2"/>
  <c r="E95" i="2" s="1"/>
  <c r="M95" i="2" s="1"/>
  <c r="O86" i="2"/>
  <c r="G95" i="2" s="1"/>
  <c r="O95" i="2" s="1"/>
  <c r="N86" i="2"/>
  <c r="F95" i="2" s="1"/>
  <c r="N95" i="2" s="1"/>
  <c r="L67" i="2"/>
  <c r="D76" i="2" s="1"/>
  <c r="L76" i="2" s="1"/>
  <c r="L89" i="2"/>
  <c r="D98" i="2" s="1"/>
  <c r="L98" i="2" s="1"/>
  <c r="N89" i="2"/>
  <c r="F98" i="2" s="1"/>
  <c r="N98" i="2" s="1"/>
  <c r="O89" i="2"/>
  <c r="G98" i="2" s="1"/>
  <c r="O98" i="2" s="1"/>
  <c r="M89" i="2"/>
  <c r="E98" i="2" s="1"/>
  <c r="M98" i="2" s="1"/>
  <c r="K89" i="2"/>
  <c r="C98" i="2" s="1"/>
  <c r="K98" i="2" s="1"/>
  <c r="M63" i="2"/>
  <c r="E72" i="2" s="1"/>
  <c r="M72" i="2" s="1"/>
  <c r="K63" i="2"/>
  <c r="C72" i="2" s="1"/>
  <c r="K72" i="2" s="1"/>
  <c r="N63" i="2"/>
  <c r="F72" i="2" s="1"/>
  <c r="N72" i="2" s="1"/>
  <c r="O66" i="2"/>
  <c r="G75" i="2" s="1"/>
  <c r="O75" i="2" s="1"/>
  <c r="K66" i="2"/>
  <c r="C75" i="2" s="1"/>
  <c r="K75" i="2" s="1"/>
  <c r="N66" i="2"/>
  <c r="F75" i="2" s="1"/>
  <c r="N75" i="2" s="1"/>
  <c r="L66" i="2"/>
  <c r="D75" i="2" s="1"/>
  <c r="L75" i="2" s="1"/>
  <c r="O67" i="2"/>
  <c r="G76" i="2" s="1"/>
  <c r="O76" i="2" s="1"/>
  <c r="K67" i="2"/>
  <c r="C76" i="2" s="1"/>
  <c r="K76" i="2" s="1"/>
  <c r="L65" i="2"/>
  <c r="D74" i="2" s="1"/>
  <c r="L74" i="2" s="1"/>
  <c r="N65" i="2"/>
  <c r="F74" i="2" s="1"/>
  <c r="N74" i="2" s="1"/>
  <c r="N67" i="2"/>
  <c r="F76" i="2" s="1"/>
  <c r="N76" i="2" s="1"/>
  <c r="K64" i="2"/>
  <c r="C73" i="2" s="1"/>
  <c r="K73" i="2" s="1"/>
  <c r="O63" i="2"/>
  <c r="G72" i="2" s="1"/>
  <c r="O72" i="2" s="1"/>
  <c r="O65" i="2"/>
  <c r="G74" i="2" s="1"/>
  <c r="O74" i="2" s="1"/>
  <c r="N64" i="2"/>
  <c r="F73" i="2" s="1"/>
  <c r="N73" i="2" s="1"/>
  <c r="L63" i="2"/>
  <c r="D72" i="2" s="1"/>
  <c r="L72" i="2" s="1"/>
  <c r="O64" i="2"/>
  <c r="G73" i="2" s="1"/>
  <c r="O73" i="2" s="1"/>
  <c r="M67" i="2"/>
  <c r="E76" i="2" s="1"/>
  <c r="M76" i="2" s="1"/>
  <c r="M65" i="2"/>
  <c r="E74" i="2" s="1"/>
  <c r="M74" i="2" s="1"/>
  <c r="M64" i="2"/>
  <c r="E73" i="2" s="1"/>
  <c r="M73" i="2" s="1"/>
  <c r="F7" i="2" l="1"/>
  <c r="D7" i="2"/>
  <c r="F6" i="2"/>
  <c r="D6" i="2"/>
  <c r="E6" i="2"/>
  <c r="E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tc={406A7E8B-A08D-7340-99BC-02AF988B6CA3}</author>
  </authors>
  <commentList>
    <comment ref="B39" authorId="0" shapeId="0" xr:uid="{406A7E8B-A08D-7340-99BC-02AF988B6CA3}">
      <text>
        <t xml:space="preserve">[Threaded comment]
Your version of Excel allows you to read this threaded comment; however, any edits to it will get removed if the file is opened in a newer version of Excel. Learn more: https://go.microsoft.com/fwlink/?linkid=870924
Comment:
    use tax provision?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<sst xmlns="http://schemas.openxmlformats.org/spreadsheetml/2006/main" count="215" uniqueCount="150">
  <si>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</si>
  <si>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</si>
  <si>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</si>
  <si>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</si>
  <si>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</si>
  <si>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</si>
  <si>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</si>
  <si>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</si>
  <si>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</si>
  <si>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</si>
  <si>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</si>
  <si>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</si>
  <si>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</si>
  <si>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</si>
  <si>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</si>
  <si>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</si>
  <si>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</si>
  <si>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</si>
  <si>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</si>
  <si>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</si>
  <si>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</si>
  <si>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</si>
  <si>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</si>
  <si>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</si>
  <si>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</si>
  <si>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</si>
  <si>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</si>
  <si>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</si>
  <si>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</si>
  <si>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</si>
  <si>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</si>
  <si>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</si>
  <si>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</si>
  <si>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</si>
  <si>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</si>
  <si>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</si>
  <si>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</si>
  <si>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</si>
  <si>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</si>
  <si>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</si>
  <si>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</si>
  <si>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</si>
  <si>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</si>
  <si>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</si>
  <si>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</si>
  <si>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</si>
  <si>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</si>
  <si>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</si>
  <si>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</si>
  <si>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</si>
  <si>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</si>
  <si>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</si>
  <si>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</si>
  <si>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</si>
  <si>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</si>
  <si>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</si>
  <si>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</si>
  <si>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</si>
  <si>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</si>
  <si>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</si>
  <si>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</si>
  <si>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</si>
  <si>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</si>
  <si>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</si>
  <si>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</si>
  <si>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</si>
  <si>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</si>
  <si>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</si>
  <si>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</si>
  <si>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</si>
  <si>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</si>
  <si>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</si>
  <si>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</si>
  <si>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</si>
  <si>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</si>
  <si>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</si>
  <si>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</si>
  <si>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</si>
  <si>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</si>
  <si>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</si>
  <si>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</si>
  <si>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</si>
  <si>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</si>
  <si>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</si>
  <si>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</si>
  <si>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</si>
  <si>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</si>
  <si>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</si>
  <si>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</si>
  <si>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</si>
  <si>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</si>
  <si>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</si>
  <si>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</si>
  <si>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</si>
  <si>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</si>
  <si>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</si>
  <si>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</si>
  <si>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</si>
  <si>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</si>
  <si>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</si>
  <si>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</si>
  <si>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</si>
  <si>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</si>
  <si>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</si>
  <si>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</si>
  <si>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</si>
  <si>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</si>
  <si>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</si>
  <si>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</si>
  <si>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</si>
  <si>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</si>
  <si>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</si>
  <si>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</si>
  <si>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</si>
  <si>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</si>
  <si>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</si>
  <si>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</si>
  <si>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</si>
  <si>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</si>
  <si>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</si>
  <si>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</si>
  <si>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</si>
  <si>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</si>
  <si>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</si>
  <si>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</si>
  <si>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</si>
  <si>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</si>
  <si>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</si>
  <si>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</si>
  <si>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</si>
  <si>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</si>
  <si>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</si>
  <si>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</si>
  <si>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</si>
  <si>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</si>
  <si>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</si>
  <si>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</si>
  <si>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</si>
  <si>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</si>
  <si>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</si>
  <si>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</si>
  <si>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 xml:space="preserve">Qualy's target price </t>
  </si>
  <si>
    <t>52 Week range</t>
  </si>
  <si>
    <t>Highest</t>
  </si>
  <si>
    <t>Diviation to high</t>
  </si>
  <si>
    <t>Diviation to low</t>
  </si>
  <si>
    <t>Medium</t>
  </si>
  <si>
    <t xml:space="preserve">EBITDA  Multiple Parameters </t>
  </si>
  <si>
    <t>Y-axies</t>
  </si>
  <si>
    <t>Current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</si>
</sst>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A"/>
    <numFmt numFmtId="166" formatCode="0\P"/>
    <numFmt numFmtId="167" formatCode="0.0%"/>
    <numFmt numFmtId="168" formatCode="0.0"/>
    <numFmt numFmtId="170" formatCode="0\x"/>
  </numFmts>
  <fonts count="24"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rgb="FFF2F2F2"/>
        <bgColor rgb="FF000000"/>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143">
    <xf numFmtId="0" fontId="0" fillId="0" borderId="0" xfId="0"/>
    <xf numFmtId="0" fontId="0" fillId="2" borderId="0" xfId="0" applyFill="1"/>
    <xf numFmtId="3" fontId="11" fillId="2" borderId="0" xfId="0" applyNumberFormat="1" applyFont="1" applyFill="1"/>
    <xf numFmtId="0" fontId="12" fillId="2" borderId="0" xfId="0" applyFont="1" applyFill="1"/>
    <xf numFmtId="167" fontId="0" fillId="2" borderId="0" xfId="0" applyNumberFormat="1" applyFill="1"/>
    <xf numFmtId="0" fontId="12" fillId="2" borderId="0" xfId="0" applyFont="1" applyFill="1" applyAlignment="1">
      <alignment horizontal="left" indent="2"/>
    </xf>
    <xf numFmtId="0" fontId="13" fillId="2" borderId="0" xfId="0" applyFont="1" applyFill="1"/>
    <xf numFmtId="164" fontId="0" fillId="2" borderId="0" xfId="0" applyNumberFormat="1" applyFill="1"/>
    <xf numFmtId="167" fontId="12" fillId="2" borderId="0" xfId="0" applyNumberFormat="1" applyFont="1" applyFill="1"/>
    <xf numFmtId="3" fontId="0" fillId="2" borderId="0" xfId="0" applyNumberFormat="1" applyFill="1"/>
    <xf numFmtId="167" fontId="12" fillId="2" borderId="0" xfId="1" applyNumberFormat="1" applyFont="1" applyFill="1"/>
    <xf numFmtId="167" fontId="14" fillId="2" borderId="0" xfId="0" applyNumberFormat="1" applyFont="1" applyFill="1"/>
    <xf numFmtId="0" fontId="9" fillId="2" borderId="1" xfId="0" applyFont="1" applyFill="1" applyBorder="1"/>
    <xf numFmtId="0" fontId="12" fillId="2" borderId="2" xfId="0" applyFont="1" applyFill="1" applyBorder="1"/>
    <xf numFmtId="167"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7" fontId="0" fillId="2" borderId="6" xfId="0" applyNumberFormat="1" applyFill="1" applyBorder="1"/>
    <xf numFmtId="167"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7"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7" fontId="14" fillId="2" borderId="0" xfId="0" applyNumberFormat="1" applyFont="1" applyFill="1" applyProtection="1">
      <protection locked="0"/>
    </xf>
    <xf numFmtId="167" fontId="0" fillId="2" borderId="0" xfId="0" applyNumberFormat="1" applyFill="1" applyProtection="1">
      <protection locked="0"/>
    </xf>
    <xf numFmtId="167" fontId="12" fillId="2" borderId="0" xfId="0" applyNumberFormat="1" applyFont="1" applyFill="1" applyProtection="1">
      <protection locked="0"/>
    </xf>
    <xf numFmtId="167"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4" fontId="3" fillId="2" borderId="0" xfId="3" applyNumberFormat="1" applyFont="1" applyFill="1" applyAlignment="1">
      <alignment horizontal="right"/>
    </xf>
    <xf numFmtId="0" fontId="2" fillId="2" borderId="0" xfId="0" applyFont="1" applyFill="1" applyAlignment="1">
      <alignment horizontal="left"/>
    </xf>
    <xf numFmtId="0" fontId="10" fillId="3" borderId="0" xfId="0" applyFont="1" applyFill="1"/>
    <xf numFmtId="2" fontId="0" fillId="2" borderId="0" xfId="0" applyNumberFormat="1" applyFill="1"/>
    <xf numFmtId="0" fontId="10" fillId="3" borderId="0" xfId="0" applyFont="1" applyFill="1" applyAlignment="1">
      <alignment horizontal="center" vertical="center"/>
    </xf>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4" borderId="0" xfId="0" applyFont="1" applyFill="1"/>
    <xf numFmtId="2" fontId="1" fillId="4" borderId="0" xfId="0" applyNumberFormat="1" applyFont="1" applyFill="1"/>
    <xf numFmtId="2" fontId="0" fillId="4" borderId="0" xfId="0" applyNumberFormat="1" applyFill="1"/>
    <xf numFmtId="165" fontId="10" fillId="3" borderId="0" xfId="0" applyNumberFormat="1" applyFont="1" applyFill="1"/>
    <xf numFmtId="166" fontId="10" fillId="3" borderId="0" xfId="0" applyNumberFormat="1" applyFon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168" fontId="16"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7" fontId="0" fillId="2" borderId="4" xfId="0" applyNumberFormat="1" applyFill="1" applyBorder="1" applyAlignment="1">
      <alignment horizontal="right"/>
    </xf>
    <xf numFmtId="167" fontId="0" fillId="2" borderId="5" xfId="0" applyNumberFormat="1" applyFill="1" applyBorder="1" applyAlignment="1">
      <alignment horizontal="center"/>
    </xf>
    <xf numFmtId="167" fontId="15" fillId="2" borderId="5" xfId="0" applyNumberFormat="1" applyFont="1" applyFill="1" applyBorder="1" applyAlignment="1">
      <alignment horizontal="center"/>
    </xf>
    <xf numFmtId="167" fontId="0" fillId="2" borderId="4" xfId="0" applyNumberFormat="1" applyFill="1" applyBorder="1" applyAlignment="1">
      <alignment horizontal="center"/>
    </xf>
    <xf numFmtId="167" fontId="14" fillId="2" borderId="5" xfId="0" applyNumberFormat="1" applyFont="1" applyFill="1" applyBorder="1" applyAlignment="1">
      <alignment horizontal="center"/>
    </xf>
    <xf numFmtId="3" fontId="0" fillId="2" borderId="0" xfId="0" applyNumberFormat="1" applyFill="1" applyAlignment="1">
      <alignment horizontal="center"/>
    </xf>
    <xf numFmtId="167"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7"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7"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21" fillId="2" borderId="0" xfId="0" applyFont="1" applyFill="1" applyAlignment="1">
      <alignment horizontal="center"/>
    </xf>
    <xf numFmtId="0" fontId="14" fillId="2" borderId="0" xfId="0" applyFont="1" applyFill="1" applyAlignment="1">
      <alignment horizontal="center"/>
    </xf>
    <xf numFmtId="0" fontId="8" fillId="3" borderId="0" xfId="0" applyFont="1" applyFill="1" applyAlignment="1">
      <alignment horizontal="center"/>
    </xf>
    <xf numFmtId="0" fontId="9" fillId="2" borderId="0" xfId="0" applyFont="1" applyFill="1" applyAlignment="1">
      <alignment horizontal="center"/>
    </xf>
    <xf numFmtId="0" fontId="0" fillId="2" borderId="0" xfId="0" applyFill="1" applyAlignment="1">
      <alignment horizontal="center"/>
    </xf>
    <xf numFmtId="0" fontId="10" fillId="3" borderId="0" xfId="0" applyFont="1" applyFill="1" applyAlignment="1">
      <alignment horizontal="center"/>
    </xf>
    <xf numFmtId="170" fontId="0" fillId="2" borderId="5" xfId="0" applyNumberFormat="1" applyFill="1" applyBorder="1" applyAlignment="1">
      <alignment horizontal="center"/>
    </xf>
    <xf numFmtId="170" fontId="14" fillId="2" borderId="5" xfId="0" applyNumberFormat="1" applyFont="1" applyFill="1" applyBorder="1" applyAlignment="1">
      <alignment horizontal="center"/>
    </xf>
    <xf numFmtId="170" fontId="22" fillId="5" borderId="5" xfId="0" applyNumberFormat="1" applyFont="1" applyFill="1" applyBorder="1" applyAlignment="1">
      <alignment horizontal="center"/>
    </xf>
    <xf numFmtId="170" fontId="14" fillId="5"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7"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10" fillId="3" borderId="0" xfId="0" applyFont="1" applyFill="1" applyAlignment="1">
      <alignment horizontal="left" vertical="top"/>
    </xf>
    <xf numFmtId="0" fontId="0" fillId="2" borderId="0" xfId="0" applyFill="1" applyAlignment="1"/>
    <xf numFmtId="3" fontId="0" fillId="2" borderId="0" xfId="0" applyNumberFormat="1" applyFill="1" applyAlignment="1">
      <alignment horizontal="center" vertical="center"/>
    </xf>
    <xf numFmtId="0" fontId="0" fillId="3" borderId="0" xfId="0" applyFill="1"/>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5" borderId="0" xfId="0" applyFont="1" applyFill="1"/>
    <xf numFmtId="0" fontId="0" fillId="2" borderId="0" xfId="0" applyFont="1" applyFill="1"/>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a:t>Qualy's Valuation Football Field </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'QLYS-US'!$C$5</c:f>
              <c:strCache>
                <c:ptCount val="1"/>
              </c:strCache>
            </c:strRef>
          </c:tx>
          <c:spPr>
            <a:solidFill>
              <a:schemeClr val="accent1"/>
            </a:solidFill>
            <a:ln>
              <a:noFill/>
            </a:ln>
            <a:effectLst/>
          </c:spPr>
          <c:invertIfNegative val="0"/>
          <c:cat>
            <c:strRef>
              <c:f>'QLYS-US'!$B$6:$B$8</c:f>
              <c:strCache>
                <c:ptCount val="3"/>
                <c:pt idx="0">
                  <c:v>DCF </c:v>
                </c:pt>
                <c:pt idx="1">
                  <c:v>EBITDA multiple</c:v>
                </c:pt>
                <c:pt idx="2">
                  <c:v>52 Week range</c:v>
                </c:pt>
              </c:strCache>
            </c:strRef>
          </c:cat>
          <c:val>
            <c:numRef>
              <c:f>'QLYS-US'!$C$6:$C$8</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'QLYS-US'!$D$5</c:f>
              <c:strCache>
                <c:ptCount val="1"/>
                <c:pt idx="0">
                  <c:v>Min</c:v>
                </c:pt>
              </c:strCache>
            </c:strRef>
          </c:tx>
          <c:spPr>
            <a:noFill/>
            <a:ln>
              <a:noFill/>
            </a:ln>
            <a:effectLst/>
          </c:spPr>
          <c:invertIfNegative val="0"/>
          <c:dLbls>
            <c:dLbl>
              <c:idx val="0"/>
              <c:layout>
                <c:manualLayout>
                  <c:x val="8.1193525733120719E-2"/>
                  <c:y val="-1.2612471792456245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0.18004602268947989"/>
                  <c:y val="1.154907680515203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0.10757062529723298"/>
                  <c:y val="-3.1531179481140614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'QLYS-US'!$B$6:$B$8</c:f>
              <c:strCache>
                <c:ptCount val="3"/>
                <c:pt idx="0">
                  <c:v>DCF </c:v>
                </c:pt>
                <c:pt idx="1">
                  <c:v>EBITDA multiple</c:v>
                </c:pt>
                <c:pt idx="2">
                  <c:v>52 Week range</c:v>
                </c:pt>
              </c:strCache>
            </c:strRef>
          </c:cat>
          <c:val>
            <c:numRef>
              <c:f>'QLYS-US'!$D$6:$D$8</c:f>
              <c:numCache>
                <c:formatCode>#,##0</c:formatCode>
                <c:ptCount val="3"/>
                <c:pt idx="0">
                  <c:v>71.45905763714488</c:v>
                </c:pt>
                <c:pt idx="1">
                  <c:v>140.25422005573543</c:v>
                </c:pt>
                <c:pt idx="2" formatCode="0">
                  <c:v>90.26</c:v>
                </c:pt>
              </c:numCache>
            </c:numRef>
          </c:val>
          <c:extLst>
            <c:ext xmlns:c16="http://schemas.microsoft.com/office/drawing/2014/chart" uri="{C3380CC4-5D6E-409C-BE32-E72D297353CC}">
              <c16:uniqueId val="{00000001-C8D8-9847-8E1A-217B6F7F079B}"/>
            </c:ext>
          </c:extLst>
        </c:ser>
        <c:ser>
          <c:idx val="2"/>
          <c:order val="2"/>
          <c:tx>
            <c:strRef>
              <c:f>'QLYS-US'!$E$5</c:f>
              <c:strCache>
                <c:ptCount val="1"/>
                <c:pt idx="0">
                  <c:v>Diff</c:v>
                </c:pt>
              </c:strCache>
            </c:strRef>
          </c:tx>
          <c:spPr>
            <a:solidFill>
              <a:schemeClr val="accent5">
                <a:lumMod val="75000"/>
              </a:schemeClr>
            </a:solidFill>
            <a:ln>
              <a:noFill/>
            </a:ln>
            <a:effectLst/>
          </c:spPr>
          <c:invertIfNegative val="0"/>
          <c:cat>
            <c:strRef>
              <c:f>'QLYS-US'!$B$6:$B$8</c:f>
              <c:strCache>
                <c:ptCount val="3"/>
                <c:pt idx="0">
                  <c:v>DCF </c:v>
                </c:pt>
                <c:pt idx="1">
                  <c:v>EBITDA multiple</c:v>
                </c:pt>
                <c:pt idx="2">
                  <c:v>52 Week range</c:v>
                </c:pt>
              </c:strCache>
            </c:strRef>
          </c:cat>
          <c:val>
            <c:numRef>
              <c:f>'QLYS-US'!$E$6:$E$8</c:f>
              <c:numCache>
                <c:formatCode>#,##0</c:formatCode>
                <c:ptCount val="3"/>
                <c:pt idx="0">
                  <c:v>96.436498824554704</c:v>
                </c:pt>
                <c:pt idx="1">
                  <c:v>59.732642682649328</c:v>
                </c:pt>
                <c:pt idx="2" formatCode="0">
                  <c:v>54.92</c:v>
                </c:pt>
              </c:numCache>
            </c:numRef>
          </c:val>
          <c:extLst>
            <c:ext xmlns:c16="http://schemas.microsoft.com/office/drawing/2014/chart" uri="{C3380CC4-5D6E-409C-BE32-E72D297353CC}">
              <c16:uniqueId val="{00000003-C8D8-9847-8E1A-217B6F7F079B}"/>
            </c:ext>
          </c:extLst>
        </c:ser>
        <c:ser>
          <c:idx val="3"/>
          <c:order val="3"/>
          <c:tx>
            <c:strRef>
              <c:f>'QLYS-US'!$F$5</c:f>
              <c:strCache>
                <c:ptCount val="1"/>
                <c:pt idx="0">
                  <c:v>Max</c:v>
                </c:pt>
              </c:strCache>
            </c:strRef>
          </c:tx>
          <c:spPr>
            <a:noFill/>
            <a:ln>
              <a:noFill/>
            </a:ln>
            <a:effectLst/>
          </c:spPr>
          <c:invertIfNegative val="0"/>
          <c:dLbls>
            <c:dLbl>
              <c:idx val="0"/>
              <c:layout>
                <c:manualLayout>
                  <c:x val="-0.21283002670332404"/>
                  <c:y val="-2.284897090250184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6006519009084711"/>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8508475234965086"/>
                  <c:y val="-3.1531179481140614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'QLYS-US'!$B$6:$B$8</c:f>
              <c:strCache>
                <c:ptCount val="3"/>
                <c:pt idx="0">
                  <c:v>DCF </c:v>
                </c:pt>
                <c:pt idx="1">
                  <c:v>EBITDA multiple</c:v>
                </c:pt>
                <c:pt idx="2">
                  <c:v>52 Week range</c:v>
                </c:pt>
              </c:strCache>
            </c:strRef>
          </c:cat>
          <c:val>
            <c:numRef>
              <c:f>'QLYS-US'!$F$6:$F$8</c:f>
              <c:numCache>
                <c:formatCode>#,##0</c:formatCode>
                <c:ptCount val="3"/>
                <c:pt idx="0">
                  <c:v>167.89555646169958</c:v>
                </c:pt>
                <c:pt idx="1">
                  <c:v>199.98686273838476</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29"/>
        <c:overlap val="100"/>
        <c:axId val="2034492944"/>
        <c:axId val="1597747136"/>
      </c:barChart>
      <c:scatterChart>
        <c:scatterStyle val="smoothMarker"/>
        <c:varyColors val="0"/>
        <c:ser>
          <c:idx val="4"/>
          <c:order val="4"/>
          <c:tx>
            <c:strRef>
              <c:f>'QLYS-US'!$B$9</c:f>
              <c:strCache>
                <c:ptCount val="1"/>
                <c:pt idx="0">
                  <c:v>Current Price</c:v>
                </c:pt>
              </c:strCache>
            </c:strRef>
          </c:tx>
          <c:spPr>
            <a:ln w="28575" cap="rnd">
              <a:solidFill>
                <a:srgbClr val="FF0000"/>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delete val="1"/>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elete val="1"/>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t"/>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solidFill>
                  <a:srgbClr val="FF0000"/>
                </a:solid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t"/>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'QLYS-US'!$D$9:$G$9</c:f>
              <c:numCache>
                <c:formatCode>#,##0</c:formatCode>
                <c:ptCount val="4"/>
                <c:pt idx="0">
                  <c:v>128.55000000000001</c:v>
                </c:pt>
                <c:pt idx="1">
                  <c:v>128.55000000000001</c:v>
                </c:pt>
                <c:pt idx="2">
                  <c:v>128.55000000000001</c:v>
                </c:pt>
                <c:pt idx="3">
                  <c:v>128.55000000000001</c:v>
                </c:pt>
              </c:numCache>
            </c:numRef>
          </c:xVal>
          <c:yVal>
            <c:numRef>
              <c:f>'QLYS-US'!$G$6:$G$9</c:f>
              <c:numCache>
                <c:formatCode>General</c:formatCode>
                <c:ptCount val="4"/>
                <c:pt idx="0">
                  <c:v>0</c:v>
                </c:pt>
                <c:pt idx="1">
                  <c:v>0</c:v>
                </c:pt>
                <c:pt idx="2">
                  <c:v>0</c:v>
                </c:pt>
                <c:pt idx="3" formatCode="#,##0">
                  <c:v>128.55000000000001</c:v>
                </c:pt>
              </c:numCache>
            </c:numRef>
          </c:yVal>
          <c:smooth val="1"/>
          <c:extLst>
            <c:ext xmlns:c16="http://schemas.microsoft.com/office/drawing/2014/chart" uri="{C3380CC4-5D6E-409C-BE32-E72D297353CC}">
              <c16:uniqueId val="{00000018-C8D8-9847-8E1A-217B6F7F079B}"/>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300"/>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90715</xdr:colOff>
      <xdr:row>2</xdr:row>
      <xdr:rowOff>18144</xdr:rowOff>
    </xdr:from>
    <xdr:to>
      <xdr:col>18</xdr:col>
      <xdr:colOff>535215</xdr:colOff>
      <xdr:row>21</xdr:row>
      <xdr:rowOff>90714</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Qin Liu" id="{2028676F-A240-9941-AE76-8C6275F669B4}"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0</v>
    <v>US Treasury 10Y</v>
    <v>2</v>
    <v>3</v>
    <v>Finance</v>
    <v>4</v>
    <v>en-US</v>
    <v>r6dwra</v>
    <v>268435456</v>
    <v>1</v>
    <v>Powered by Refinitiv</v>
    <v>-0.85940000000000005</v>
    <v>-8.4969999999999993E-3</v>
    <v>US</v>
    <v>USD</v>
    <v>Bond</v>
    <v>44628.902569444443</v>
    <v>0</v>
    <v>48259</v>
    <v>US Treasury 10Y</v>
    <v>101.14060000000001</v>
    <v>100.2813</v>
    <v>US10Y</v>
    <v>US Treasury 10Y</v>
    <v>1.916E-2</v>
    <v>1.839E-2</v>
    <v>1.5939999999999999E-2</v>
    <v>1.7219999999999999E-2</v>
  </rv>
  <rv s="2">
    <v>1</v>
  </rv>
  <rv s="0">
    <v>https://www.bing.com/financeapi/forcetrigger?t=a21m4c&amp;q=XNAS%3aQLYS&amp;form=skydnc</v>
    <v>Learn more on Bing</v>
  </rv>
  <rv s="3">
    <v>5</v>
    <v>QUALYS, INC. (XNAS:QLYS)</v>
    <v>6</v>
    <v>7</v>
    <v>Finance</v>
    <v>8</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3</v>
    <v>124.62</v>
    <v>5017231941</v>
    <v>QUALYS, INC.</v>
    <v>QUALYS, INC.</v>
    <v>126.44</v>
    <v>69.943700000000007</v>
    <v>124.05</v>
    <v>128.55000000000001</v>
    <v>129</v>
    <v>39029420</v>
    <v>QLYS</v>
    <v>QUALYS, INC. (XNAS:QLYS)</v>
    <v>251154</v>
    <v>366464</v>
    <v>1999</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IsTitleField" t="b"/>
    <rPr n="NumberFormat" t="s"/>
  </richProperties>
  <richStyles>
    <rSty>
      <rpv i="0">1</rpv>
    </rSty>
    <rSty dxfid="0">
      <rpv i="1">_([$$-en-US]* #,##0.00_);_([$$-en-US]* (#,##0.00);_([$$-en-US]* "-"??_);_(@_)</rpv>
    </rSty>
    <rSty dxfid="1"/>
    <rSty dxfid="2"/>
    <rSty dxfid="3"/>
    <rSty dxfid="4">
      <rpv i="1">0.00</rpv>
    </rSty>
    <rSty dxfid="5">
      <rpv i="1">#,##0.00</rpv>
    </rSty>
    <rSty dxfid="6">
      <rpv i="1">#,##0</rpv>
    </rSty>
    <rSty dxfid="0">
      <rpv i="1">_([$$-en-US]* #,##0_);_([$$-en-US]* (#,##0);_([$$-en-US]* "-"_);_(@_)</rpv>
    </rSty>
    <rSty dxfid="7">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9" dT="2022-02-17T03:56:19.40" personId="{2028676F-A240-9941-AE76-8C6275F669B4}" id="{406A7E8B-A08D-7340-99BC-02AF988B6CA3}">
    <text xml:space="preserve">use tax provision?
</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1.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383" Type="http://schemas.openxmlformats.org/officeDocument/2006/relationships/vmlDrawing" Target="../drawings/vmlDrawing1.vm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384" Type="http://schemas.openxmlformats.org/officeDocument/2006/relationships/comments" Target="../comments1.xm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385" Type="http://schemas.microsoft.com/office/2017/10/relationships/threadedComment" Target="../threadedComments/threadedComment1.xm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5:AT206"/>
  <sheetViews>
    <sheetView tabSelected="1" zoomScale="140" zoomScaleNormal="140" workbookViewId="0">
      <selection activeCell="F18" sqref="F18"/>
    </sheetView>
  </sheetViews>
  <sheetFormatPr baseColWidth="10" defaultColWidth="9.1640625" defaultRowHeight="15" customHeight="1" outlineLevelRow="1" outlineLevelCol="1" x14ac:dyDescent="0.15"/>
  <cols>
    <col min="1" max="1" width="9.1640625" style="1"/>
    <col min="2" max="4" width="10.33203125" style="1" customWidth="1" outlineLevel="1"/>
    <col min="5" max="14" width="10.5" style="1" customWidth="1"/>
    <col min="15" max="16384" width="9.1640625" style="1"/>
  </cols>
  <sheetData>
    <row r="5" spans="2:7" ht="15" customHeight="1" x14ac:dyDescent="0.15">
      <c r="B5" s="134" t="s">
        <v>141</v>
      </c>
      <c r="C5" s="137"/>
      <c r="D5" s="49" t="s">
        <v>138</v>
      </c>
      <c r="E5" s="49" t="s">
        <v>140</v>
      </c>
      <c r="F5" s="49" t="s">
        <v>139</v>
      </c>
      <c r="G5" s="49" t="s">
        <v>148</v>
      </c>
    </row>
    <row r="6" spans="2:7" ht="15" customHeight="1" x14ac:dyDescent="0.15">
      <c r="B6" s="1" t="s">
        <v>136</v>
      </c>
      <c r="D6" s="82">
        <f>MIN(L73:N75)</f>
        <v>71.45905763714488</v>
      </c>
      <c r="E6" s="82">
        <f>F6-D6</f>
        <v>96.436498824554704</v>
      </c>
      <c r="F6" s="82">
        <f>MAX(L73:N75)</f>
        <v>167.89555646169958</v>
      </c>
      <c r="G6" s="27">
        <v>0</v>
      </c>
    </row>
    <row r="7" spans="2:7" ht="15" customHeight="1" x14ac:dyDescent="0.15">
      <c r="B7" s="1" t="s">
        <v>137</v>
      </c>
      <c r="D7" s="82">
        <f>MIN(L95:N97)</f>
        <v>140.25422005573543</v>
      </c>
      <c r="E7" s="82">
        <f>F7-D7</f>
        <v>59.732642682649328</v>
      </c>
      <c r="F7" s="82">
        <f>MAX(L95:N97)</f>
        <v>199.98686273838476</v>
      </c>
      <c r="G7" s="27">
        <v>0</v>
      </c>
    </row>
    <row r="8" spans="2:7" ht="15" customHeight="1" x14ac:dyDescent="0.15">
      <c r="B8" s="1" t="s">
        <v>142</v>
      </c>
      <c r="D8" s="140">
        <v>90.26</v>
      </c>
      <c r="E8" s="140">
        <f>F8-D8</f>
        <v>54.92</v>
      </c>
      <c r="F8" s="140">
        <v>145.18</v>
      </c>
      <c r="G8" s="27">
        <v>0</v>
      </c>
    </row>
    <row r="9" spans="2:7" ht="15" customHeight="1" x14ac:dyDescent="0.15">
      <c r="B9" s="142" t="s">
        <v>149</v>
      </c>
      <c r="D9" s="82">
        <f>G9</f>
        <v>128.55000000000001</v>
      </c>
      <c r="E9" s="82">
        <f>G9</f>
        <v>128.55000000000001</v>
      </c>
      <c r="F9" s="82">
        <f>G9</f>
        <v>128.55000000000001</v>
      </c>
      <c r="G9" s="82" cm="1">
        <f t="array" ref="G9">_FV(Q38,"Price")</f>
        <v>128.55000000000001</v>
      </c>
    </row>
    <row r="10" spans="2:7" ht="15" customHeight="1" x14ac:dyDescent="0.15">
      <c r="D10" s="82"/>
      <c r="E10" s="82"/>
      <c r="F10" s="82"/>
      <c r="G10" s="82"/>
    </row>
    <row r="11" spans="2:7" ht="15" customHeight="1" x14ac:dyDescent="0.15">
      <c r="D11" s="27"/>
      <c r="E11" s="27"/>
      <c r="F11" s="27"/>
      <c r="G11" s="27"/>
    </row>
    <row r="12" spans="2:7" ht="15" customHeight="1" x14ac:dyDescent="0.15">
      <c r="D12" s="27"/>
      <c r="E12" s="27"/>
      <c r="F12" s="27"/>
      <c r="G12" s="27"/>
    </row>
    <row r="13" spans="2:7" ht="15" customHeight="1" x14ac:dyDescent="0.15">
      <c r="D13" s="27"/>
      <c r="E13" s="27"/>
      <c r="F13" s="27"/>
      <c r="G13" s="27"/>
    </row>
    <row r="14" spans="2:7" ht="15" customHeight="1" x14ac:dyDescent="0.15">
      <c r="D14" s="27"/>
      <c r="E14" s="27"/>
      <c r="F14" s="27"/>
      <c r="G14" s="27"/>
    </row>
    <row r="15" spans="2:7" ht="15" customHeight="1" x14ac:dyDescent="0.15">
      <c r="D15" s="27"/>
      <c r="E15" s="27"/>
      <c r="F15" s="27"/>
      <c r="G15" s="27"/>
    </row>
    <row r="16" spans="2:7" ht="15" customHeight="1" x14ac:dyDescent="0.15">
      <c r="D16" s="27"/>
      <c r="E16" s="27"/>
      <c r="F16" s="27"/>
      <c r="G16" s="27"/>
    </row>
    <row r="17" spans="2:20" ht="15" customHeight="1" x14ac:dyDescent="0.15">
      <c r="D17" s="27"/>
      <c r="E17" s="27"/>
      <c r="F17" s="27"/>
      <c r="G17" s="27"/>
    </row>
    <row r="18" spans="2:20" ht="15" customHeight="1" x14ac:dyDescent="0.15">
      <c r="D18" s="27"/>
      <c r="E18" s="27"/>
      <c r="F18" s="27"/>
      <c r="G18" s="27"/>
    </row>
    <row r="19" spans="2:20" ht="15" customHeight="1" x14ac:dyDescent="0.15">
      <c r="D19" s="27"/>
      <c r="E19" s="27"/>
      <c r="F19" s="27"/>
      <c r="G19" s="27"/>
    </row>
    <row r="20" spans="2:20" ht="15" customHeight="1" x14ac:dyDescent="0.15">
      <c r="D20" s="27"/>
      <c r="E20" s="27"/>
      <c r="F20" s="27"/>
      <c r="G20" s="27"/>
    </row>
    <row r="21" spans="2:20" ht="15" customHeight="1" x14ac:dyDescent="0.15">
      <c r="D21" s="27"/>
      <c r="E21" s="27"/>
      <c r="F21" s="27"/>
      <c r="G21" s="27"/>
    </row>
    <row r="25" spans="2:20" ht="15" customHeight="1" x14ac:dyDescent="0.2">
      <c r="B25" s="47" t="s">
        <v>19</v>
      </c>
      <c r="C25" s="47"/>
      <c r="D25" s="47"/>
      <c r="E25" s="64">
        <v>2016</v>
      </c>
      <c r="F25" s="64">
        <v>2017</v>
      </c>
      <c r="G25" s="64">
        <v>2018</v>
      </c>
      <c r="H25" s="64">
        <v>2019</v>
      </c>
      <c r="I25" s="64">
        <v>2020</v>
      </c>
      <c r="J25" s="64">
        <v>2021</v>
      </c>
      <c r="K25" s="65">
        <v>2022</v>
      </c>
      <c r="L25" s="65">
        <v>2023</v>
      </c>
      <c r="M25" s="65">
        <v>2024</v>
      </c>
      <c r="N25" s="65">
        <v>2025</v>
      </c>
      <c r="O25" s="65">
        <v>2026</v>
      </c>
      <c r="Q25" s="108" t="s">
        <v>20</v>
      </c>
      <c r="R25" s="108"/>
      <c r="S25" s="108"/>
      <c r="T25" s="139"/>
    </row>
    <row r="26" spans="2:20" ht="15" customHeight="1" x14ac:dyDescent="0.2">
      <c r="B26" s="1" t="s">
        <v>21</v>
      </c>
      <c r="E26" s="2">
        <f t="shared" ref="E26:O26" si="0">E104</f>
        <v>197.925003</v>
      </c>
      <c r="F26" s="2">
        <f t="shared" si="0"/>
        <v>230.828003</v>
      </c>
      <c r="G26" s="2">
        <f t="shared" si="0"/>
        <v>278.88900799999999</v>
      </c>
      <c r="H26" s="2">
        <f t="shared" si="0"/>
        <v>321.60699499999998</v>
      </c>
      <c r="I26" s="2">
        <f t="shared" si="0"/>
        <v>362.96301299999999</v>
      </c>
      <c r="J26" s="2">
        <f t="shared" si="0"/>
        <v>411.17199699999998</v>
      </c>
      <c r="K26" s="2">
        <f t="shared" si="0"/>
        <v>476.05785747742368</v>
      </c>
      <c r="L26" s="2">
        <f t="shared" si="0"/>
        <v>551.18316743247249</v>
      </c>
      <c r="M26" s="2">
        <f t="shared" si="0"/>
        <v>638.16378469354504</v>
      </c>
      <c r="N26" s="2">
        <f t="shared" si="0"/>
        <v>738.87056092706871</v>
      </c>
      <c r="O26" s="2">
        <f t="shared" si="0"/>
        <v>855.4695814756144</v>
      </c>
      <c r="Q26" s="1" t="s">
        <v>22</v>
      </c>
      <c r="R26" s="3"/>
      <c r="S26" s="4" cm="1">
        <f t="array" ref="S26">_FV(Q37,"Yield yesterday",TRUE)</f>
        <v>1.7219999999999999E-2</v>
      </c>
    </row>
    <row r="27" spans="2:20" ht="15" customHeight="1" x14ac:dyDescent="0.2">
      <c r="B27" s="5" t="s">
        <v>23</v>
      </c>
      <c r="C27" s="5"/>
      <c r="D27" s="5"/>
      <c r="E27" s="6"/>
      <c r="F27" s="11">
        <f>F26/E26-1</f>
        <v>0.16623973475448173</v>
      </c>
      <c r="G27" s="11">
        <f>G26/F26-1</f>
        <v>0.20821132780843743</v>
      </c>
      <c r="H27" s="4">
        <f t="shared" ref="H27:O27" si="1">H26/G26-1</f>
        <v>0.15317199952175953</v>
      </c>
      <c r="I27" s="4">
        <f t="shared" si="1"/>
        <v>0.12859178638200963</v>
      </c>
      <c r="J27" s="4">
        <f t="shared" si="1"/>
        <v>0.13282065189380599</v>
      </c>
      <c r="K27" s="4">
        <f t="shared" si="1"/>
        <v>0.15780710007209886</v>
      </c>
      <c r="L27" s="4">
        <f t="shared" si="1"/>
        <v>0.15780710007209886</v>
      </c>
      <c r="M27" s="4">
        <f t="shared" si="1"/>
        <v>0.15780710007209886</v>
      </c>
      <c r="N27" s="4">
        <f t="shared" si="1"/>
        <v>0.15780710007209886</v>
      </c>
      <c r="O27" s="4">
        <f t="shared" si="1"/>
        <v>0.15780710007209886</v>
      </c>
      <c r="Q27" s="1" t="s">
        <v>24</v>
      </c>
      <c r="R27" s="3"/>
      <c r="S27" s="7" cm="1">
        <f t="array" ref="S27">_FV(Q38,"Beta")</f>
        <v>0.73880000000000001</v>
      </c>
    </row>
    <row r="28" spans="2:20" ht="15" customHeight="1" x14ac:dyDescent="0.2">
      <c r="E28" s="6"/>
      <c r="F28" s="6"/>
      <c r="Q28" s="1" t="s">
        <v>25</v>
      </c>
      <c r="R28" s="3"/>
      <c r="S28" s="8">
        <v>0.1</v>
      </c>
    </row>
    <row r="29" spans="2:20" s="28" customFormat="1" ht="15" customHeight="1" x14ac:dyDescent="0.2">
      <c r="B29" s="28" t="s">
        <v>26</v>
      </c>
      <c r="E29" s="29">
        <f>E35+E33</f>
        <v>80.515003000000007</v>
      </c>
      <c r="F29" s="29">
        <f t="shared" ref="F29" si="2">F35+F33</f>
        <v>106.58399900000001</v>
      </c>
      <c r="G29" s="29">
        <f>G35+G33</f>
        <v>123.627995</v>
      </c>
      <c r="H29" s="29">
        <f>H35+H33</f>
        <v>171.253998</v>
      </c>
      <c r="I29" s="29">
        <f t="shared" ref="I29:N29" si="3">I35+I33</f>
        <v>190.550995</v>
      </c>
      <c r="J29" s="29">
        <f t="shared" si="3"/>
        <v>219.05300899999997</v>
      </c>
      <c r="K29" s="29">
        <f>K35+K33</f>
        <v>230.25840204404142</v>
      </c>
      <c r="L29" s="29">
        <f t="shared" si="3"/>
        <v>266.59481273784706</v>
      </c>
      <c r="M29" s="29">
        <f t="shared" si="3"/>
        <v>308.66536703027089</v>
      </c>
      <c r="N29" s="29">
        <f t="shared" si="3"/>
        <v>357.37495349400797</v>
      </c>
      <c r="O29" s="29">
        <f>O35+O33</f>
        <v>413.77125854329859</v>
      </c>
      <c r="Q29" s="28" t="s">
        <v>27</v>
      </c>
      <c r="R29" s="30"/>
      <c r="S29" s="31">
        <f>-AE113</f>
        <v>7.3601131838688962E-4</v>
      </c>
    </row>
    <row r="30" spans="2:20" s="28" customFormat="1" ht="15" customHeight="1" x14ac:dyDescent="0.2">
      <c r="B30" s="32" t="s">
        <v>28</v>
      </c>
      <c r="C30" s="32"/>
      <c r="D30" s="32"/>
      <c r="E30" s="33">
        <f t="shared" ref="E30:O30" si="4">E29/E26</f>
        <v>0.40679551233858013</v>
      </c>
      <c r="F30" s="33">
        <f t="shared" si="4"/>
        <v>0.46174639824787639</v>
      </c>
      <c r="G30" s="34">
        <f t="shared" si="4"/>
        <v>0.44328744214974586</v>
      </c>
      <c r="H30" s="34">
        <f t="shared" si="4"/>
        <v>0.53249463059719826</v>
      </c>
      <c r="I30" s="34">
        <f t="shared" si="4"/>
        <v>0.52498736283082381</v>
      </c>
      <c r="J30" s="34">
        <f t="shared" si="4"/>
        <v>0.53275274240040227</v>
      </c>
      <c r="K30" s="34">
        <f t="shared" si="4"/>
        <v>0.48367734809410445</v>
      </c>
      <c r="L30" s="34">
        <f t="shared" si="4"/>
        <v>0.48367734809410445</v>
      </c>
      <c r="M30" s="34">
        <f t="shared" si="4"/>
        <v>0.4836773480941044</v>
      </c>
      <c r="N30" s="34">
        <f t="shared" si="4"/>
        <v>0.4836773480941044</v>
      </c>
      <c r="O30" s="34">
        <f t="shared" si="4"/>
        <v>0.48367734809410445</v>
      </c>
      <c r="Q30" s="28" t="s">
        <v>29</v>
      </c>
      <c r="R30" s="30"/>
      <c r="S30" s="35">
        <f>-Y117</f>
        <v>0.2062373388512812</v>
      </c>
    </row>
    <row r="31" spans="2:20" s="28" customFormat="1" ht="15" customHeight="1" x14ac:dyDescent="0.2">
      <c r="B31" s="32" t="s">
        <v>23</v>
      </c>
      <c r="C31" s="32"/>
      <c r="D31" s="32"/>
      <c r="E31" s="36"/>
      <c r="F31" s="33">
        <f>F29/E29-1</f>
        <v>0.32377811623505748</v>
      </c>
      <c r="G31" s="33">
        <f>G29/F29-1</f>
        <v>0.15991139533055043</v>
      </c>
      <c r="H31" s="34">
        <f>H29/G29-1</f>
        <v>0.38523639407077659</v>
      </c>
      <c r="I31" s="34">
        <f>I29/H29-1</f>
        <v>0.1126805635217929</v>
      </c>
      <c r="J31" s="34">
        <f>J29/I29-1</f>
        <v>0.14957683112596687</v>
      </c>
      <c r="K31" s="34">
        <f t="shared" ref="K31:O31" si="5">K29/J29-1</f>
        <v>5.1153796495173598E-2</v>
      </c>
      <c r="L31" s="34">
        <f t="shared" si="5"/>
        <v>0.15780710007209908</v>
      </c>
      <c r="M31" s="34">
        <f t="shared" si="5"/>
        <v>0.15780710007209864</v>
      </c>
      <c r="N31" s="34">
        <f t="shared" si="5"/>
        <v>0.15780710007209886</v>
      </c>
      <c r="O31" s="34">
        <f t="shared" si="5"/>
        <v>0.15780710007209886</v>
      </c>
      <c r="Q31" s="28" t="s">
        <v>30</v>
      </c>
      <c r="R31" s="30"/>
      <c r="S31" s="35">
        <f>S29*(1-S30)</f>
        <v>5.8421830271835435E-4</v>
      </c>
    </row>
    <row r="32" spans="2:20" s="28" customFormat="1" ht="15" customHeight="1" x14ac:dyDescent="0.2">
      <c r="E32" s="37"/>
      <c r="F32" s="37"/>
      <c r="Q32" s="28" t="s">
        <v>31</v>
      </c>
      <c r="R32" s="30"/>
      <c r="S32" s="35">
        <f>S26+S27*(S28-S26)</f>
        <v>7.8377864000000005E-2</v>
      </c>
    </row>
    <row r="33" spans="2:23" ht="15" customHeight="1" x14ac:dyDescent="0.2">
      <c r="B33" s="1" t="s">
        <v>32</v>
      </c>
      <c r="E33" s="2">
        <f>E176</f>
        <v>50.086002000000001</v>
      </c>
      <c r="F33" s="2">
        <f t="shared" ref="F33:O33" si="6">F176</f>
        <v>67.206001000000001</v>
      </c>
      <c r="G33" s="2">
        <f t="shared" si="6"/>
        <v>68.159996000000007</v>
      </c>
      <c r="H33" s="2">
        <f t="shared" si="6"/>
        <v>91.270995999999997</v>
      </c>
      <c r="I33" s="2">
        <f t="shared" si="6"/>
        <v>88.513992000000002</v>
      </c>
      <c r="J33" s="2">
        <f t="shared" si="6"/>
        <v>129.65600599999999</v>
      </c>
      <c r="K33" s="2">
        <f t="shared" si="6"/>
        <v>129.45600742181074</v>
      </c>
      <c r="L33" s="2">
        <f t="shared" si="6"/>
        <v>149.8850845399588</v>
      </c>
      <c r="M33" s="2">
        <f t="shared" si="6"/>
        <v>173.53801507527106</v>
      </c>
      <c r="N33" s="2">
        <f t="shared" si="6"/>
        <v>200.92354598656777</v>
      </c>
      <c r="O33" s="2">
        <f t="shared" si="6"/>
        <v>232.63070811491102</v>
      </c>
      <c r="Q33" s="1" t="s">
        <v>33</v>
      </c>
      <c r="R33" s="3"/>
      <c r="S33" s="10">
        <f>J164/J147</f>
        <v>0.53613547667038852</v>
      </c>
    </row>
    <row r="34" spans="2:23" ht="15" customHeight="1" x14ac:dyDescent="0.2">
      <c r="E34" s="6"/>
      <c r="F34" s="6"/>
      <c r="Q34" s="1" t="s">
        <v>34</v>
      </c>
      <c r="R34" s="3"/>
      <c r="S34" s="8">
        <f>1-S33</f>
        <v>0.46386452332961148</v>
      </c>
    </row>
    <row r="35" spans="2:23" ht="15" customHeight="1" x14ac:dyDescent="0.2">
      <c r="B35" s="1" t="s">
        <v>35</v>
      </c>
      <c r="E35" s="2">
        <f t="shared" ref="E35:O35" si="7">E116</f>
        <v>30.429001</v>
      </c>
      <c r="F35" s="2">
        <f t="shared" si="7"/>
        <v>39.377997999999998</v>
      </c>
      <c r="G35" s="2">
        <f t="shared" si="7"/>
        <v>55.467998999999999</v>
      </c>
      <c r="H35" s="2">
        <f t="shared" si="7"/>
        <v>79.983001999999999</v>
      </c>
      <c r="I35" s="2">
        <f t="shared" si="7"/>
        <v>102.037003</v>
      </c>
      <c r="J35" s="2">
        <f t="shared" si="7"/>
        <v>89.397002999999998</v>
      </c>
      <c r="K35" s="2">
        <f t="shared" si="7"/>
        <v>100.80239462223068</v>
      </c>
      <c r="L35" s="2">
        <f t="shared" si="7"/>
        <v>116.70972819788824</v>
      </c>
      <c r="M35" s="2">
        <f t="shared" si="7"/>
        <v>135.12735195499982</v>
      </c>
      <c r="N35" s="2">
        <f t="shared" si="7"/>
        <v>156.45140750744022</v>
      </c>
      <c r="O35" s="2">
        <f t="shared" si="7"/>
        <v>181.14055042838754</v>
      </c>
      <c r="Q35" s="12" t="s">
        <v>20</v>
      </c>
      <c r="R35" s="13"/>
      <c r="S35" s="14">
        <f>S32*S33+S31*S34</f>
        <v>4.2292151620557772E-2</v>
      </c>
    </row>
    <row r="36" spans="2:23" ht="15" customHeight="1" x14ac:dyDescent="0.2">
      <c r="B36" s="5" t="s">
        <v>28</v>
      </c>
      <c r="C36" s="5"/>
      <c r="D36" s="5"/>
      <c r="E36" s="11">
        <f t="shared" ref="E36:O36" si="8">E35/E26</f>
        <v>0.15374005577253924</v>
      </c>
      <c r="F36" s="11">
        <f t="shared" si="8"/>
        <v>0.1705945443716376</v>
      </c>
      <c r="G36" s="4">
        <f t="shared" si="8"/>
        <v>0.19888915449833722</v>
      </c>
      <c r="H36" s="4">
        <f t="shared" si="8"/>
        <v>0.24869795509267453</v>
      </c>
      <c r="I36" s="4">
        <f t="shared" si="8"/>
        <v>0.28112231644936231</v>
      </c>
      <c r="J36" s="4">
        <f t="shared" si="8"/>
        <v>0.21741996938570698</v>
      </c>
      <c r="K36" s="4">
        <f t="shared" si="8"/>
        <v>0.21174399926170964</v>
      </c>
      <c r="L36" s="4">
        <f t="shared" si="8"/>
        <v>0.21174399926170964</v>
      </c>
      <c r="M36" s="4">
        <f t="shared" si="8"/>
        <v>0.21174399926170964</v>
      </c>
      <c r="N36" s="4">
        <f t="shared" si="8"/>
        <v>0.21174399926170964</v>
      </c>
      <c r="O36" s="4">
        <f t="shared" si="8"/>
        <v>0.21174399926170964</v>
      </c>
    </row>
    <row r="37" spans="2:23" ht="15" customHeight="1" x14ac:dyDescent="0.2">
      <c r="B37" s="5" t="s">
        <v>23</v>
      </c>
      <c r="C37" s="5"/>
      <c r="D37" s="5"/>
      <c r="E37" s="11"/>
      <c r="F37" s="11">
        <f>F35/E35-1</f>
        <v>0.29409434111885568</v>
      </c>
      <c r="G37" s="4"/>
      <c r="H37" s="4">
        <f t="shared" ref="H37:O37" si="9">H35/G35-1</f>
        <v>0.44196660131907772</v>
      </c>
      <c r="I37" s="4">
        <f t="shared" si="9"/>
        <v>0.27573359899644667</v>
      </c>
      <c r="J37" s="4">
        <f t="shared" si="9"/>
        <v>-0.12387662934396459</v>
      </c>
      <c r="K37" s="4">
        <f t="shared" si="9"/>
        <v>0.12758136446957491</v>
      </c>
      <c r="L37" s="4">
        <f t="shared" si="9"/>
        <v>0.15780710007209886</v>
      </c>
      <c r="M37" s="4">
        <f t="shared" si="9"/>
        <v>0.15780710007209864</v>
      </c>
      <c r="N37" s="4">
        <f t="shared" si="9"/>
        <v>0.15780710007209908</v>
      </c>
      <c r="O37" s="4">
        <f t="shared" si="9"/>
        <v>0.15780710007209864</v>
      </c>
      <c r="Q37" s="1" t="e" vm="1">
        <v>#VALUE!</v>
      </c>
      <c r="R37" s="3"/>
      <c r="S37" s="3"/>
    </row>
    <row r="38" spans="2:23" ht="15" customHeight="1" x14ac:dyDescent="0.2">
      <c r="E38" s="6"/>
      <c r="F38" s="6"/>
      <c r="Q38" s="1" t="e" vm="2">
        <v>#VALUE!</v>
      </c>
      <c r="R38" s="9"/>
      <c r="S38" s="3"/>
      <c r="U38" s="15"/>
    </row>
    <row r="39" spans="2:23" ht="15" customHeight="1" x14ac:dyDescent="0.2">
      <c r="B39" s="1" t="s">
        <v>36</v>
      </c>
      <c r="E39" s="2">
        <f>E117</f>
        <v>-11.205</v>
      </c>
      <c r="F39" s="2">
        <f t="shared" ref="F39:O39" si="10">F117</f>
        <v>1.0620000000000001</v>
      </c>
      <c r="G39" s="2">
        <f t="shared" si="10"/>
        <v>1.8360000000000001</v>
      </c>
      <c r="H39" s="2">
        <f t="shared" si="10"/>
        <v>-10.647</v>
      </c>
      <c r="I39" s="2">
        <f t="shared" si="10"/>
        <v>-10.465</v>
      </c>
      <c r="J39" s="2">
        <f t="shared" si="10"/>
        <v>-18.437000000000001</v>
      </c>
      <c r="K39" s="2">
        <f t="shared" si="10"/>
        <v>-12.601620711387989</v>
      </c>
      <c r="L39" s="2">
        <f t="shared" si="10"/>
        <v>-14.590245932060629</v>
      </c>
      <c r="M39" s="2">
        <f t="shared" si="10"/>
        <v>-16.89269033193785</v>
      </c>
      <c r="N39" s="2">
        <f t="shared" si="10"/>
        <v>-19.558476805636946</v>
      </c>
      <c r="O39" s="2">
        <f t="shared" si="10"/>
        <v>-22.644943312161917</v>
      </c>
      <c r="Q39" s="1" t="s">
        <v>37</v>
      </c>
      <c r="R39" s="3"/>
      <c r="S39" s="16" cm="1">
        <f t="array" ref="S39">_FV(Q38,"Shares outstanding",TRUE)/1000000</f>
        <v>39.029420000000002</v>
      </c>
    </row>
    <row r="40" spans="2:23" ht="15" customHeight="1" x14ac:dyDescent="0.2">
      <c r="B40" s="5" t="s">
        <v>38</v>
      </c>
      <c r="C40" s="5"/>
      <c r="D40" s="5"/>
      <c r="E40" s="11">
        <v>3.5771516772336767E-2</v>
      </c>
      <c r="F40" s="11">
        <v>1.4280463116876531E-2</v>
      </c>
      <c r="G40" s="4">
        <v>5.7563859486735439E-2</v>
      </c>
      <c r="H40" s="4">
        <v>0.16541353383458646</v>
      </c>
      <c r="I40" s="4">
        <v>0.2530329289428076</v>
      </c>
      <c r="J40" s="4">
        <v>0.11020022071574964</v>
      </c>
      <c r="K40" s="4">
        <v>0.14655263574496979</v>
      </c>
      <c r="L40" s="4">
        <v>0.14655263574496979</v>
      </c>
      <c r="M40" s="4">
        <v>0.14655263574496979</v>
      </c>
      <c r="N40" s="4">
        <v>0.14655263574496979</v>
      </c>
      <c r="O40" s="4">
        <v>0.14655263574496979</v>
      </c>
    </row>
    <row r="41" spans="2:23" ht="15" customHeight="1" x14ac:dyDescent="0.2">
      <c r="E41" s="6"/>
      <c r="F41" s="6"/>
      <c r="Q41" s="17"/>
      <c r="R41" s="3"/>
      <c r="S41" s="3"/>
    </row>
    <row r="42" spans="2:23" ht="15" customHeight="1" x14ac:dyDescent="0.2">
      <c r="B42" s="1" t="s">
        <v>39</v>
      </c>
      <c r="E42" s="2">
        <f>E176</f>
        <v>50.086002000000001</v>
      </c>
      <c r="F42" s="2">
        <f t="shared" ref="F42:O42" si="11">F176</f>
        <v>67.206001000000001</v>
      </c>
      <c r="G42" s="2">
        <f t="shared" si="11"/>
        <v>68.159996000000007</v>
      </c>
      <c r="H42" s="2">
        <f t="shared" si="11"/>
        <v>91.270995999999997</v>
      </c>
      <c r="I42" s="2">
        <f t="shared" si="11"/>
        <v>88.513992000000002</v>
      </c>
      <c r="J42" s="2">
        <f t="shared" si="11"/>
        <v>129.65600599999999</v>
      </c>
      <c r="K42" s="2">
        <f t="shared" si="11"/>
        <v>129.45600742181074</v>
      </c>
      <c r="L42" s="2">
        <f t="shared" si="11"/>
        <v>149.8850845399588</v>
      </c>
      <c r="M42" s="2">
        <f t="shared" si="11"/>
        <v>173.53801507527106</v>
      </c>
      <c r="N42" s="2">
        <f t="shared" si="11"/>
        <v>200.92354598656777</v>
      </c>
      <c r="O42" s="2">
        <f t="shared" si="11"/>
        <v>232.63070811491102</v>
      </c>
      <c r="V42" s="138"/>
      <c r="W42" s="138"/>
    </row>
    <row r="43" spans="2:23" ht="15" customHeight="1" x14ac:dyDescent="0.2">
      <c r="E43" s="6"/>
      <c r="F43" s="6"/>
      <c r="G43" s="18"/>
      <c r="H43" s="18"/>
      <c r="I43" s="18"/>
      <c r="J43" s="18"/>
      <c r="K43" s="18"/>
      <c r="L43" s="18"/>
      <c r="M43" s="18"/>
      <c r="N43" s="18"/>
      <c r="O43" s="18"/>
      <c r="V43" s="76"/>
      <c r="W43" s="76"/>
    </row>
    <row r="44" spans="2:23" ht="15" customHeight="1" x14ac:dyDescent="0.2">
      <c r="B44" s="1" t="s">
        <v>40</v>
      </c>
      <c r="E44" s="2">
        <f>E187</f>
        <v>20.829000000000001</v>
      </c>
      <c r="F44" s="2">
        <f t="shared" ref="F44:O44" si="12">F187</f>
        <v>20.185001</v>
      </c>
      <c r="G44" s="2">
        <f t="shared" si="12"/>
        <v>12.728</v>
      </c>
      <c r="H44" s="2">
        <f t="shared" si="12"/>
        <v>19.230999000000001</v>
      </c>
      <c r="I44" s="2">
        <f t="shared" si="12"/>
        <v>10.703999</v>
      </c>
      <c r="J44" s="2">
        <f t="shared" si="12"/>
        <v>30.994999</v>
      </c>
      <c r="K44" s="2">
        <f t="shared" si="12"/>
        <v>31.974456856200387</v>
      </c>
      <c r="L44" s="2">
        <f t="shared" si="12"/>
        <v>37.02025316905781</v>
      </c>
      <c r="M44" s="2">
        <f t="shared" si="12"/>
        <v>42.862311965601748</v>
      </c>
      <c r="N44" s="2">
        <f t="shared" si="12"/>
        <v>49.626289119278987</v>
      </c>
      <c r="O44" s="2">
        <f t="shared" si="12"/>
        <v>57.457669892531953</v>
      </c>
      <c r="V44" s="136"/>
      <c r="W44" s="136"/>
    </row>
    <row r="45" spans="2:23" ht="15" customHeight="1" x14ac:dyDescent="0.2">
      <c r="E45" s="6"/>
      <c r="F45" s="6"/>
      <c r="V45" s="136"/>
      <c r="W45" s="136"/>
    </row>
    <row r="46" spans="2:23" ht="15" customHeight="1" x14ac:dyDescent="0.2">
      <c r="B46" s="1" t="s">
        <v>41</v>
      </c>
      <c r="E46" s="19">
        <f>E29+E39-E42-E44</f>
        <v>-1.6049989999999923</v>
      </c>
      <c r="F46" s="19">
        <f t="shared" ref="F46:N46" si="13">F29+F39-F42-F44</f>
        <v>20.254997000000003</v>
      </c>
      <c r="G46" s="19">
        <f t="shared" si="13"/>
        <v>44.575998999999989</v>
      </c>
      <c r="H46" s="19">
        <f t="shared" si="13"/>
        <v>50.105003000000011</v>
      </c>
      <c r="I46" s="19">
        <f t="shared" si="13"/>
        <v>80.868003999999999</v>
      </c>
      <c r="J46" s="19">
        <f t="shared" si="13"/>
        <v>39.965003999999972</v>
      </c>
      <c r="K46" s="19">
        <f t="shared" si="13"/>
        <v>56.226317054642294</v>
      </c>
      <c r="L46" s="19">
        <f t="shared" si="13"/>
        <v>65.099229096769818</v>
      </c>
      <c r="M46" s="19">
        <f t="shared" si="13"/>
        <v>75.372349657460234</v>
      </c>
      <c r="N46" s="19">
        <f t="shared" si="13"/>
        <v>87.266641582524272</v>
      </c>
      <c r="O46" s="19">
        <f>O29+O39-O42-O44</f>
        <v>101.03793722369372</v>
      </c>
      <c r="Q46" s="3"/>
      <c r="R46" s="3"/>
      <c r="S46" s="3"/>
    </row>
    <row r="47" spans="2:23" ht="15" customHeight="1" x14ac:dyDescent="0.2">
      <c r="B47" s="5" t="s">
        <v>28</v>
      </c>
      <c r="C47" s="5"/>
      <c r="D47" s="5"/>
      <c r="E47" s="11">
        <f t="shared" ref="E47:O47" si="14">E46/E26</f>
        <v>-8.1091270717322771E-3</v>
      </c>
      <c r="F47" s="11">
        <f t="shared" si="14"/>
        <v>8.7749305702740074E-2</v>
      </c>
      <c r="G47" s="4">
        <f t="shared" si="14"/>
        <v>0.159834191098704</v>
      </c>
      <c r="H47" s="4">
        <f t="shared" si="14"/>
        <v>0.15579575002714108</v>
      </c>
      <c r="I47" s="4">
        <f t="shared" si="14"/>
        <v>0.22279957214263041</v>
      </c>
      <c r="J47" s="4">
        <f t="shared" si="14"/>
        <v>9.7197776822335435E-2</v>
      </c>
      <c r="K47" s="4">
        <f t="shared" si="14"/>
        <v>0.11810815885400808</v>
      </c>
      <c r="L47" s="4">
        <f t="shared" si="14"/>
        <v>0.11810815885400812</v>
      </c>
      <c r="M47" s="4">
        <f t="shared" si="14"/>
        <v>0.11810815885400809</v>
      </c>
      <c r="N47" s="4">
        <f t="shared" si="14"/>
        <v>0.11810815885400806</v>
      </c>
      <c r="O47" s="4">
        <f t="shared" si="14"/>
        <v>0.11810815885400813</v>
      </c>
      <c r="Q47" s="3"/>
      <c r="R47" s="3"/>
      <c r="S47" s="135"/>
      <c r="T47" s="135"/>
      <c r="U47" s="135"/>
      <c r="V47" s="135"/>
      <c r="W47" s="135"/>
    </row>
    <row r="48" spans="2:23" ht="15" customHeight="1" x14ac:dyDescent="0.2">
      <c r="B48" s="5" t="s">
        <v>23</v>
      </c>
      <c r="C48" s="5"/>
      <c r="D48" s="5"/>
      <c r="E48" s="11"/>
      <c r="F48" s="11">
        <f>F46/E46-1</f>
        <v>-13.619943688438498</v>
      </c>
      <c r="G48" s="4"/>
      <c r="H48" s="4">
        <f>H46/G46-1</f>
        <v>0.12403544786511733</v>
      </c>
      <c r="I48" s="4">
        <f>I46/H46-1</f>
        <v>0.61397064480766494</v>
      </c>
      <c r="J48" s="4">
        <f>J46/I46-1</f>
        <v>-0.50579954959689655</v>
      </c>
      <c r="K48" s="4">
        <f>K46/J46-1</f>
        <v>0.40688881338889238</v>
      </c>
      <c r="L48" s="4">
        <f>L46/K46-1</f>
        <v>0.1578071000720993</v>
      </c>
      <c r="M48" s="4">
        <f>(M46-L46)/-L46</f>
        <v>-0.15780710007209842</v>
      </c>
      <c r="N48" s="4">
        <f>(N46-M46)/M46</f>
        <v>0.15780710007209867</v>
      </c>
      <c r="O48" s="4">
        <f>(O46-N46)/N46</f>
        <v>0.15780710007209947</v>
      </c>
      <c r="W48" s="20"/>
    </row>
    <row r="50" spans="2:22" ht="15" customHeight="1" x14ac:dyDescent="0.2">
      <c r="G50" s="21" t="s">
        <v>20</v>
      </c>
      <c r="H50" s="22" t="s">
        <v>42</v>
      </c>
      <c r="J50" s="23" t="s">
        <v>43</v>
      </c>
      <c r="K50" s="24">
        <v>0</v>
      </c>
      <c r="L50" s="1">
        <f>K50+1</f>
        <v>1</v>
      </c>
      <c r="M50" s="1">
        <f t="shared" ref="M50:O50" si="15">L50+1</f>
        <v>2</v>
      </c>
      <c r="N50" s="1">
        <f t="shared" si="15"/>
        <v>3</v>
      </c>
      <c r="O50" s="1">
        <f t="shared" si="15"/>
        <v>4</v>
      </c>
    </row>
    <row r="51" spans="2:22" ht="15" customHeight="1" x14ac:dyDescent="0.2">
      <c r="G51" s="25">
        <f>G52-1%</f>
        <v>2.2292151620557768E-2</v>
      </c>
      <c r="H51" s="9">
        <f>SUM(K51:O51)</f>
        <v>483.63252889610067</v>
      </c>
      <c r="K51" s="19">
        <f t="shared" ref="K51:O55" si="16">$O$46/(1+$G51)^K$50</f>
        <v>101.03793722369372</v>
      </c>
      <c r="L51" s="19">
        <f t="shared" si="16"/>
        <v>98.834699125417686</v>
      </c>
      <c r="M51" s="19">
        <f t="shared" si="16"/>
        <v>96.679504942635972</v>
      </c>
      <c r="N51" s="19">
        <f t="shared" si="16"/>
        <v>94.571307027426272</v>
      </c>
      <c r="O51" s="19">
        <f t="shared" si="16"/>
        <v>92.509080576927005</v>
      </c>
    </row>
    <row r="52" spans="2:22" ht="15" customHeight="1" x14ac:dyDescent="0.2">
      <c r="G52" s="25">
        <f>G53-1%</f>
        <v>3.229215162055777E-2</v>
      </c>
      <c r="H52" s="9">
        <f>SUM(K52:O52)</f>
        <v>474.55636170924902</v>
      </c>
      <c r="K52" s="19">
        <f t="shared" si="16"/>
        <v>101.03793722369372</v>
      </c>
      <c r="L52" s="19">
        <f t="shared" si="16"/>
        <v>97.877269593765618</v>
      </c>
      <c r="M52" s="19">
        <f t="shared" si="16"/>
        <v>94.815473933529049</v>
      </c>
      <c r="N52" s="19">
        <f t="shared" si="16"/>
        <v>91.849457331126345</v>
      </c>
      <c r="O52" s="19">
        <f t="shared" si="16"/>
        <v>88.97622362713426</v>
      </c>
    </row>
    <row r="53" spans="2:22" ht="15" customHeight="1" x14ac:dyDescent="0.2">
      <c r="G53" s="25">
        <f>S35</f>
        <v>4.2292151620557772E-2</v>
      </c>
      <c r="H53" s="9">
        <f>SUM(K53:O53)</f>
        <v>465.82246396931845</v>
      </c>
      <c r="K53" s="19">
        <f t="shared" si="16"/>
        <v>101.03793722369372</v>
      </c>
      <c r="L53" s="19">
        <f t="shared" si="16"/>
        <v>96.938211677598986</v>
      </c>
      <c r="M53" s="19">
        <f t="shared" si="16"/>
        <v>93.004837009354119</v>
      </c>
      <c r="N53" s="19">
        <f t="shared" si="16"/>
        <v>89.231063348937269</v>
      </c>
      <c r="O53" s="19">
        <f t="shared" si="16"/>
        <v>85.610414709734371</v>
      </c>
    </row>
    <row r="54" spans="2:22" ht="15" customHeight="1" x14ac:dyDescent="0.2">
      <c r="G54" s="25">
        <f>G53+1%</f>
        <v>5.2292151620557774E-2</v>
      </c>
      <c r="H54" s="9">
        <f>SUM(K54:O54)</f>
        <v>457.4140334860864</v>
      </c>
      <c r="K54" s="19">
        <f t="shared" si="16"/>
        <v>101.03793722369372</v>
      </c>
      <c r="L54" s="19">
        <f t="shared" si="16"/>
        <v>96.017001616986903</v>
      </c>
      <c r="M54" s="19">
        <f t="shared" si="16"/>
        <v>91.24557421540986</v>
      </c>
      <c r="N54" s="19">
        <f t="shared" si="16"/>
        <v>86.711256065997702</v>
      </c>
      <c r="O54" s="19">
        <f t="shared" si="16"/>
        <v>82.402264363998228</v>
      </c>
    </row>
    <row r="55" spans="2:22" ht="15" customHeight="1" x14ac:dyDescent="0.2">
      <c r="G55" s="25">
        <f>G54+1%</f>
        <v>6.2292151620557776E-2</v>
      </c>
      <c r="H55" s="9">
        <f>SUM(K55:O55)</f>
        <v>449.31526483083127</v>
      </c>
      <c r="K55" s="19">
        <f t="shared" si="16"/>
        <v>101.03793722369372</v>
      </c>
      <c r="L55" s="19">
        <f t="shared" si="16"/>
        <v>95.113135373877512</v>
      </c>
      <c r="M55" s="19">
        <f t="shared" si="16"/>
        <v>89.535760222627701</v>
      </c>
      <c r="N55" s="19">
        <f t="shared" si="16"/>
        <v>84.285438884245067</v>
      </c>
      <c r="O55" s="19">
        <f t="shared" si="16"/>
        <v>79.34299312638727</v>
      </c>
    </row>
    <row r="56" spans="2:22" ht="15" customHeight="1" x14ac:dyDescent="0.2">
      <c r="G56" s="26"/>
      <c r="H56" s="9"/>
      <c r="K56" s="19"/>
      <c r="L56" s="19"/>
      <c r="M56" s="19"/>
      <c r="N56" s="19"/>
      <c r="O56" s="19"/>
    </row>
    <row r="57" spans="2:22" ht="15" customHeight="1" x14ac:dyDescent="0.2">
      <c r="G57" s="26"/>
      <c r="H57" s="9"/>
      <c r="K57" s="19"/>
      <c r="L57" s="19"/>
      <c r="M57" s="19"/>
      <c r="N57" s="19"/>
      <c r="O57" s="19"/>
    </row>
    <row r="58" spans="2:22" ht="16" x14ac:dyDescent="0.2">
      <c r="B58" s="105" t="s">
        <v>119</v>
      </c>
      <c r="C58" s="105"/>
      <c r="D58" s="105"/>
      <c r="E58" s="105"/>
      <c r="F58" s="105"/>
      <c r="G58" s="105"/>
      <c r="H58" s="105"/>
      <c r="I58" s="105"/>
      <c r="J58" s="105"/>
      <c r="K58" s="105"/>
      <c r="L58" s="105"/>
      <c r="M58" s="105"/>
      <c r="N58" s="105"/>
      <c r="O58" s="105"/>
      <c r="Q58" s="49" t="s">
        <v>120</v>
      </c>
      <c r="R58" s="49" t="s">
        <v>121</v>
      </c>
      <c r="S58" s="49" t="s">
        <v>122</v>
      </c>
    </row>
    <row r="59" spans="2:22" ht="16" x14ac:dyDescent="0.2">
      <c r="B59" s="75"/>
      <c r="Q59" s="76">
        <v>0</v>
      </c>
      <c r="R59" s="100">
        <f>J153+J155</f>
        <v>48.522001000000003</v>
      </c>
      <c r="S59" s="100">
        <f>J131</f>
        <v>137.328003</v>
      </c>
    </row>
    <row r="60" spans="2:22" ht="16" x14ac:dyDescent="0.2">
      <c r="C60" s="106" t="s">
        <v>123</v>
      </c>
      <c r="D60" s="106"/>
      <c r="E60" s="106"/>
      <c r="F60" s="106"/>
      <c r="G60" s="106"/>
      <c r="K60" s="106" t="s">
        <v>124</v>
      </c>
      <c r="L60" s="106"/>
      <c r="M60" s="106"/>
      <c r="N60" s="106"/>
      <c r="O60" s="106"/>
      <c r="Q60" s="102">
        <f t="shared" ref="Q60" si="17">Q59</f>
        <v>0</v>
      </c>
      <c r="R60" s="101">
        <f t="shared" ref="R60:S63" si="18">R59</f>
        <v>48.522001000000003</v>
      </c>
      <c r="S60" s="101">
        <f t="shared" si="18"/>
        <v>137.328003</v>
      </c>
    </row>
    <row r="61" spans="2:22" ht="13" x14ac:dyDescent="0.15">
      <c r="C61" s="107" t="s">
        <v>125</v>
      </c>
      <c r="D61" s="107"/>
      <c r="E61" s="107"/>
      <c r="F61" s="107"/>
      <c r="G61" s="107"/>
      <c r="K61" s="107" t="s">
        <v>125</v>
      </c>
      <c r="L61" s="107"/>
      <c r="M61" s="107"/>
      <c r="N61" s="107"/>
      <c r="O61" s="107"/>
      <c r="Q61" s="102">
        <f t="shared" ref="Q61" si="19">Q60</f>
        <v>0</v>
      </c>
      <c r="R61" s="101">
        <f t="shared" si="18"/>
        <v>48.522001000000003</v>
      </c>
      <c r="S61" s="101">
        <f t="shared" si="18"/>
        <v>137.328003</v>
      </c>
    </row>
    <row r="62" spans="2:22" ht="16" x14ac:dyDescent="0.2">
      <c r="B62" s="77" t="s">
        <v>20</v>
      </c>
      <c r="C62" s="78">
        <f>D62-0.5%</f>
        <v>9.9999999999999985E-3</v>
      </c>
      <c r="D62" s="78">
        <f>E62-0.5%</f>
        <v>1.4999999999999999E-2</v>
      </c>
      <c r="E62" s="79">
        <v>0.02</v>
      </c>
      <c r="F62" s="78">
        <f>E62+0.5%</f>
        <v>2.5000000000000001E-2</v>
      </c>
      <c r="G62" s="78">
        <f>F62+0.5%</f>
        <v>3.0000000000000002E-2</v>
      </c>
      <c r="I62" s="27"/>
      <c r="J62" s="80" t="s">
        <v>20</v>
      </c>
      <c r="K62" s="78">
        <f>L62-0.5%</f>
        <v>9.9999999999999985E-3</v>
      </c>
      <c r="L62" s="78">
        <f>M62-0.5%</f>
        <v>1.4999999999999999E-2</v>
      </c>
      <c r="M62" s="81">
        <f>E62</f>
        <v>0.02</v>
      </c>
      <c r="N62" s="78">
        <f>M62+0.5%</f>
        <v>2.5000000000000001E-2</v>
      </c>
      <c r="O62" s="78">
        <f>N62+0.5%</f>
        <v>3.0000000000000002E-2</v>
      </c>
      <c r="Q62" s="102">
        <f t="shared" ref="Q62" si="20">Q61</f>
        <v>0</v>
      </c>
      <c r="R62" s="101">
        <f t="shared" si="18"/>
        <v>48.522001000000003</v>
      </c>
      <c r="S62" s="101">
        <f t="shared" si="18"/>
        <v>137.328003</v>
      </c>
    </row>
    <row r="63" spans="2:22" ht="13" x14ac:dyDescent="0.15">
      <c r="B63" s="25">
        <f>B64-0.25%</f>
        <v>3.7292151620557767E-2</v>
      </c>
      <c r="C63" s="82">
        <f>$O$46*(1+C$62)/($B63-C$62)/(1+$B63)^$O$50</f>
        <v>3229.7112913304545</v>
      </c>
      <c r="D63" s="82">
        <f>$O$46*(1+D$62)/($B63-D$62)/(1+$B63)^$O$50</f>
        <v>3973.6915915825407</v>
      </c>
      <c r="E63" s="82">
        <f>$O$46*(1+E$62)/($B63-E$62)/(1+$B63)^$O$50</f>
        <v>5147.9134930981791</v>
      </c>
      <c r="F63" s="82">
        <f>$O$46*(1+F$62)/($B63-F$62)/(1+$B63)^$O$50</f>
        <v>7277.3968799601507</v>
      </c>
      <c r="G63" s="82">
        <f>$O$46*(1+G$62)/($B63-G$62)/(1+$B63)^$O$50</f>
        <v>12327.120406726253</v>
      </c>
      <c r="I63" s="27"/>
      <c r="J63" s="83">
        <f>B63</f>
        <v>3.7292151620557767E-2</v>
      </c>
      <c r="K63" s="82">
        <f>C63+$H51</f>
        <v>3713.3438202265552</v>
      </c>
      <c r="L63" s="82">
        <f t="shared" ref="L63:O63" si="21">D63+$H51</f>
        <v>4457.3241204786409</v>
      </c>
      <c r="M63" s="82">
        <f t="shared" si="21"/>
        <v>5631.5460219942797</v>
      </c>
      <c r="N63" s="82">
        <f t="shared" si="21"/>
        <v>7761.0294088562514</v>
      </c>
      <c r="O63" s="82">
        <f t="shared" si="21"/>
        <v>12810.752935622353</v>
      </c>
      <c r="Q63" s="102">
        <f t="shared" ref="Q63" si="22">Q62</f>
        <v>0</v>
      </c>
      <c r="R63" s="101">
        <f t="shared" si="18"/>
        <v>48.522001000000003</v>
      </c>
      <c r="S63" s="101">
        <f t="shared" si="18"/>
        <v>137.328003</v>
      </c>
      <c r="V63" s="84"/>
    </row>
    <row r="64" spans="2:22" ht="13" x14ac:dyDescent="0.15">
      <c r="B64" s="25">
        <f>B65-0.25%</f>
        <v>3.979215162055777E-2</v>
      </c>
      <c r="C64" s="82">
        <f>$O$46*(1+C$62)/($B64-C$62)/(1+$B64)^$O$50</f>
        <v>2930.3387977724842</v>
      </c>
      <c r="D64" s="82">
        <f>$O$46*(1+D$62)/($B64-D$62)/(1+$B64)^$O$50</f>
        <v>3538.7522131150267</v>
      </c>
      <c r="E64" s="82">
        <f>$O$46*(1+E$62)/($B64-E$62)/(1+$B64)^$O$50</f>
        <v>4454.5669797642131</v>
      </c>
      <c r="F64" s="82">
        <f>$O$46*(1+F$62)/($B64-F$62)/(1+$B64)^$O$50</f>
        <v>5989.5038255681384</v>
      </c>
      <c r="G64" s="82">
        <f>$O$46*(1+G$62)/($B64-G$62)/(1+$B64)^$O$50</f>
        <v>9091.9581131786836</v>
      </c>
      <c r="I64" s="27"/>
      <c r="J64" s="83">
        <f>B64</f>
        <v>3.979215162055777E-2</v>
      </c>
      <c r="K64" s="82">
        <f t="shared" ref="K64:K67" si="23">C64+$H52</f>
        <v>3404.8951594817331</v>
      </c>
      <c r="L64" s="82">
        <f t="shared" ref="L64:L67" si="24">D64+$H52</f>
        <v>4013.3085748242756</v>
      </c>
      <c r="M64" s="82">
        <f t="shared" ref="M64:M67" si="25">E64+$H52</f>
        <v>4929.1233414734625</v>
      </c>
      <c r="N64" s="82">
        <f t="shared" ref="N64:N67" si="26">F64+$H52</f>
        <v>6464.0601872773877</v>
      </c>
      <c r="O64" s="82">
        <f t="shared" ref="O64:O67" si="27">G64+$H52</f>
        <v>9566.514474887932</v>
      </c>
    </row>
    <row r="65" spans="2:22" ht="13" x14ac:dyDescent="0.15">
      <c r="B65" s="25">
        <f>S35</f>
        <v>4.2292151620557772E-2</v>
      </c>
      <c r="C65" s="82">
        <f>$O$46*(1+C$62)/($B65-C$62)/(1+$B65)^$O$50</f>
        <v>2677.6326295267841</v>
      </c>
      <c r="D65" s="82">
        <f>$O$46*(1+D$62)/($B65-D$62)/(1+$B65)^$O$50</f>
        <v>3183.8666345722327</v>
      </c>
      <c r="E65" s="82">
        <f>$O$46*(1+E$62)/($B65-E$62)/(1+$B65)^$O$50</f>
        <v>3917.1913277047843</v>
      </c>
      <c r="F65" s="82">
        <f>$O$46*(1+F$62)/($B65-F$62)/(1+$B65)^$O$50</f>
        <v>5074.5955161042748</v>
      </c>
      <c r="G65" s="82">
        <f>$O$46*(1+G$62)/($B65-G$62)/(1+$B65)^$O$50</f>
        <v>7173.579522363978</v>
      </c>
      <c r="I65" s="27"/>
      <c r="J65" s="83">
        <f>B65</f>
        <v>4.2292151620557772E-2</v>
      </c>
      <c r="K65" s="82">
        <f t="shared" si="23"/>
        <v>3143.4550934961026</v>
      </c>
      <c r="L65" s="82">
        <f t="shared" si="24"/>
        <v>3649.6890985415512</v>
      </c>
      <c r="M65" s="82">
        <f t="shared" si="25"/>
        <v>4383.0137916741023</v>
      </c>
      <c r="N65" s="82">
        <f t="shared" si="26"/>
        <v>5540.4179800735928</v>
      </c>
      <c r="O65" s="82">
        <f t="shared" si="27"/>
        <v>7639.401986333296</v>
      </c>
      <c r="V65" s="85"/>
    </row>
    <row r="66" spans="2:22" ht="13" x14ac:dyDescent="0.15">
      <c r="B66" s="25">
        <f>B65+1%</f>
        <v>5.2292151620557774E-2</v>
      </c>
      <c r="C66" s="82">
        <f>$O$46*(1+C$62)/($B66-C$62)/(1+$B66)^$O$50</f>
        <v>1967.8896395326167</v>
      </c>
      <c r="D66" s="82">
        <f>$O$46*(1+D$62)/($B66-D$62)/(1+$B66)^$O$50</f>
        <v>2242.7855378382487</v>
      </c>
      <c r="E66" s="82">
        <f>$O$46*(1+E$62)/($B66-E$62)/(1+$B66)^$O$50</f>
        <v>2602.8092100797094</v>
      </c>
      <c r="F66" s="82">
        <f>$O$46*(1+F$62)/($B66-F$62)/(1+$B66)^$O$50</f>
        <v>3094.7476090333994</v>
      </c>
      <c r="G66" s="82">
        <f>$O$46*(1+G$62)/($B66-G$62)/(1+$B66)^$O$50</f>
        <v>3807.3638534132015</v>
      </c>
      <c r="I66" s="27"/>
      <c r="J66" s="83">
        <f>B66</f>
        <v>5.2292151620557774E-2</v>
      </c>
      <c r="K66" s="82">
        <f t="shared" si="23"/>
        <v>2425.3036730187032</v>
      </c>
      <c r="L66" s="82">
        <f t="shared" si="24"/>
        <v>2700.199571324335</v>
      </c>
      <c r="M66" s="82">
        <f t="shared" si="25"/>
        <v>3060.2232435657957</v>
      </c>
      <c r="N66" s="82">
        <f t="shared" si="26"/>
        <v>3552.1616425194857</v>
      </c>
      <c r="O66" s="82">
        <f t="shared" si="27"/>
        <v>4264.7778868992882</v>
      </c>
    </row>
    <row r="67" spans="2:22" ht="13" x14ac:dyDescent="0.15">
      <c r="B67" s="25">
        <f>B66+1%</f>
        <v>6.2292151620557776E-2</v>
      </c>
      <c r="C67" s="82">
        <f>$O$46*(1+C$62)/($B67-C$62)/(1+$B67)^$O$50</f>
        <v>1532.4751530427916</v>
      </c>
      <c r="D67" s="82">
        <f>$O$46*(1+D$62)/($B67-D$62)/(1+$B67)^$O$50</f>
        <v>1702.8858967853669</v>
      </c>
      <c r="E67" s="82">
        <f>$O$46*(1+E$62)/($B67-E$62)/(1+$B67)^$O$50</f>
        <v>1913.5903444925671</v>
      </c>
      <c r="F67" s="82">
        <f>$O$46*(1+F$62)/($B67-F$62)/(1+$B67)^$O$50</f>
        <v>2180.7958087812408</v>
      </c>
      <c r="G67" s="82">
        <f>$O$46*(1+G$62)/($B67-G$62)/(1+$B67)^$O$50</f>
        <v>2530.7475290111161</v>
      </c>
      <c r="I67" s="27"/>
      <c r="J67" s="83">
        <f>B67</f>
        <v>6.2292151620557776E-2</v>
      </c>
      <c r="K67" s="82">
        <f t="shared" si="23"/>
        <v>1981.7904178736228</v>
      </c>
      <c r="L67" s="82">
        <f t="shared" si="24"/>
        <v>2152.2011616161981</v>
      </c>
      <c r="M67" s="82">
        <f t="shared" si="25"/>
        <v>2362.9056093233985</v>
      </c>
      <c r="N67" s="82">
        <f t="shared" si="26"/>
        <v>2630.1110736120722</v>
      </c>
      <c r="O67" s="82">
        <f t="shared" si="27"/>
        <v>2980.0627938419475</v>
      </c>
    </row>
    <row r="68" spans="2:22" ht="13" x14ac:dyDescent="0.15">
      <c r="C68" s="27"/>
      <c r="D68" s="27"/>
      <c r="E68" s="27"/>
      <c r="F68" s="27"/>
      <c r="G68" s="27"/>
      <c r="I68" s="27"/>
      <c r="J68" s="27"/>
      <c r="K68" s="27"/>
      <c r="L68" s="27"/>
      <c r="M68" s="27"/>
      <c r="N68" s="27"/>
      <c r="O68" s="27"/>
    </row>
    <row r="69" spans="2:22" ht="16" x14ac:dyDescent="0.2">
      <c r="C69" s="103" t="s">
        <v>126</v>
      </c>
      <c r="D69" s="103"/>
      <c r="E69" s="103"/>
      <c r="F69" s="103"/>
      <c r="G69" s="103"/>
      <c r="H69" s="86"/>
      <c r="I69" s="87"/>
      <c r="J69" s="87"/>
      <c r="K69" s="103" t="s">
        <v>127</v>
      </c>
      <c r="L69" s="103"/>
      <c r="M69" s="103"/>
      <c r="N69" s="103"/>
      <c r="O69" s="103"/>
    </row>
    <row r="70" spans="2:22" ht="16" x14ac:dyDescent="0.2">
      <c r="C70" s="104" t="s">
        <v>125</v>
      </c>
      <c r="D70" s="104"/>
      <c r="E70" s="104"/>
      <c r="F70" s="104"/>
      <c r="G70" s="104"/>
      <c r="H70" s="86"/>
      <c r="I70" s="87"/>
      <c r="J70" s="87"/>
      <c r="K70" s="104" t="s">
        <v>125</v>
      </c>
      <c r="L70" s="104"/>
      <c r="M70" s="104"/>
      <c r="N70" s="104"/>
      <c r="O70" s="104"/>
    </row>
    <row r="71" spans="2:22" ht="16" x14ac:dyDescent="0.2">
      <c r="B71" s="77" t="s">
        <v>20</v>
      </c>
      <c r="C71" s="81">
        <f>D71-0.5%</f>
        <v>9.9999999999999985E-3</v>
      </c>
      <c r="D71" s="81">
        <f>E71-0.5%</f>
        <v>1.4999999999999999E-2</v>
      </c>
      <c r="E71" s="81">
        <f>E62</f>
        <v>0.02</v>
      </c>
      <c r="F71" s="81">
        <f>E71+0.5%</f>
        <v>2.5000000000000001E-2</v>
      </c>
      <c r="G71" s="81">
        <f>F71+0.5%</f>
        <v>3.0000000000000002E-2</v>
      </c>
      <c r="H71" s="86"/>
      <c r="I71" s="87"/>
      <c r="J71" s="89" t="s">
        <v>20</v>
      </c>
      <c r="K71" s="81">
        <f>L71-0.5%</f>
        <v>9.9999999999999985E-3</v>
      </c>
      <c r="L71" s="81">
        <f>M71-0.5%</f>
        <v>1.4999999999999999E-2</v>
      </c>
      <c r="M71" s="81">
        <f>E62</f>
        <v>0.02</v>
      </c>
      <c r="N71" s="81">
        <f>M71+0.5%</f>
        <v>2.5000000000000001E-2</v>
      </c>
      <c r="O71" s="81">
        <f>N71+0.5%</f>
        <v>3.0000000000000002E-2</v>
      </c>
    </row>
    <row r="72" spans="2:22" ht="16" x14ac:dyDescent="0.2">
      <c r="B72" s="25">
        <f>B63</f>
        <v>3.7292151620557767E-2</v>
      </c>
      <c r="C72" s="90">
        <f t="shared" ref="C72:G76" si="28">K63-$R59+$S59-$Q59</f>
        <v>3802.1498222265554</v>
      </c>
      <c r="D72" s="90">
        <f t="shared" si="28"/>
        <v>4546.1301224786403</v>
      </c>
      <c r="E72" s="90">
        <f t="shared" si="28"/>
        <v>5720.3520239942791</v>
      </c>
      <c r="F72" s="90">
        <f t="shared" si="28"/>
        <v>7849.8354108562507</v>
      </c>
      <c r="G72" s="90">
        <f t="shared" si="28"/>
        <v>12899.558937622354</v>
      </c>
      <c r="H72" s="86"/>
      <c r="I72" s="87"/>
      <c r="J72" s="91">
        <f>J63</f>
        <v>3.7292151620557767E-2</v>
      </c>
      <c r="K72" s="90">
        <f>C72/$S$39</f>
        <v>97.417533292233273</v>
      </c>
      <c r="L72" s="90">
        <f t="shared" ref="L72:L76" si="29">D72/$S$39</f>
        <v>116.47957162772698</v>
      </c>
      <c r="M72" s="90">
        <f t="shared" ref="M72:M76" si="30">E72/$S$39</f>
        <v>146.56513020163453</v>
      </c>
      <c r="N72" s="90">
        <f t="shared" ref="N72:N76" si="31">F72/$S$39</f>
        <v>201.1261097617195</v>
      </c>
      <c r="O72" s="90">
        <f t="shared" ref="O72:O76" si="32">G72/$S$39</f>
        <v>330.50859934947414</v>
      </c>
    </row>
    <row r="73" spans="2:22" ht="16" x14ac:dyDescent="0.2">
      <c r="B73" s="25">
        <f>B64</f>
        <v>3.979215162055777E-2</v>
      </c>
      <c r="C73" s="90">
        <f t="shared" si="28"/>
        <v>3493.7011614817334</v>
      </c>
      <c r="D73" s="90">
        <f t="shared" si="28"/>
        <v>4102.1145768242759</v>
      </c>
      <c r="E73" s="90">
        <f t="shared" si="28"/>
        <v>5017.9293434734618</v>
      </c>
      <c r="F73" s="90">
        <f t="shared" si="28"/>
        <v>6552.8661892773871</v>
      </c>
      <c r="G73" s="90">
        <f t="shared" si="28"/>
        <v>9655.3204768879332</v>
      </c>
      <c r="H73" s="86"/>
      <c r="I73" s="87"/>
      <c r="J73" s="91">
        <f>J64</f>
        <v>3.979215162055777E-2</v>
      </c>
      <c r="K73" s="90">
        <f t="shared" ref="K73:K76" si="33">C73/$S$39</f>
        <v>89.514554955767551</v>
      </c>
      <c r="L73" s="92">
        <f t="shared" si="29"/>
        <v>105.10313955022329</v>
      </c>
      <c r="M73" s="93">
        <f t="shared" si="30"/>
        <v>128.56786863533873</v>
      </c>
      <c r="N73" s="94">
        <f t="shared" si="31"/>
        <v>167.89555646169958</v>
      </c>
      <c r="O73" s="90">
        <f t="shared" si="32"/>
        <v>247.38570229554867</v>
      </c>
    </row>
    <row r="74" spans="2:22" ht="16" x14ac:dyDescent="0.2">
      <c r="B74" s="25">
        <f>B65</f>
        <v>4.2292151620557772E-2</v>
      </c>
      <c r="C74" s="90">
        <f t="shared" si="28"/>
        <v>3232.2610954961028</v>
      </c>
      <c r="D74" s="90">
        <f t="shared" si="28"/>
        <v>3738.4951005415514</v>
      </c>
      <c r="E74" s="90">
        <f t="shared" si="28"/>
        <v>4471.8197936741017</v>
      </c>
      <c r="F74" s="90">
        <f t="shared" si="28"/>
        <v>5629.2239820735922</v>
      </c>
      <c r="G74" s="90">
        <f t="shared" si="28"/>
        <v>7728.2079883332954</v>
      </c>
      <c r="H74" s="86"/>
      <c r="I74" s="87"/>
      <c r="J74" s="91">
        <f>J65</f>
        <v>4.2292151620557772E-2</v>
      </c>
      <c r="K74" s="90">
        <f t="shared" si="33"/>
        <v>82.816016622745167</v>
      </c>
      <c r="L74" s="95">
        <f t="shared" si="29"/>
        <v>95.786591257096603</v>
      </c>
      <c r="M74" s="90">
        <f t="shared" si="30"/>
        <v>114.57561484834008</v>
      </c>
      <c r="N74" s="96">
        <f t="shared" si="31"/>
        <v>144.23027506105885</v>
      </c>
      <c r="O74" s="90">
        <f t="shared" si="32"/>
        <v>198.00980871182034</v>
      </c>
    </row>
    <row r="75" spans="2:22" ht="16" x14ac:dyDescent="0.2">
      <c r="B75" s="25">
        <f>B66</f>
        <v>5.2292151620557774E-2</v>
      </c>
      <c r="C75" s="90">
        <f t="shared" si="28"/>
        <v>2514.1096750187035</v>
      </c>
      <c r="D75" s="90">
        <f t="shared" si="28"/>
        <v>2789.0055733243353</v>
      </c>
      <c r="E75" s="90">
        <f t="shared" si="28"/>
        <v>3149.0292455657959</v>
      </c>
      <c r="F75" s="90">
        <f t="shared" si="28"/>
        <v>3640.9676445194859</v>
      </c>
      <c r="G75" s="90">
        <f t="shared" si="28"/>
        <v>4353.5838888992876</v>
      </c>
      <c r="H75" s="86"/>
      <c r="I75" s="87"/>
      <c r="J75" s="91">
        <f>J66</f>
        <v>5.2292151620557774E-2</v>
      </c>
      <c r="K75" s="90">
        <f t="shared" si="33"/>
        <v>64.415758036340364</v>
      </c>
      <c r="L75" s="97">
        <f t="shared" si="29"/>
        <v>71.45905763714488</v>
      </c>
      <c r="M75" s="98">
        <f t="shared" si="30"/>
        <v>80.68347532619741</v>
      </c>
      <c r="N75" s="99">
        <f t="shared" si="31"/>
        <v>93.287772263064269</v>
      </c>
      <c r="O75" s="90">
        <f t="shared" si="32"/>
        <v>111.54621024087182</v>
      </c>
    </row>
    <row r="76" spans="2:22" ht="13" x14ac:dyDescent="0.15">
      <c r="B76" s="25">
        <f>B67</f>
        <v>6.2292151620557776E-2</v>
      </c>
      <c r="C76" s="82">
        <f t="shared" si="28"/>
        <v>2070.5964198736228</v>
      </c>
      <c r="D76" s="82">
        <f t="shared" si="28"/>
        <v>2241.0071636161983</v>
      </c>
      <c r="E76" s="82">
        <f t="shared" si="28"/>
        <v>2451.7116113233988</v>
      </c>
      <c r="F76" s="82">
        <f t="shared" si="28"/>
        <v>2718.9170756120725</v>
      </c>
      <c r="G76" s="82">
        <f t="shared" si="28"/>
        <v>3068.8687958419478</v>
      </c>
      <c r="I76" s="27"/>
      <c r="J76" s="83">
        <f>J67</f>
        <v>6.2292151620557776E-2</v>
      </c>
      <c r="K76" s="82">
        <f t="shared" si="33"/>
        <v>53.052195494414796</v>
      </c>
      <c r="L76" s="82">
        <f t="shared" si="29"/>
        <v>57.418408052597201</v>
      </c>
      <c r="M76" s="82">
        <f t="shared" si="30"/>
        <v>62.817013712307244</v>
      </c>
      <c r="N76" s="82">
        <f t="shared" si="31"/>
        <v>69.663271337674814</v>
      </c>
      <c r="O76" s="82">
        <f t="shared" si="32"/>
        <v>78.629628517204395</v>
      </c>
    </row>
    <row r="77" spans="2:22" ht="13" x14ac:dyDescent="0.15">
      <c r="B77" s="26"/>
      <c r="C77" s="82"/>
      <c r="D77" s="82"/>
      <c r="E77" s="82"/>
      <c r="F77" s="82"/>
      <c r="G77" s="82"/>
      <c r="I77" s="27"/>
      <c r="J77" s="121"/>
      <c r="K77" s="82"/>
      <c r="L77" s="82"/>
      <c r="M77" s="82"/>
      <c r="N77" s="82"/>
      <c r="O77" s="82"/>
    </row>
    <row r="78" spans="2:22" ht="13" x14ac:dyDescent="0.15">
      <c r="B78" s="26"/>
      <c r="C78" s="82"/>
      <c r="D78" s="82"/>
      <c r="E78" s="82"/>
      <c r="F78" s="82"/>
      <c r="G78" s="82"/>
      <c r="I78" s="27"/>
      <c r="J78" s="121"/>
      <c r="K78" s="82"/>
      <c r="L78" s="82"/>
      <c r="M78" s="82"/>
      <c r="N78" s="82"/>
      <c r="O78" s="82"/>
    </row>
    <row r="79" spans="2:22" ht="16" x14ac:dyDescent="0.2">
      <c r="G79" s="26"/>
      <c r="H79" s="9"/>
      <c r="K79" s="19"/>
      <c r="L79" s="19"/>
      <c r="M79" s="19"/>
      <c r="N79" s="19"/>
      <c r="O79" s="19"/>
    </row>
    <row r="80" spans="2:22" ht="16" x14ac:dyDescent="0.2">
      <c r="B80" s="105" t="s">
        <v>132</v>
      </c>
      <c r="C80" s="105"/>
      <c r="D80" s="105"/>
      <c r="E80" s="105"/>
      <c r="F80" s="105"/>
      <c r="G80" s="105"/>
      <c r="H80" s="105"/>
      <c r="I80" s="105"/>
      <c r="J80" s="105"/>
      <c r="K80" s="105"/>
      <c r="L80" s="105"/>
      <c r="M80" s="105"/>
      <c r="N80" s="105"/>
      <c r="O80" s="105"/>
      <c r="Q80" s="105" t="s">
        <v>147</v>
      </c>
      <c r="R80" s="105"/>
      <c r="S80" s="105"/>
    </row>
    <row r="81" spans="2:19" ht="13" x14ac:dyDescent="0.15"/>
    <row r="82" spans="2:19" ht="16" x14ac:dyDescent="0.2">
      <c r="C82" s="106" t="s">
        <v>133</v>
      </c>
      <c r="D82" s="106"/>
      <c r="E82" s="106"/>
      <c r="F82" s="106"/>
      <c r="G82" s="106"/>
      <c r="K82" s="106" t="s">
        <v>124</v>
      </c>
      <c r="L82" s="106"/>
      <c r="M82" s="106"/>
      <c r="N82" s="106"/>
      <c r="O82" s="106"/>
      <c r="Q82" s="1" t="s">
        <v>146</v>
      </c>
      <c r="S82" s="16">
        <f>AVERAGE(T131:Y131)</f>
        <v>20.64471968741417</v>
      </c>
    </row>
    <row r="83" spans="2:19" ht="13" x14ac:dyDescent="0.15">
      <c r="C83" s="107" t="s">
        <v>134</v>
      </c>
      <c r="D83" s="107"/>
      <c r="E83" s="107"/>
      <c r="F83" s="107"/>
      <c r="G83" s="107"/>
      <c r="K83" s="107" t="s">
        <v>134</v>
      </c>
      <c r="L83" s="107"/>
      <c r="M83" s="107"/>
      <c r="N83" s="107"/>
      <c r="O83" s="107"/>
      <c r="Q83" s="1" t="s">
        <v>143</v>
      </c>
      <c r="S83" s="16">
        <f>MAX(T131:Y131)</f>
        <v>24.961938860513428</v>
      </c>
    </row>
    <row r="84" spans="2:19" ht="16" x14ac:dyDescent="0.2">
      <c r="B84" s="77" t="s">
        <v>20</v>
      </c>
      <c r="C84" s="109">
        <f>D84-$S$86</f>
        <v>12.778123020128309</v>
      </c>
      <c r="D84" s="109">
        <f>E84-$S$86</f>
        <v>16.711421353771239</v>
      </c>
      <c r="E84" s="110">
        <f>S82</f>
        <v>20.64471968741417</v>
      </c>
      <c r="F84" s="109">
        <f>E84+$S$85</f>
        <v>22.803329273963797</v>
      </c>
      <c r="G84" s="109">
        <f>F84+$S$86</f>
        <v>26.736627607606728</v>
      </c>
      <c r="I84" s="27"/>
      <c r="J84" s="80" t="s">
        <v>20</v>
      </c>
      <c r="K84" s="109">
        <f>C84</f>
        <v>12.778123020128309</v>
      </c>
      <c r="L84" s="109">
        <f>D84</f>
        <v>16.711421353771239</v>
      </c>
      <c r="M84" s="110">
        <f>E84</f>
        <v>20.64471968741417</v>
      </c>
      <c r="N84" s="109">
        <f>F84</f>
        <v>22.803329273963797</v>
      </c>
      <c r="O84" s="109">
        <f>G84</f>
        <v>26.736627607606728</v>
      </c>
      <c r="Q84" s="1" t="s">
        <v>135</v>
      </c>
      <c r="S84" s="133">
        <f>T131</f>
        <v>12.778123020128309</v>
      </c>
    </row>
    <row r="85" spans="2:19" ht="13" x14ac:dyDescent="0.15">
      <c r="B85" s="25">
        <f t="shared" ref="B85" si="34">B86-1%</f>
        <v>5.8377864000000008E-2</v>
      </c>
      <c r="C85" s="82">
        <f>$O$29*C$84/(1+$B85)^$O$50</f>
        <v>4213.7075785778179</v>
      </c>
      <c r="D85" s="82">
        <f>$O$29*D$84/(1+$B85)^$O$50</f>
        <v>5510.7501075291711</v>
      </c>
      <c r="E85" s="82">
        <f>$O$29*E$84/(1+$B85)^$O$50</f>
        <v>6807.7926364805244</v>
      </c>
      <c r="F85" s="82">
        <f>$O$29*F$84/(1+$B85)^$O$50</f>
        <v>7519.6146747960984</v>
      </c>
      <c r="G85" s="82">
        <f>$O$29*G$84/(1+$B85)^$O$50</f>
        <v>8816.6572037474525</v>
      </c>
      <c r="I85" s="27"/>
      <c r="J85" s="83">
        <f>B85</f>
        <v>5.8377864000000008E-2</v>
      </c>
      <c r="K85" s="82">
        <f>C85+$H51</f>
        <v>4697.3401074739186</v>
      </c>
      <c r="L85" s="82">
        <f>D85+$H51</f>
        <v>5994.3826364252718</v>
      </c>
      <c r="M85" s="82">
        <f>E85+$H51</f>
        <v>7291.425165376625</v>
      </c>
      <c r="N85" s="82">
        <f>F85+$H51</f>
        <v>8003.247203692199</v>
      </c>
      <c r="O85" s="82">
        <f>G85+$H51</f>
        <v>9300.2897326435523</v>
      </c>
      <c r="Q85" s="1" t="s">
        <v>144</v>
      </c>
      <c r="S85" s="16">
        <f>(S83-S82)/2</f>
        <v>2.1586095865496286</v>
      </c>
    </row>
    <row r="86" spans="2:19" ht="13" x14ac:dyDescent="0.15">
      <c r="B86" s="25">
        <f>B87-1%</f>
        <v>6.837786400000001E-2</v>
      </c>
      <c r="C86" s="82">
        <f>$O$29*C$84/(1+$B86)^$O$50</f>
        <v>4058.1478029676709</v>
      </c>
      <c r="D86" s="82">
        <f>$O$29*D$84/(1+$B86)^$O$50</f>
        <v>5307.3066947662555</v>
      </c>
      <c r="E86" s="82">
        <f>$O$29*E$84/(1+$B86)^$O$50</f>
        <v>6556.465586564841</v>
      </c>
      <c r="F86" s="82">
        <f>$O$29*F$84/(1+$B86)^$O$50</f>
        <v>7242.0088965895202</v>
      </c>
      <c r="G86" s="82">
        <f>$O$29*G$84/(1+$B86)^$O$50</f>
        <v>8491.1677883881057</v>
      </c>
      <c r="I86" s="27"/>
      <c r="J86" s="83">
        <f>B86</f>
        <v>6.837786400000001E-2</v>
      </c>
      <c r="K86" s="82">
        <f>C86+$H52</f>
        <v>4532.7041646769203</v>
      </c>
      <c r="L86" s="82">
        <f>D86+$H52</f>
        <v>5781.8630564755049</v>
      </c>
      <c r="M86" s="82">
        <f>E86+$H52</f>
        <v>7031.0219482740904</v>
      </c>
      <c r="N86" s="82">
        <f>F86+$H52</f>
        <v>7716.5652582987695</v>
      </c>
      <c r="O86" s="82">
        <f>G86+$H52</f>
        <v>8965.7241500973541</v>
      </c>
      <c r="Q86" s="141" t="s">
        <v>145</v>
      </c>
      <c r="S86" s="16">
        <f>(S82-S84)/2</f>
        <v>3.9332983336429308</v>
      </c>
    </row>
    <row r="87" spans="2:19" ht="13" x14ac:dyDescent="0.15">
      <c r="B87" s="25">
        <f>S32</f>
        <v>7.8377864000000005E-2</v>
      </c>
      <c r="C87" s="82">
        <f>$O$29*C$84/(1+$B87)^$O$50</f>
        <v>3909.7008383802863</v>
      </c>
      <c r="D87" s="82">
        <f>$O$29*D$84/(1+$B87)^$O$50</f>
        <v>5113.1655231716159</v>
      </c>
      <c r="E87" s="82">
        <f>$O$29*E$84/(1+$B87)^$O$50</f>
        <v>6316.6302079629468</v>
      </c>
      <c r="F87" s="82">
        <f>$O$29*F$84/(1+$B87)^$O$50</f>
        <v>6977.0963575668229</v>
      </c>
      <c r="G87" s="82">
        <f>$O$29*G$84/(1+$B87)^$O$50</f>
        <v>8180.5610423581529</v>
      </c>
      <c r="I87" s="27"/>
      <c r="J87" s="83">
        <f>B87</f>
        <v>7.8377864000000005E-2</v>
      </c>
      <c r="K87" s="82">
        <f>C87+$H53</f>
        <v>4375.5233023496048</v>
      </c>
      <c r="L87" s="82">
        <f>D87+$H53</f>
        <v>5578.9879871409339</v>
      </c>
      <c r="M87" s="82">
        <f>E87+$H53</f>
        <v>6782.4526719322648</v>
      </c>
      <c r="N87" s="82">
        <f>F87+$H53</f>
        <v>7442.918821536141</v>
      </c>
      <c r="O87" s="82">
        <f>G87+$H53</f>
        <v>8646.383506327471</v>
      </c>
    </row>
    <row r="88" spans="2:19" ht="13" x14ac:dyDescent="0.15">
      <c r="B88" s="25">
        <f>B87+1%</f>
        <v>8.8377864E-2</v>
      </c>
      <c r="C88" s="82">
        <f>$O$29*C$84/(1+$B88)^$O$50</f>
        <v>3767.9799581825955</v>
      </c>
      <c r="D88" s="82">
        <f>$O$29*D$84/(1+$B88)^$O$50</f>
        <v>4927.8208258416353</v>
      </c>
      <c r="E88" s="82">
        <f>$O$29*E$84/(1+$B88)^$O$50</f>
        <v>6087.661693500675</v>
      </c>
      <c r="F88" s="82">
        <f>$O$29*F$84/(1+$B88)^$O$50</f>
        <v>6724.1869207854361</v>
      </c>
      <c r="G88" s="82">
        <f>$O$29*G$84/(1+$B88)^$O$50</f>
        <v>7884.0277884444758</v>
      </c>
      <c r="I88" s="27"/>
      <c r="J88" s="83">
        <f>B88</f>
        <v>8.8377864E-2</v>
      </c>
      <c r="K88" s="82">
        <f>C88+$H54</f>
        <v>4225.3939916686822</v>
      </c>
      <c r="L88" s="82">
        <f>D88+$H54</f>
        <v>5385.234859327722</v>
      </c>
      <c r="M88" s="82">
        <f>E88+$H54</f>
        <v>6545.0757269867618</v>
      </c>
      <c r="N88" s="82">
        <f>F88+$H54</f>
        <v>7181.6009542715228</v>
      </c>
      <c r="O88" s="82">
        <f>G88+$H54</f>
        <v>8341.4418219305626</v>
      </c>
    </row>
    <row r="89" spans="2:19" ht="16" x14ac:dyDescent="0.2">
      <c r="B89" s="25">
        <f>B88+1%</f>
        <v>9.8377863999999995E-2</v>
      </c>
      <c r="C89" s="82">
        <f>$O$29*C$84/(1+$B89)^$O$50</f>
        <v>3632.6227458665667</v>
      </c>
      <c r="D89" s="82">
        <f>$O$29*D$84/(1+$B89)^$O$50</f>
        <v>4750.7986290196231</v>
      </c>
      <c r="E89" s="82">
        <f>$O$29*E$84/(1+$B89)^$O$50</f>
        <v>5868.9745121726801</v>
      </c>
      <c r="F89" s="82">
        <f>$O$29*F$84/(1+$B89)^$O$50</f>
        <v>6482.6338321834419</v>
      </c>
      <c r="G89" s="82">
        <f>$O$29*G$84/(1+$B89)^$O$50</f>
        <v>7600.8097153364988</v>
      </c>
      <c r="H89" s="86"/>
      <c r="I89" s="88"/>
      <c r="J89" s="91">
        <f>B89</f>
        <v>9.8377863999999995E-2</v>
      </c>
      <c r="K89" s="82">
        <f>C89+$H55</f>
        <v>4081.9380106973981</v>
      </c>
      <c r="L89" s="82">
        <f>D89+$H55</f>
        <v>5200.1138938504546</v>
      </c>
      <c r="M89" s="82">
        <f>E89+$H55</f>
        <v>6318.2897770035115</v>
      </c>
      <c r="N89" s="82">
        <f>F89+$H55</f>
        <v>6931.9490970142733</v>
      </c>
      <c r="O89" s="82">
        <f>G89+$H55</f>
        <v>8050.1249801673302</v>
      </c>
    </row>
    <row r="90" spans="2:19" ht="16" x14ac:dyDescent="0.2">
      <c r="C90" s="88"/>
      <c r="D90" s="88"/>
      <c r="E90" s="88"/>
      <c r="F90" s="88"/>
      <c r="G90" s="88"/>
      <c r="H90" s="86"/>
      <c r="I90" s="88"/>
      <c r="J90" s="88"/>
      <c r="K90" s="88"/>
      <c r="L90" s="88"/>
      <c r="M90" s="88"/>
      <c r="N90" s="88"/>
      <c r="O90" s="88"/>
    </row>
    <row r="91" spans="2:19" ht="16" x14ac:dyDescent="0.2">
      <c r="C91" s="103" t="s">
        <v>126</v>
      </c>
      <c r="D91" s="103"/>
      <c r="E91" s="103"/>
      <c r="F91" s="103"/>
      <c r="G91" s="103"/>
      <c r="H91" s="86"/>
      <c r="I91" s="88"/>
      <c r="J91" s="88"/>
      <c r="K91" s="103" t="s">
        <v>127</v>
      </c>
      <c r="L91" s="103"/>
      <c r="M91" s="103"/>
      <c r="N91" s="103"/>
      <c r="O91" s="103"/>
    </row>
    <row r="92" spans="2:19" ht="16" x14ac:dyDescent="0.2">
      <c r="C92" s="104" t="s">
        <v>134</v>
      </c>
      <c r="D92" s="104"/>
      <c r="E92" s="104"/>
      <c r="F92" s="104"/>
      <c r="G92" s="104"/>
      <c r="H92" s="86"/>
      <c r="I92" s="88"/>
      <c r="J92" s="88"/>
      <c r="K92" s="104" t="s">
        <v>134</v>
      </c>
      <c r="L92" s="104"/>
      <c r="M92" s="104"/>
      <c r="N92" s="104"/>
      <c r="O92" s="104"/>
    </row>
    <row r="93" spans="2:19" ht="16" x14ac:dyDescent="0.2">
      <c r="B93" s="77" t="s">
        <v>20</v>
      </c>
      <c r="C93" s="111">
        <f>C84</f>
        <v>12.778123020128309</v>
      </c>
      <c r="D93" s="111">
        <f>D84</f>
        <v>16.711421353771239</v>
      </c>
      <c r="E93" s="112">
        <f>E84</f>
        <v>20.64471968741417</v>
      </c>
      <c r="F93" s="111">
        <f>F84</f>
        <v>22.803329273963797</v>
      </c>
      <c r="G93" s="111">
        <f>G84</f>
        <v>26.736627607606728</v>
      </c>
      <c r="H93" s="86"/>
      <c r="I93" s="88"/>
      <c r="J93" s="89" t="s">
        <v>20</v>
      </c>
      <c r="K93" s="110">
        <f>C84</f>
        <v>12.778123020128309</v>
      </c>
      <c r="L93" s="110">
        <f t="shared" ref="L93:O93" si="35">D84</f>
        <v>16.711421353771239</v>
      </c>
      <c r="M93" s="110">
        <f t="shared" si="35"/>
        <v>20.64471968741417</v>
      </c>
      <c r="N93" s="110">
        <f t="shared" si="35"/>
        <v>22.803329273963797</v>
      </c>
      <c r="O93" s="110">
        <f t="shared" si="35"/>
        <v>26.736627607606728</v>
      </c>
    </row>
    <row r="94" spans="2:19" ht="13" x14ac:dyDescent="0.15">
      <c r="B94" s="25">
        <f>B85</f>
        <v>5.8377864000000008E-2</v>
      </c>
      <c r="C94" s="82">
        <f>K85-$R59+$S59-$Q59</f>
        <v>4786.1461094739179</v>
      </c>
      <c r="D94" s="82">
        <f t="shared" ref="D94:G94" si="36">L85-$R59+$S59-$Q59</f>
        <v>6083.1886384252712</v>
      </c>
      <c r="E94" s="82">
        <f t="shared" si="36"/>
        <v>7380.2311673766244</v>
      </c>
      <c r="F94" s="82">
        <f t="shared" si="36"/>
        <v>8092.0532056921984</v>
      </c>
      <c r="G94" s="82">
        <f t="shared" si="36"/>
        <v>9389.0957346435534</v>
      </c>
      <c r="I94" s="27"/>
      <c r="J94" s="83">
        <f>J85</f>
        <v>5.8377864000000008E-2</v>
      </c>
      <c r="K94" s="82">
        <f>C94/$S$39</f>
        <v>122.62918868571241</v>
      </c>
      <c r="L94" s="82">
        <f t="shared" ref="L94:L98" si="37">D94/$S$39</f>
        <v>155.86162024506822</v>
      </c>
      <c r="M94" s="82">
        <f t="shared" ref="M94:M98" si="38">E94/$S$39</f>
        <v>189.09405180442405</v>
      </c>
      <c r="N94" s="82">
        <f t="shared" ref="N94:N98" si="39">F94/$S$39</f>
        <v>207.33214087455559</v>
      </c>
      <c r="O94" s="82">
        <f t="shared" ref="O94:O98" si="40">G94/$S$39</f>
        <v>240.56457243391148</v>
      </c>
    </row>
    <row r="95" spans="2:19" ht="13" x14ac:dyDescent="0.15">
      <c r="B95" s="25">
        <f t="shared" ref="B95:B98" si="41">B86</f>
        <v>6.837786400000001E-2</v>
      </c>
      <c r="C95" s="82">
        <f>K86-$R60+$S60-$Q60</f>
        <v>4621.5101666769197</v>
      </c>
      <c r="D95" s="82">
        <f>L86-$R60+$S60-$Q60</f>
        <v>5870.6690584755042</v>
      </c>
      <c r="E95" s="82">
        <f>M86-$R60+$S60-$Q60</f>
        <v>7119.8279502740897</v>
      </c>
      <c r="F95" s="82">
        <f>N86-$R60+$S60-$Q60</f>
        <v>7805.3712602987689</v>
      </c>
      <c r="G95" s="82">
        <f>O86-$R60+$S60-$Q60</f>
        <v>9054.5301520973553</v>
      </c>
      <c r="I95" s="27"/>
      <c r="J95" s="83">
        <f t="shared" ref="J95:J98" si="42">J86</f>
        <v>6.837786400000001E-2</v>
      </c>
      <c r="K95" s="82">
        <f t="shared" ref="K95:K98" si="43">C95/$S$39</f>
        <v>118.41093633153963</v>
      </c>
      <c r="L95" s="113">
        <f t="shared" si="37"/>
        <v>150.41650781578369</v>
      </c>
      <c r="M95" s="114">
        <f t="shared" si="38"/>
        <v>182.42207930002775</v>
      </c>
      <c r="N95" s="115">
        <f t="shared" si="39"/>
        <v>199.98686273838476</v>
      </c>
      <c r="O95" s="82">
        <f t="shared" si="40"/>
        <v>231.99243422262884</v>
      </c>
    </row>
    <row r="96" spans="2:19" ht="13" x14ac:dyDescent="0.15">
      <c r="B96" s="25">
        <f>B87</f>
        <v>7.8377864000000005E-2</v>
      </c>
      <c r="C96" s="82">
        <f>K87-$R61+$S61-$Q61</f>
        <v>4464.3293043496042</v>
      </c>
      <c r="D96" s="82">
        <f>L87-$R61+$S61-$Q61</f>
        <v>5667.7939891409333</v>
      </c>
      <c r="E96" s="82">
        <f>M87-$R61+$S61-$Q61</f>
        <v>6871.2586739322642</v>
      </c>
      <c r="F96" s="82">
        <f>N87-$R61+$S61-$Q61</f>
        <v>7531.7248235361403</v>
      </c>
      <c r="G96" s="82">
        <f>O87-$R61+$S61-$Q61</f>
        <v>8735.1895083274721</v>
      </c>
      <c r="I96" s="27"/>
      <c r="J96" s="83">
        <f t="shared" si="42"/>
        <v>7.8377864000000005E-2</v>
      </c>
      <c r="K96" s="82">
        <f t="shared" si="43"/>
        <v>114.38369579536678</v>
      </c>
      <c r="L96" s="116">
        <f t="shared" si="37"/>
        <v>145.21850412178642</v>
      </c>
      <c r="M96" s="82">
        <f t="shared" si="38"/>
        <v>176.0533124482061</v>
      </c>
      <c r="N96" s="117">
        <f t="shared" si="39"/>
        <v>192.97557646350214</v>
      </c>
      <c r="O96" s="82">
        <f t="shared" si="40"/>
        <v>223.81038478992184</v>
      </c>
    </row>
    <row r="97" spans="1:31" ht="13" x14ac:dyDescent="0.15">
      <c r="B97" s="25">
        <f>B88</f>
        <v>8.8377864E-2</v>
      </c>
      <c r="C97" s="82">
        <f>K88-$R62+$S62-$Q62</f>
        <v>4314.1999936686816</v>
      </c>
      <c r="D97" s="82">
        <f>L88-$R62+$S62-$Q62</f>
        <v>5474.0408613277214</v>
      </c>
      <c r="E97" s="82">
        <f>M88-$R62+$S62-$Q62</f>
        <v>6633.8817289867611</v>
      </c>
      <c r="F97" s="82">
        <f>N88-$R62+$S62-$Q62</f>
        <v>7270.4069562715222</v>
      </c>
      <c r="G97" s="82">
        <f>O88-$R62+$S62-$Q62</f>
        <v>8430.2478239305638</v>
      </c>
      <c r="I97" s="27"/>
      <c r="J97" s="83">
        <f t="shared" si="42"/>
        <v>8.8377864E-2</v>
      </c>
      <c r="K97" s="82">
        <f t="shared" si="43"/>
        <v>110.53712798367697</v>
      </c>
      <c r="L97" s="118">
        <f t="shared" si="37"/>
        <v>140.25422005573543</v>
      </c>
      <c r="M97" s="119">
        <f t="shared" si="38"/>
        <v>169.97131212779388</v>
      </c>
      <c r="N97" s="120">
        <f t="shared" si="39"/>
        <v>186.28016906916685</v>
      </c>
      <c r="O97" s="82">
        <f t="shared" si="40"/>
        <v>215.99726114122535</v>
      </c>
    </row>
    <row r="98" spans="1:31" ht="13" x14ac:dyDescent="0.15">
      <c r="B98" s="25">
        <f t="shared" si="41"/>
        <v>9.8377863999999995E-2</v>
      </c>
      <c r="C98" s="82">
        <f>K89-$R63+$S63-$Q63</f>
        <v>4170.7440126973979</v>
      </c>
      <c r="D98" s="82">
        <f>L89-$R63+$S63-$Q63</f>
        <v>5288.9198958504539</v>
      </c>
      <c r="E98" s="82">
        <f>M89-$R63+$S63-$Q63</f>
        <v>6407.0957790035109</v>
      </c>
      <c r="F98" s="82">
        <f>N89-$R63+$S63-$Q63</f>
        <v>7020.7550990142727</v>
      </c>
      <c r="G98" s="82">
        <f>O89-$R63+$S63-$Q63</f>
        <v>8138.9309821673296</v>
      </c>
      <c r="I98" s="27"/>
      <c r="J98" s="83">
        <f t="shared" si="42"/>
        <v>9.8377863999999995E-2</v>
      </c>
      <c r="K98" s="82">
        <f t="shared" si="43"/>
        <v>106.86154220834943</v>
      </c>
      <c r="L98" s="82">
        <f t="shared" si="37"/>
        <v>135.51110664341039</v>
      </c>
      <c r="M98" s="82">
        <f t="shared" si="38"/>
        <v>164.16067107847132</v>
      </c>
      <c r="N98" s="82">
        <f t="shared" si="39"/>
        <v>179.88366465641232</v>
      </c>
      <c r="O98" s="82">
        <f t="shared" si="40"/>
        <v>208.53322909147329</v>
      </c>
    </row>
    <row r="99" spans="1:31" ht="16" x14ac:dyDescent="0.2">
      <c r="G99" s="26"/>
      <c r="H99" s="9"/>
      <c r="K99" s="19"/>
      <c r="L99" s="19"/>
      <c r="M99" s="19"/>
      <c r="N99" s="19"/>
      <c r="O99" s="19"/>
    </row>
    <row r="100" spans="1:31" ht="16" x14ac:dyDescent="0.2">
      <c r="G100" s="26"/>
      <c r="H100" s="9"/>
      <c r="K100" s="19"/>
      <c r="L100" s="19"/>
      <c r="M100" s="19"/>
      <c r="N100" s="19"/>
      <c r="O100" s="19"/>
    </row>
    <row r="101" spans="1:31" ht="13" x14ac:dyDescent="0.15">
      <c r="A101" s="60"/>
    </row>
    <row r="102" spans="1:31" ht="15" customHeight="1" x14ac:dyDescent="0.2">
      <c r="E102" s="26"/>
      <c r="F102" s="9"/>
      <c r="I102" s="19"/>
      <c r="J102" s="19"/>
      <c r="K102" s="19"/>
      <c r="L102" s="19"/>
      <c r="M102" s="19"/>
    </row>
    <row r="103" spans="1:31" ht="15" customHeight="1" x14ac:dyDescent="0.2">
      <c r="B103" s="47" t="s">
        <v>89</v>
      </c>
      <c r="C103" s="47"/>
      <c r="D103" s="47"/>
      <c r="E103" s="64">
        <v>2016</v>
      </c>
      <c r="F103" s="64">
        <v>2017</v>
      </c>
      <c r="G103" s="64">
        <v>2018</v>
      </c>
      <c r="H103" s="64">
        <v>2019</v>
      </c>
      <c r="I103" s="64">
        <v>2020</v>
      </c>
      <c r="J103" s="64">
        <v>2021</v>
      </c>
      <c r="K103" s="65">
        <v>2022</v>
      </c>
      <c r="L103" s="65">
        <v>2023</v>
      </c>
      <c r="M103" s="65">
        <v>2024</v>
      </c>
      <c r="N103" s="65">
        <v>2025</v>
      </c>
      <c r="O103" s="65">
        <v>2026</v>
      </c>
      <c r="Q103" s="108" t="s">
        <v>44</v>
      </c>
      <c r="R103" s="108"/>
      <c r="S103" s="108"/>
      <c r="T103" s="64">
        <v>2016</v>
      </c>
      <c r="U103" s="64">
        <v>2017</v>
      </c>
      <c r="V103" s="64">
        <v>2018</v>
      </c>
      <c r="W103" s="64">
        <v>2019</v>
      </c>
      <c r="X103" s="64">
        <v>2020</v>
      </c>
      <c r="Y103" s="64">
        <v>2021</v>
      </c>
      <c r="Z103" s="65">
        <v>2022</v>
      </c>
      <c r="AA103" s="65">
        <v>2023</v>
      </c>
      <c r="AB103" s="65">
        <v>2024</v>
      </c>
      <c r="AC103" s="65">
        <v>2025</v>
      </c>
      <c r="AD103" s="65">
        <v>2026</v>
      </c>
      <c r="AE103" s="49" t="s">
        <v>45</v>
      </c>
    </row>
    <row r="104" spans="1:31" s="60" customFormat="1" ht="15" customHeight="1" x14ac:dyDescent="0.15">
      <c r="A104" s="1"/>
      <c r="B104" s="38" t="s">
        <v>0</v>
      </c>
      <c r="C104" s="38"/>
      <c r="D104" s="38"/>
      <c r="E104" s="66">
        <v>197.925003</v>
      </c>
      <c r="F104" s="66">
        <v>230.828003</v>
      </c>
      <c r="G104" s="66">
        <v>278.88900799999999</v>
      </c>
      <c r="H104" s="66">
        <v>321.60699499999998</v>
      </c>
      <c r="I104" s="66">
        <v>362.96301299999999</v>
      </c>
      <c r="J104" s="66">
        <v>411.17199699999998</v>
      </c>
      <c r="K104" s="67">
        <f>J104*(1+$AE$104)</f>
        <v>476.05785747742368</v>
      </c>
      <c r="L104" s="67">
        <f>K104*(1+$AE$104)</f>
        <v>551.18316743247249</v>
      </c>
      <c r="M104" s="67">
        <f>L104*(1+$AE$104)</f>
        <v>638.16378469354504</v>
      </c>
      <c r="N104" s="67">
        <f>M104*(1+$AE$104)</f>
        <v>738.87056092706871</v>
      </c>
      <c r="O104" s="67">
        <f>N104*(1+$AE$104)</f>
        <v>855.4695814756144</v>
      </c>
      <c r="Q104" s="38" t="s">
        <v>46</v>
      </c>
      <c r="T104" s="61"/>
      <c r="U104" s="62">
        <f t="shared" ref="U104:AD104" si="44">F104/E104-1</f>
        <v>0.16623973475448173</v>
      </c>
      <c r="V104" s="62">
        <f>G104/F104-1</f>
        <v>0.20821132780843743</v>
      </c>
      <c r="W104" s="62">
        <f>H104/G104-1</f>
        <v>0.15317199952175953</v>
      </c>
      <c r="X104" s="62">
        <f>I104/H104-1</f>
        <v>0.12859178638200963</v>
      </c>
      <c r="Y104" s="62">
        <f t="shared" si="44"/>
        <v>0.13282065189380599</v>
      </c>
      <c r="Z104" s="59">
        <f t="shared" si="44"/>
        <v>0.15780710007209886</v>
      </c>
      <c r="AA104" s="59">
        <f t="shared" si="44"/>
        <v>0.15780710007209886</v>
      </c>
      <c r="AB104" s="59">
        <f t="shared" si="44"/>
        <v>0.15780710007209886</v>
      </c>
      <c r="AC104" s="59">
        <f t="shared" si="44"/>
        <v>0.15780710007209886</v>
      </c>
      <c r="AD104" s="59">
        <f t="shared" si="44"/>
        <v>0.15780710007209886</v>
      </c>
      <c r="AE104" s="59">
        <f t="shared" ref="AE104:AE113" si="45">AVERAGE(T104:Y104)</f>
        <v>0.15780710007209886</v>
      </c>
    </row>
    <row r="105" spans="1:31" ht="15" customHeight="1" x14ac:dyDescent="0.15">
      <c r="B105" s="39" t="s">
        <v>1</v>
      </c>
      <c r="C105" s="39"/>
      <c r="D105" s="39"/>
      <c r="E105" s="68">
        <v>-43.127997999999998</v>
      </c>
      <c r="F105" s="68">
        <v>-51.580002</v>
      </c>
      <c r="G105" s="68">
        <v>-66.184997999999993</v>
      </c>
      <c r="H105" s="68">
        <v>-69.516998000000001</v>
      </c>
      <c r="I105" s="68">
        <v>-79.225998000000004</v>
      </c>
      <c r="J105" s="68">
        <v>-89.439003</v>
      </c>
      <c r="K105" s="69">
        <f>K104*$AE$105</f>
        <v>-105.57588078938888</v>
      </c>
      <c r="L105" s="69">
        <f>L104*$AE$105</f>
        <v>-122.23650437431995</v>
      </c>
      <c r="M105" s="69">
        <f>M104*$AE$105</f>
        <v>-141.52629265258179</v>
      </c>
      <c r="N105" s="69">
        <f>N104*$AE$105</f>
        <v>-163.86014648004095</v>
      </c>
      <c r="O105" s="69">
        <f>O104*$AE$105</f>
        <v>-189.71844101344553</v>
      </c>
      <c r="Q105" s="39" t="s">
        <v>111</v>
      </c>
      <c r="R105" s="48"/>
      <c r="S105" s="48"/>
      <c r="T105" s="63">
        <f t="shared" ref="T105:AD112" si="46">E105/E$104</f>
        <v>-0.21790070656207086</v>
      </c>
      <c r="U105" s="63">
        <f t="shared" si="46"/>
        <v>-0.22345643219033526</v>
      </c>
      <c r="V105" s="63">
        <f>G105/G$104</f>
        <v>-0.23731662454046951</v>
      </c>
      <c r="W105" s="63">
        <f>H105/H$104</f>
        <v>-0.21615511814349686</v>
      </c>
      <c r="X105" s="63">
        <f>I105/I$104</f>
        <v>-0.21827567868464881</v>
      </c>
      <c r="Y105" s="63">
        <f t="shared" si="46"/>
        <v>-0.21752211641981056</v>
      </c>
      <c r="Z105" s="48">
        <f t="shared" si="46"/>
        <v>-0.22177111275680531</v>
      </c>
      <c r="AA105" s="48">
        <f t="shared" si="46"/>
        <v>-0.22177111275680531</v>
      </c>
      <c r="AB105" s="48">
        <f t="shared" si="46"/>
        <v>-0.22177111275680528</v>
      </c>
      <c r="AC105" s="48">
        <f t="shared" si="46"/>
        <v>-0.22177111275680533</v>
      </c>
      <c r="AD105" s="48">
        <f t="shared" si="46"/>
        <v>-0.22177111275680531</v>
      </c>
      <c r="AE105" s="48">
        <f t="shared" si="45"/>
        <v>-0.22177111275680531</v>
      </c>
    </row>
    <row r="106" spans="1:31" s="60" customFormat="1" ht="15" customHeight="1" x14ac:dyDescent="0.15">
      <c r="A106" s="1"/>
      <c r="B106" s="38" t="s">
        <v>2</v>
      </c>
      <c r="C106" s="38"/>
      <c r="D106" s="38"/>
      <c r="E106" s="66">
        <v>154.796997</v>
      </c>
      <c r="F106" s="66">
        <v>179.24800099999999</v>
      </c>
      <c r="G106" s="66">
        <v>212.70399499999999</v>
      </c>
      <c r="H106" s="66">
        <v>252.08999600000001</v>
      </c>
      <c r="I106" s="66">
        <v>283.73700000000002</v>
      </c>
      <c r="J106" s="66">
        <v>321.733002</v>
      </c>
      <c r="K106" s="67">
        <f>K104+K105</f>
        <v>370.48197668803482</v>
      </c>
      <c r="L106" s="67">
        <f t="shared" ref="L106:O106" si="47">L104+L105</f>
        <v>428.94666305815252</v>
      </c>
      <c r="M106" s="67">
        <f t="shared" si="47"/>
        <v>496.63749204096325</v>
      </c>
      <c r="N106" s="67">
        <f t="shared" si="47"/>
        <v>575.01041444702776</v>
      </c>
      <c r="O106" s="67">
        <f t="shared" si="47"/>
        <v>665.75114046216891</v>
      </c>
      <c r="Q106" s="38" t="s">
        <v>110</v>
      </c>
      <c r="R106" s="59"/>
      <c r="S106" s="59"/>
      <c r="T106" s="62">
        <f t="shared" si="46"/>
        <v>0.78209925301857897</v>
      </c>
      <c r="U106" s="62">
        <f t="shared" si="46"/>
        <v>0.77654356780966471</v>
      </c>
      <c r="V106" s="62">
        <f>G106/G$104</f>
        <v>0.76268332167469288</v>
      </c>
      <c r="W106" s="62">
        <f>H106/H$104</f>
        <v>0.78384487874711817</v>
      </c>
      <c r="X106" s="62">
        <f>I106/I$104</f>
        <v>0.78172427998882643</v>
      </c>
      <c r="Y106" s="62">
        <f t="shared" si="46"/>
        <v>0.78247790303676745</v>
      </c>
      <c r="Z106" s="59">
        <f t="shared" si="46"/>
        <v>0.77822888724319472</v>
      </c>
      <c r="AA106" s="59">
        <f t="shared" si="46"/>
        <v>0.77822888724319472</v>
      </c>
      <c r="AB106" s="59">
        <f t="shared" si="46"/>
        <v>0.77822888724319472</v>
      </c>
      <c r="AC106" s="59">
        <f t="shared" si="46"/>
        <v>0.77822888724319472</v>
      </c>
      <c r="AD106" s="59">
        <f t="shared" si="46"/>
        <v>0.77822888724319472</v>
      </c>
      <c r="AE106" s="59">
        <f t="shared" si="45"/>
        <v>0.77822886737927466</v>
      </c>
    </row>
    <row r="107" spans="1:31" ht="15" customHeight="1" collapsed="1" x14ac:dyDescent="0.15">
      <c r="B107" s="58" t="s">
        <v>3</v>
      </c>
      <c r="C107" s="58"/>
      <c r="D107" s="58"/>
      <c r="E107" s="66">
        <v>-124.69000200000001</v>
      </c>
      <c r="F107" s="66">
        <v>-142.00500500000001</v>
      </c>
      <c r="G107" s="66">
        <v>-162.34300200000001</v>
      </c>
      <c r="H107" s="66">
        <v>-179.837006</v>
      </c>
      <c r="I107" s="66">
        <v>-187.08299299999999</v>
      </c>
      <c r="J107" s="66">
        <v>-234.050003</v>
      </c>
      <c r="K107" s="69">
        <f>K104*$AE$107</f>
        <v>-275.40996527893702</v>
      </c>
      <c r="L107" s="69">
        <f>L104*$AE$107</f>
        <v>-318.87161323056353</v>
      </c>
      <c r="M107" s="69">
        <f>M104*$AE$107</f>
        <v>-369.19181780979062</v>
      </c>
      <c r="N107" s="69">
        <f>N104*$AE$107</f>
        <v>-427.45290794870039</v>
      </c>
      <c r="O107" s="69">
        <f>O104*$AE$107</f>
        <v>-494.90801176947053</v>
      </c>
      <c r="Q107" s="42" t="s">
        <v>112</v>
      </c>
      <c r="R107" s="48"/>
      <c r="S107" s="48"/>
      <c r="T107" s="63">
        <f t="shared" si="46"/>
        <v>-0.62998610640415154</v>
      </c>
      <c r="U107" s="63">
        <f t="shared" si="46"/>
        <v>-0.61519834315769739</v>
      </c>
      <c r="V107" s="63">
        <f>G107/G$104</f>
        <v>-0.58210613306064762</v>
      </c>
      <c r="W107" s="63">
        <f>H107/H$104</f>
        <v>-0.55918250783071433</v>
      </c>
      <c r="X107" s="63">
        <f>I107/I$104</f>
        <v>-0.51543266476025196</v>
      </c>
      <c r="Y107" s="63">
        <f t="shared" si="46"/>
        <v>-0.56922651519967205</v>
      </c>
      <c r="Z107" s="48">
        <f t="shared" si="46"/>
        <v>-0.57852204506885574</v>
      </c>
      <c r="AA107" s="48">
        <f t="shared" si="46"/>
        <v>-0.57852204506885574</v>
      </c>
      <c r="AB107" s="48">
        <f t="shared" si="46"/>
        <v>-0.57852204506885574</v>
      </c>
      <c r="AC107" s="48">
        <f t="shared" si="46"/>
        <v>-0.57852204506885574</v>
      </c>
      <c r="AD107" s="48">
        <f t="shared" si="46"/>
        <v>-0.57852204506885574</v>
      </c>
      <c r="AE107" s="48">
        <f t="shared" si="45"/>
        <v>-0.57852204506885574</v>
      </c>
    </row>
    <row r="108" spans="1:31" ht="15" hidden="1" customHeight="1" outlineLevel="1" x14ac:dyDescent="0.15">
      <c r="B108" s="44" t="s">
        <v>4</v>
      </c>
      <c r="C108" s="44"/>
      <c r="D108" s="44"/>
      <c r="E108" s="68">
        <v>-36.591000000000001</v>
      </c>
      <c r="F108" s="68">
        <v>-42.816001999999997</v>
      </c>
      <c r="G108" s="68">
        <v>-53.255001</v>
      </c>
      <c r="H108" s="68">
        <v>-68.238997999999995</v>
      </c>
      <c r="I108" s="68">
        <v>-72.547996999999995</v>
      </c>
      <c r="J108" s="68">
        <v>-81.289000999999999</v>
      </c>
      <c r="K108" s="69"/>
      <c r="L108" s="69"/>
      <c r="M108" s="69"/>
      <c r="N108" s="69"/>
      <c r="O108" s="69"/>
      <c r="Q108" s="44" t="s">
        <v>4</v>
      </c>
      <c r="R108" s="48"/>
      <c r="S108" s="48"/>
      <c r="T108" s="63">
        <f t="shared" si="46"/>
        <v>-0.18487305517433794</v>
      </c>
      <c r="U108" s="63">
        <f t="shared" si="46"/>
        <v>-0.18548876844894768</v>
      </c>
      <c r="V108" s="63">
        <f>G108/G$104</f>
        <v>-0.19095410529768889</v>
      </c>
      <c r="W108" s="63">
        <f>H108/H$104</f>
        <v>-0.21218132397897627</v>
      </c>
      <c r="X108" s="63">
        <f>I108/I$104</f>
        <v>-0.19987710703734982</v>
      </c>
      <c r="Y108" s="63">
        <f t="shared" si="46"/>
        <v>-0.1977007227950886</v>
      </c>
      <c r="Z108" s="48">
        <f t="shared" si="46"/>
        <v>0</v>
      </c>
      <c r="AA108" s="48">
        <f t="shared" si="46"/>
        <v>0</v>
      </c>
      <c r="AB108" s="48">
        <f t="shared" si="46"/>
        <v>0</v>
      </c>
      <c r="AC108" s="48">
        <f t="shared" si="46"/>
        <v>0</v>
      </c>
      <c r="AD108" s="48">
        <f t="shared" si="46"/>
        <v>0</v>
      </c>
      <c r="AE108" s="48">
        <f t="shared" si="45"/>
        <v>-0.1951791804553982</v>
      </c>
    </row>
    <row r="109" spans="1:31" ht="15" hidden="1" customHeight="1" outlineLevel="1" x14ac:dyDescent="0.15">
      <c r="B109" s="44" t="s">
        <v>5</v>
      </c>
      <c r="C109" s="44"/>
      <c r="D109" s="44"/>
      <c r="E109" s="68">
        <v>-58.985000999999997</v>
      </c>
      <c r="F109" s="68">
        <v>-63.854999999999997</v>
      </c>
      <c r="G109" s="68">
        <v>-70.039000999999999</v>
      </c>
      <c r="H109" s="68">
        <v>-70.832999999999998</v>
      </c>
      <c r="I109" s="68">
        <v>-67.964995999999999</v>
      </c>
      <c r="J109" s="68">
        <v>-76.486999999999995</v>
      </c>
      <c r="K109" s="69"/>
      <c r="L109" s="69"/>
      <c r="M109" s="69"/>
      <c r="N109" s="69"/>
      <c r="O109" s="69"/>
      <c r="Q109" s="44" t="s">
        <v>5</v>
      </c>
      <c r="R109" s="48"/>
      <c r="S109" s="48"/>
      <c r="T109" s="63">
        <f t="shared" si="46"/>
        <v>-0.29801692613843234</v>
      </c>
      <c r="U109" s="63">
        <f t="shared" si="46"/>
        <v>-0.27663454680583099</v>
      </c>
      <c r="V109" s="63">
        <f>G109/G$104</f>
        <v>-0.25113575290138362</v>
      </c>
      <c r="W109" s="63">
        <f>H109/H$104</f>
        <v>-0.22024707516078748</v>
      </c>
      <c r="X109" s="63">
        <f>I109/I$104</f>
        <v>-0.18725047336985823</v>
      </c>
      <c r="Y109" s="63">
        <f t="shared" si="46"/>
        <v>-0.18602190946383929</v>
      </c>
      <c r="Z109" s="48">
        <f t="shared" si="46"/>
        <v>0</v>
      </c>
      <c r="AA109" s="48">
        <f t="shared" si="46"/>
        <v>0</v>
      </c>
      <c r="AB109" s="48">
        <f t="shared" si="46"/>
        <v>0</v>
      </c>
      <c r="AC109" s="48">
        <f t="shared" si="46"/>
        <v>0</v>
      </c>
      <c r="AD109" s="48">
        <f t="shared" si="46"/>
        <v>0</v>
      </c>
      <c r="AE109" s="48">
        <f t="shared" si="45"/>
        <v>-0.23655111397335535</v>
      </c>
    </row>
    <row r="110" spans="1:31" ht="15" hidden="1" customHeight="1" outlineLevel="1" x14ac:dyDescent="0.15">
      <c r="B110" s="44" t="s">
        <v>6</v>
      </c>
      <c r="C110" s="44"/>
      <c r="D110" s="44"/>
      <c r="E110" s="68">
        <v>-29.114000000000001</v>
      </c>
      <c r="F110" s="68">
        <v>-35.334000000000003</v>
      </c>
      <c r="G110" s="68">
        <v>-39.048999999999999</v>
      </c>
      <c r="H110" s="68">
        <v>-40.764999000000003</v>
      </c>
      <c r="I110" s="68">
        <v>-46.57</v>
      </c>
      <c r="J110" s="68">
        <v>-76.274001999999996</v>
      </c>
      <c r="K110" s="69"/>
      <c r="L110" s="69"/>
      <c r="M110" s="69"/>
      <c r="N110" s="69"/>
      <c r="O110" s="69"/>
      <c r="Q110" s="44" t="s">
        <v>6</v>
      </c>
      <c r="R110" s="48"/>
      <c r="S110" s="48"/>
      <c r="T110" s="63">
        <f t="shared" si="46"/>
        <v>-0.14709612003896244</v>
      </c>
      <c r="U110" s="63">
        <f t="shared" si="46"/>
        <v>-0.15307501490622871</v>
      </c>
      <c r="V110" s="63">
        <f>G110/G$104</f>
        <v>-0.14001627486157503</v>
      </c>
      <c r="W110" s="63">
        <f>H110/H$104</f>
        <v>-0.12675408070648464</v>
      </c>
      <c r="X110" s="63">
        <f>I110/I$104</f>
        <v>-0.128305084353044</v>
      </c>
      <c r="Y110" s="63">
        <f t="shared" si="46"/>
        <v>-0.18550388294074413</v>
      </c>
      <c r="Z110" s="48">
        <f t="shared" si="46"/>
        <v>0</v>
      </c>
      <c r="AA110" s="48">
        <f t="shared" si="46"/>
        <v>0</v>
      </c>
      <c r="AB110" s="48">
        <f t="shared" si="46"/>
        <v>0</v>
      </c>
      <c r="AC110" s="48">
        <f t="shared" si="46"/>
        <v>0</v>
      </c>
      <c r="AD110" s="48">
        <f t="shared" si="46"/>
        <v>0</v>
      </c>
      <c r="AE110" s="48">
        <f t="shared" si="45"/>
        <v>-0.14679174296783984</v>
      </c>
    </row>
    <row r="111" spans="1:31" s="60" customFormat="1" ht="15" customHeight="1" x14ac:dyDescent="0.15">
      <c r="A111" s="1"/>
      <c r="B111" s="38" t="s">
        <v>7</v>
      </c>
      <c r="C111" s="38"/>
      <c r="D111" s="38"/>
      <c r="E111" s="66">
        <v>30.106999999999999</v>
      </c>
      <c r="F111" s="66">
        <v>37.243000000000002</v>
      </c>
      <c r="G111" s="66">
        <v>50.360999999999997</v>
      </c>
      <c r="H111" s="66">
        <v>72.252998000000005</v>
      </c>
      <c r="I111" s="66">
        <v>96.653998999999999</v>
      </c>
      <c r="J111" s="66">
        <v>87.682998999999995</v>
      </c>
      <c r="K111" s="67">
        <f>K106+K107</f>
        <v>95.072011409097797</v>
      </c>
      <c r="L111" s="67">
        <f t="shared" ref="L111:O111" si="48">L106+L107</f>
        <v>110.075049827589</v>
      </c>
      <c r="M111" s="67">
        <f t="shared" si="48"/>
        <v>127.44567423117263</v>
      </c>
      <c r="N111" s="67">
        <f t="shared" si="48"/>
        <v>147.55750649832737</v>
      </c>
      <c r="O111" s="67">
        <f t="shared" si="48"/>
        <v>170.84312869269837</v>
      </c>
      <c r="Q111" s="38" t="s">
        <v>114</v>
      </c>
      <c r="R111" s="59"/>
      <c r="S111" s="59"/>
      <c r="T111" s="62">
        <f t="shared" si="46"/>
        <v>0.15211317187652132</v>
      </c>
      <c r="U111" s="62">
        <f t="shared" si="46"/>
        <v>0.1613452419808874</v>
      </c>
      <c r="V111" s="62">
        <f>G111/G$104</f>
        <v>0.18057721371363622</v>
      </c>
      <c r="W111" s="62">
        <f>H111/H$104</f>
        <v>0.22466239579148459</v>
      </c>
      <c r="X111" s="62">
        <f>I111/I$104</f>
        <v>0.26629159318776097</v>
      </c>
      <c r="Y111" s="62">
        <f t="shared" si="46"/>
        <v>0.21325138783709532</v>
      </c>
      <c r="Z111" s="59">
        <f t="shared" si="46"/>
        <v>0.19970684217433896</v>
      </c>
      <c r="AA111" s="59">
        <f t="shared" si="46"/>
        <v>0.1997068421743389</v>
      </c>
      <c r="AB111" s="59">
        <f t="shared" si="46"/>
        <v>0.19970684217433896</v>
      </c>
      <c r="AC111" s="59">
        <f t="shared" si="46"/>
        <v>0.1997068421743389</v>
      </c>
      <c r="AD111" s="59">
        <f t="shared" si="46"/>
        <v>0.19970684217433901</v>
      </c>
      <c r="AE111" s="59">
        <f t="shared" si="45"/>
        <v>0.19970683406456433</v>
      </c>
    </row>
    <row r="112" spans="1:31" ht="15" customHeight="1" x14ac:dyDescent="0.15">
      <c r="B112" s="58" t="s">
        <v>8</v>
      </c>
      <c r="C112" s="58"/>
      <c r="D112" s="58"/>
      <c r="E112" s="66">
        <v>0.32200000000000001</v>
      </c>
      <c r="F112" s="66">
        <v>2.1349999999999998</v>
      </c>
      <c r="G112" s="66">
        <v>5.1070000000000002</v>
      </c>
      <c r="H112" s="66">
        <v>7.73</v>
      </c>
      <c r="I112" s="66">
        <v>5.383</v>
      </c>
      <c r="J112" s="66">
        <v>1.714</v>
      </c>
      <c r="K112" s="69">
        <f>K104*$AE$112</f>
        <v>5.7303850118467921</v>
      </c>
      <c r="L112" s="69">
        <f>L104*$AE$112</f>
        <v>6.6346804528629546</v>
      </c>
      <c r="M112" s="69">
        <f>M104*$AE$112</f>
        <v>7.6816801350342967</v>
      </c>
      <c r="N112" s="69">
        <f>N104*$AE$112</f>
        <v>8.8939038008255089</v>
      </c>
      <c r="O112" s="69">
        <f>O104*$AE$112</f>
        <v>10.297424967953999</v>
      </c>
      <c r="Q112" s="42" t="s">
        <v>113</v>
      </c>
      <c r="R112" s="48"/>
      <c r="S112" s="48"/>
      <c r="T112" s="63">
        <f t="shared" si="46"/>
        <v>1.6268788435991586E-3</v>
      </c>
      <c r="U112" s="63">
        <f t="shared" si="46"/>
        <v>9.2493110552102284E-3</v>
      </c>
      <c r="V112" s="63">
        <f>G112/G$104</f>
        <v>1.8311944370356829E-2</v>
      </c>
      <c r="W112" s="63">
        <f>H112/H$104</f>
        <v>2.4035546863649532E-2</v>
      </c>
      <c r="X112" s="63">
        <f>I112/I$104</f>
        <v>1.483071224119467E-2</v>
      </c>
      <c r="Y112" s="63">
        <f t="shared" si="46"/>
        <v>4.1685718203226764E-3</v>
      </c>
      <c r="Z112" s="48">
        <f t="shared" si="46"/>
        <v>1.2037160865722181E-2</v>
      </c>
      <c r="AA112" s="48">
        <f t="shared" si="46"/>
        <v>1.2037160865722181E-2</v>
      </c>
      <c r="AB112" s="48">
        <f t="shared" si="46"/>
        <v>1.2037160865722181E-2</v>
      </c>
      <c r="AC112" s="48">
        <f t="shared" si="46"/>
        <v>1.2037160865722183E-2</v>
      </c>
      <c r="AD112" s="48">
        <f t="shared" si="46"/>
        <v>1.2037160865722181E-2</v>
      </c>
      <c r="AE112" s="48">
        <f t="shared" si="45"/>
        <v>1.2037160865722181E-2</v>
      </c>
    </row>
    <row r="113" spans="1:31" ht="15" customHeight="1" outlineLevel="1" x14ac:dyDescent="0.15">
      <c r="B113" s="44" t="s">
        <v>9</v>
      </c>
      <c r="C113" s="44"/>
      <c r="D113" s="44"/>
      <c r="E113" s="68">
        <v>-2.5999999999999999E-2</v>
      </c>
      <c r="F113" s="68">
        <v>-3.0000000000000001E-3</v>
      </c>
      <c r="G113" s="68">
        <v>-0.17199999999999999</v>
      </c>
      <c r="H113" s="68">
        <v>-0.106</v>
      </c>
      <c r="I113" s="68">
        <v>-8.9999999999999993E-3</v>
      </c>
      <c r="J113" s="74">
        <v>0</v>
      </c>
      <c r="K113" s="69">
        <f>K104*$AE$113</f>
        <v>-0.35038397131039661</v>
      </c>
      <c r="L113" s="69">
        <f>L104*$AE$113</f>
        <v>-0.40567704973463581</v>
      </c>
      <c r="M113" s="69">
        <f>M104*$AE$113</f>
        <v>-0.46969576851906325</v>
      </c>
      <c r="N113" s="69">
        <f>N104*$AE$113</f>
        <v>-0.54381709566519254</v>
      </c>
      <c r="O113" s="69">
        <f>O104*$AE$113</f>
        <v>-0.6296352945017476</v>
      </c>
      <c r="Q113" s="44" t="s">
        <v>9</v>
      </c>
      <c r="R113" s="48"/>
      <c r="S113" s="48"/>
      <c r="T113" s="63"/>
      <c r="U113" s="63"/>
      <c r="V113" s="63"/>
      <c r="W113" s="63">
        <f>H113/(H153+H155)</f>
        <v>-2.0511630103944231E-3</v>
      </c>
      <c r="X113" s="63">
        <f>I113/(I153+I155)</f>
        <v>-1.5687094476624582E-4</v>
      </c>
      <c r="Y113" s="63">
        <f>J113/(J153+J155)</f>
        <v>0</v>
      </c>
      <c r="Z113" s="48"/>
      <c r="AA113" s="48"/>
      <c r="AB113" s="48"/>
      <c r="AC113" s="48"/>
      <c r="AD113" s="48"/>
      <c r="AE113" s="48">
        <f t="shared" si="45"/>
        <v>-7.3601131838688962E-4</v>
      </c>
    </row>
    <row r="114" spans="1:31" ht="15" customHeight="1" outlineLevel="1" x14ac:dyDescent="0.15">
      <c r="B114" s="44" t="s">
        <v>10</v>
      </c>
      <c r="C114" s="44"/>
      <c r="D114" s="44"/>
      <c r="E114" s="68">
        <v>1.32</v>
      </c>
      <c r="F114" s="68">
        <v>2.6739999999999999</v>
      </c>
      <c r="G114" s="68">
        <v>6.08</v>
      </c>
      <c r="H114" s="68">
        <v>8.4429999999999996</v>
      </c>
      <c r="I114" s="68">
        <v>5.3849999999999998</v>
      </c>
      <c r="J114" s="68">
        <v>2.2869999999999999</v>
      </c>
      <c r="K114" s="69"/>
      <c r="L114" s="69"/>
      <c r="M114" s="69"/>
      <c r="N114" s="69"/>
      <c r="O114" s="69"/>
      <c r="Q114" s="44" t="s">
        <v>10</v>
      </c>
      <c r="R114" s="48"/>
      <c r="S114" s="48"/>
      <c r="T114" s="63"/>
      <c r="U114" s="63"/>
      <c r="V114" s="63"/>
      <c r="W114" s="63"/>
      <c r="X114" s="63"/>
      <c r="Y114" s="63"/>
      <c r="Z114" s="48"/>
      <c r="AA114" s="48"/>
      <c r="AB114" s="48"/>
      <c r="AC114" s="48"/>
      <c r="AD114" s="48"/>
      <c r="AE114" s="48"/>
    </row>
    <row r="115" spans="1:31" ht="15" customHeight="1" outlineLevel="1" x14ac:dyDescent="0.15">
      <c r="B115" s="44" t="s">
        <v>11</v>
      </c>
      <c r="C115" s="44"/>
      <c r="D115" s="44"/>
      <c r="E115" s="68">
        <v>-0.97199999999999998</v>
      </c>
      <c r="F115" s="68">
        <v>-0.53600000000000003</v>
      </c>
      <c r="G115" s="68">
        <v>-0.80100000000000005</v>
      </c>
      <c r="H115" s="68">
        <v>-0.60699999999999998</v>
      </c>
      <c r="I115" s="68">
        <v>7.0000000000000001E-3</v>
      </c>
      <c r="J115" s="68">
        <v>-0.57299999999999995</v>
      </c>
      <c r="K115" s="69"/>
      <c r="L115" s="69"/>
      <c r="M115" s="69"/>
      <c r="N115" s="69"/>
      <c r="O115" s="69"/>
      <c r="Q115" s="44" t="s">
        <v>11</v>
      </c>
      <c r="R115" s="48"/>
      <c r="S115" s="48"/>
      <c r="T115" s="63"/>
      <c r="U115" s="63"/>
      <c r="V115" s="63"/>
      <c r="W115" s="63"/>
      <c r="X115" s="63"/>
      <c r="Y115" s="63"/>
      <c r="Z115" s="48"/>
      <c r="AA115" s="48"/>
      <c r="AB115" s="48"/>
      <c r="AC115" s="48"/>
      <c r="AD115" s="48"/>
      <c r="AE115" s="48"/>
    </row>
    <row r="116" spans="1:31" s="60" customFormat="1" ht="15" customHeight="1" x14ac:dyDescent="0.15">
      <c r="A116" s="1"/>
      <c r="B116" s="38" t="s">
        <v>115</v>
      </c>
      <c r="C116" s="38"/>
      <c r="D116" s="38"/>
      <c r="E116" s="66">
        <v>30.429001</v>
      </c>
      <c r="F116" s="66">
        <v>39.377997999999998</v>
      </c>
      <c r="G116" s="66">
        <v>55.467998999999999</v>
      </c>
      <c r="H116" s="66">
        <v>79.983001999999999</v>
      </c>
      <c r="I116" s="66">
        <v>102.037003</v>
      </c>
      <c r="J116" s="66">
        <v>89.397002999999998</v>
      </c>
      <c r="K116" s="67">
        <f>K104*$AE$116</f>
        <v>100.80239462223068</v>
      </c>
      <c r="L116" s="67">
        <f>L104*$AE$116</f>
        <v>116.70972819788824</v>
      </c>
      <c r="M116" s="67">
        <f>M104*$AE$116</f>
        <v>135.12735195499982</v>
      </c>
      <c r="N116" s="67">
        <f>N104*$AE$116</f>
        <v>156.45140750744022</v>
      </c>
      <c r="O116" s="67">
        <f>O104*$AE$116</f>
        <v>181.14055042838754</v>
      </c>
      <c r="Q116" s="38" t="s">
        <v>115</v>
      </c>
      <c r="R116" s="59"/>
      <c r="S116" s="59"/>
      <c r="T116" s="62">
        <f t="shared" ref="T116:AD116" si="49">E116/E104</f>
        <v>0.15374005577253924</v>
      </c>
      <c r="U116" s="62">
        <f t="shared" si="49"/>
        <v>0.1705945443716376</v>
      </c>
      <c r="V116" s="62">
        <f>G116/G104</f>
        <v>0.19888915449833722</v>
      </c>
      <c r="W116" s="62">
        <f>H116/H104</f>
        <v>0.24869795509267453</v>
      </c>
      <c r="X116" s="62">
        <f>I116/I104</f>
        <v>0.28112231644936231</v>
      </c>
      <c r="Y116" s="62">
        <f t="shared" si="49"/>
        <v>0.21741996938570698</v>
      </c>
      <c r="Z116" s="59">
        <f t="shared" si="49"/>
        <v>0.21174399926170964</v>
      </c>
      <c r="AA116" s="59">
        <f t="shared" si="49"/>
        <v>0.21174399926170964</v>
      </c>
      <c r="AB116" s="59">
        <f t="shared" si="49"/>
        <v>0.21174399926170964</v>
      </c>
      <c r="AC116" s="59">
        <f t="shared" si="49"/>
        <v>0.21174399926170964</v>
      </c>
      <c r="AD116" s="59">
        <f t="shared" si="49"/>
        <v>0.21174399926170964</v>
      </c>
      <c r="AE116" s="59">
        <f>AVERAGE(T116:Y116)</f>
        <v>0.21174399926170964</v>
      </c>
    </row>
    <row r="117" spans="1:31" ht="15" customHeight="1" x14ac:dyDescent="0.15">
      <c r="B117" s="39" t="s">
        <v>116</v>
      </c>
      <c r="C117" s="39"/>
      <c r="D117" s="39"/>
      <c r="E117" s="68">
        <v>-11.205</v>
      </c>
      <c r="F117" s="68">
        <v>1.0620000000000001</v>
      </c>
      <c r="G117" s="68">
        <v>1.8360000000000001</v>
      </c>
      <c r="H117" s="68">
        <v>-10.647</v>
      </c>
      <c r="I117" s="68">
        <v>-10.465</v>
      </c>
      <c r="J117" s="68">
        <v>-18.437000000000001</v>
      </c>
      <c r="K117" s="69">
        <f>K116*$AE$117</f>
        <v>-12.601620711387989</v>
      </c>
      <c r="L117" s="69">
        <f>L116*$AE$117</f>
        <v>-14.590245932060629</v>
      </c>
      <c r="M117" s="69">
        <f>M116*$AE$117</f>
        <v>-16.89269033193785</v>
      </c>
      <c r="N117" s="69">
        <f>N116*$AE$117</f>
        <v>-19.558476805636946</v>
      </c>
      <c r="O117" s="69">
        <f>O116*$AE$117</f>
        <v>-22.644943312161917</v>
      </c>
      <c r="Q117" s="39" t="s">
        <v>118</v>
      </c>
      <c r="R117" s="48"/>
      <c r="S117" s="48"/>
      <c r="T117" s="63">
        <f t="shared" ref="T117:AD117" si="50">E117/E116</f>
        <v>-0.36823423812040362</v>
      </c>
      <c r="U117" s="63">
        <f t="shared" si="50"/>
        <v>2.6969375131767746E-2</v>
      </c>
      <c r="V117" s="63">
        <f>G117/G116</f>
        <v>3.3100166458141025E-2</v>
      </c>
      <c r="W117" s="63">
        <f>H117/H116</f>
        <v>-0.13311578377615785</v>
      </c>
      <c r="X117" s="63">
        <f>I117/I116</f>
        <v>-0.10256083275985674</v>
      </c>
      <c r="Y117" s="63">
        <f t="shared" si="50"/>
        <v>-0.2062373388512812</v>
      </c>
      <c r="Z117" s="48">
        <f t="shared" si="50"/>
        <v>-0.12501310865296511</v>
      </c>
      <c r="AA117" s="48">
        <f t="shared" si="50"/>
        <v>-0.12501310865296511</v>
      </c>
      <c r="AB117" s="48">
        <f t="shared" si="50"/>
        <v>-0.12501310865296511</v>
      </c>
      <c r="AC117" s="48">
        <f t="shared" si="50"/>
        <v>-0.12501310865296511</v>
      </c>
      <c r="AD117" s="48">
        <f t="shared" si="50"/>
        <v>-0.12501310865296511</v>
      </c>
      <c r="AE117" s="48">
        <f>AVERAGE(T117:Y117)</f>
        <v>-0.12501310865296511</v>
      </c>
    </row>
    <row r="118" spans="1:31" s="60" customFormat="1" ht="15" customHeight="1" collapsed="1" x14ac:dyDescent="0.15">
      <c r="A118" s="1"/>
      <c r="B118" s="38" t="s">
        <v>117</v>
      </c>
      <c r="C118" s="38"/>
      <c r="D118" s="38"/>
      <c r="E118" s="66">
        <v>19.224001000000001</v>
      </c>
      <c r="F118" s="66">
        <v>40.439999</v>
      </c>
      <c r="G118" s="66">
        <v>57.304001</v>
      </c>
      <c r="H118" s="66">
        <v>69.335999000000001</v>
      </c>
      <c r="I118" s="66">
        <v>91.571999000000005</v>
      </c>
      <c r="J118" s="66">
        <v>70.959998999999996</v>
      </c>
      <c r="K118" s="67">
        <f>K116+K117</f>
        <v>88.200773910842685</v>
      </c>
      <c r="L118" s="67">
        <f t="shared" ref="L118:O118" si="51">L116+L117</f>
        <v>102.11948226582761</v>
      </c>
      <c r="M118" s="67">
        <f t="shared" si="51"/>
        <v>118.23466162306198</v>
      </c>
      <c r="N118" s="67">
        <f t="shared" si="51"/>
        <v>136.89293070180327</v>
      </c>
      <c r="O118" s="67">
        <f t="shared" si="51"/>
        <v>158.49560711622561</v>
      </c>
      <c r="Q118" s="38" t="s">
        <v>117</v>
      </c>
      <c r="R118" s="59"/>
      <c r="S118" s="59"/>
      <c r="T118" s="62">
        <f t="shared" ref="T118:AD118" si="52">E118/E104</f>
        <v>9.7127703466549906E-2</v>
      </c>
      <c r="U118" s="62">
        <f t="shared" si="52"/>
        <v>0.17519537696645932</v>
      </c>
      <c r="V118" s="62">
        <f>G118/G104</f>
        <v>0.20547242579026279</v>
      </c>
      <c r="W118" s="62">
        <f>H118/H104</f>
        <v>0.21559232254883015</v>
      </c>
      <c r="X118" s="62">
        <f>I118/I104</f>
        <v>0.25229016654652908</v>
      </c>
      <c r="Y118" s="62">
        <f t="shared" si="52"/>
        <v>0.17257984375818278</v>
      </c>
      <c r="Z118" s="59">
        <f t="shared" si="52"/>
        <v>0.18527322367539217</v>
      </c>
      <c r="AA118" s="59">
        <f t="shared" si="52"/>
        <v>0.18527322367539217</v>
      </c>
      <c r="AB118" s="59">
        <f t="shared" si="52"/>
        <v>0.18527322367539217</v>
      </c>
      <c r="AC118" s="59">
        <f t="shared" si="52"/>
        <v>0.18527322367539215</v>
      </c>
      <c r="AD118" s="59">
        <f t="shared" si="52"/>
        <v>0.18527322367539215</v>
      </c>
      <c r="AE118" s="59">
        <f>AVERAGE(T118:Y118)</f>
        <v>0.18637630651280235</v>
      </c>
    </row>
    <row r="119" spans="1:31" ht="15" hidden="1" customHeight="1" outlineLevel="1" x14ac:dyDescent="0.15">
      <c r="B119" s="39" t="s">
        <v>13</v>
      </c>
      <c r="C119" s="39"/>
      <c r="D119" s="39"/>
      <c r="E119" s="70"/>
      <c r="F119" s="70"/>
      <c r="G119" s="70"/>
      <c r="H119" s="70"/>
      <c r="I119" s="70"/>
      <c r="J119" s="70"/>
      <c r="K119" s="69"/>
      <c r="L119" s="69"/>
      <c r="M119" s="69"/>
      <c r="N119" s="69"/>
      <c r="O119" s="69"/>
      <c r="Q119" s="39" t="s">
        <v>13</v>
      </c>
      <c r="R119" s="48"/>
      <c r="S119" s="48"/>
      <c r="T119" s="48"/>
      <c r="U119" s="48"/>
      <c r="V119" s="48"/>
      <c r="W119" s="48"/>
      <c r="X119" s="48"/>
      <c r="Y119" s="48"/>
      <c r="Z119" s="48"/>
      <c r="AA119" s="48"/>
      <c r="AB119" s="48"/>
      <c r="AE119" s="48" t="e">
        <f>AVERAGE(T119:Y119)</f>
        <v>#DIV/0!</v>
      </c>
    </row>
    <row r="120" spans="1:31" ht="15" hidden="1" customHeight="1" outlineLevel="1" x14ac:dyDescent="0.15">
      <c r="B120" s="39" t="s">
        <v>14</v>
      </c>
      <c r="C120" s="39"/>
      <c r="D120" s="39"/>
      <c r="E120" s="68">
        <v>19.224001000000001</v>
      </c>
      <c r="F120" s="68">
        <v>40.439999</v>
      </c>
      <c r="G120" s="68">
        <v>57.304001</v>
      </c>
      <c r="H120" s="68">
        <v>69.335999000000001</v>
      </c>
      <c r="I120" s="68">
        <v>91.571999000000005</v>
      </c>
      <c r="J120" s="68">
        <v>70.959998999999996</v>
      </c>
      <c r="K120" s="69"/>
      <c r="L120" s="69"/>
      <c r="M120" s="69"/>
      <c r="N120" s="69"/>
      <c r="O120" s="69"/>
      <c r="Q120" s="39" t="s">
        <v>14</v>
      </c>
      <c r="R120" s="48"/>
      <c r="S120" s="48"/>
      <c r="T120" s="48"/>
      <c r="U120" s="48"/>
      <c r="V120" s="48"/>
      <c r="W120" s="48"/>
      <c r="X120" s="48"/>
      <c r="Y120" s="48"/>
      <c r="Z120" s="48"/>
      <c r="AA120" s="48"/>
      <c r="AB120" s="48"/>
      <c r="AE120" s="48" t="e">
        <f>AVERAGE(T120:Y120)</f>
        <v>#DIV/0!</v>
      </c>
    </row>
    <row r="121" spans="1:31" ht="15" customHeight="1" x14ac:dyDescent="0.15">
      <c r="B121" s="42" t="s">
        <v>15</v>
      </c>
      <c r="C121" s="42"/>
      <c r="D121" s="42"/>
      <c r="E121" s="71"/>
      <c r="F121" s="71"/>
      <c r="G121" s="71"/>
      <c r="H121" s="71"/>
      <c r="I121" s="71"/>
      <c r="J121" s="71"/>
      <c r="K121" s="69"/>
      <c r="L121" s="69"/>
      <c r="M121" s="69"/>
      <c r="N121" s="69"/>
      <c r="O121" s="69"/>
      <c r="Q121" s="42"/>
      <c r="R121" s="48"/>
      <c r="S121" s="48"/>
      <c r="T121" s="48"/>
      <c r="U121" s="48"/>
      <c r="V121" s="48"/>
      <c r="W121" s="48"/>
      <c r="X121" s="48"/>
      <c r="Y121" s="48"/>
      <c r="Z121" s="48"/>
      <c r="AA121" s="48"/>
      <c r="AB121" s="48"/>
      <c r="AE121" s="48"/>
    </row>
    <row r="122" spans="1:31" ht="15" customHeight="1" x14ac:dyDescent="0.15">
      <c r="B122" s="44" t="s">
        <v>16</v>
      </c>
      <c r="C122" s="44"/>
      <c r="D122" s="44"/>
      <c r="E122" s="68">
        <v>0.55000000000000004</v>
      </c>
      <c r="F122" s="68">
        <v>1.08</v>
      </c>
      <c r="G122" s="68">
        <v>1.47</v>
      </c>
      <c r="H122" s="68">
        <v>1.77</v>
      </c>
      <c r="I122" s="68">
        <v>2.34</v>
      </c>
      <c r="J122" s="68">
        <v>1.82</v>
      </c>
      <c r="K122" s="69"/>
      <c r="L122" s="69"/>
      <c r="M122" s="69"/>
      <c r="N122" s="69"/>
      <c r="O122" s="69"/>
      <c r="Q122" s="44"/>
      <c r="R122" s="48"/>
      <c r="S122" s="48"/>
      <c r="T122" s="48"/>
      <c r="U122" s="48"/>
      <c r="V122" s="48"/>
      <c r="W122" s="48"/>
      <c r="X122" s="48"/>
      <c r="Y122" s="48"/>
      <c r="Z122" s="48"/>
      <c r="AA122" s="48"/>
      <c r="AB122" s="48"/>
      <c r="AE122" s="48"/>
    </row>
    <row r="123" spans="1:31" ht="15" customHeight="1" x14ac:dyDescent="0.15">
      <c r="B123" s="44" t="s">
        <v>17</v>
      </c>
      <c r="C123" s="44"/>
      <c r="D123" s="44"/>
      <c r="E123" s="68">
        <v>0.5</v>
      </c>
      <c r="F123" s="68">
        <v>1.01</v>
      </c>
      <c r="G123" s="68">
        <v>1.37</v>
      </c>
      <c r="H123" s="68">
        <v>1.68</v>
      </c>
      <c r="I123" s="68">
        <v>2.25</v>
      </c>
      <c r="J123" s="68">
        <v>1.77</v>
      </c>
      <c r="K123" s="69"/>
      <c r="L123" s="69"/>
      <c r="M123" s="69"/>
      <c r="N123" s="69"/>
      <c r="O123" s="69"/>
      <c r="Q123" s="44"/>
      <c r="R123" s="48"/>
      <c r="S123" s="48"/>
      <c r="T123" s="48"/>
      <c r="U123" s="48"/>
      <c r="V123" s="48"/>
      <c r="W123" s="48"/>
      <c r="X123" s="48"/>
      <c r="Y123" s="48"/>
      <c r="Z123" s="48"/>
      <c r="AA123" s="48"/>
      <c r="AB123" s="48"/>
      <c r="AE123" s="48"/>
    </row>
    <row r="124" spans="1:31" ht="15" customHeight="1" x14ac:dyDescent="0.15">
      <c r="B124" s="42" t="s">
        <v>18</v>
      </c>
      <c r="C124" s="42"/>
      <c r="D124" s="42"/>
      <c r="E124" s="71"/>
      <c r="F124" s="71"/>
      <c r="G124" s="71"/>
      <c r="H124" s="71"/>
      <c r="I124" s="71"/>
      <c r="J124" s="71"/>
      <c r="K124" s="69"/>
      <c r="L124" s="69"/>
      <c r="M124" s="69"/>
      <c r="N124" s="69"/>
      <c r="O124" s="69"/>
      <c r="Q124" s="42"/>
      <c r="R124" s="48"/>
      <c r="S124" s="48"/>
      <c r="T124" s="48"/>
      <c r="U124" s="48"/>
      <c r="V124" s="48"/>
      <c r="W124" s="48"/>
      <c r="X124" s="48"/>
      <c r="Y124" s="48"/>
      <c r="Z124" s="48"/>
      <c r="AA124" s="48"/>
      <c r="AB124" s="48"/>
      <c r="AE124" s="48"/>
    </row>
    <row r="125" spans="1:31" ht="15" customHeight="1" x14ac:dyDescent="0.15">
      <c r="B125" s="44" t="s">
        <v>16</v>
      </c>
      <c r="C125" s="44"/>
      <c r="D125" s="44"/>
      <c r="E125" s="68">
        <v>35.247002000000002</v>
      </c>
      <c r="F125" s="68">
        <v>37.443001000000002</v>
      </c>
      <c r="G125" s="68">
        <v>38.875999</v>
      </c>
      <c r="H125" s="68">
        <v>39.075001</v>
      </c>
      <c r="I125" s="68">
        <v>39.167000000000002</v>
      </c>
      <c r="J125" s="68">
        <v>39.029998999999997</v>
      </c>
      <c r="K125" s="69"/>
      <c r="L125" s="69"/>
      <c r="M125" s="69"/>
      <c r="N125" s="69"/>
      <c r="O125" s="69"/>
      <c r="Q125" s="44"/>
      <c r="R125" s="48"/>
      <c r="S125" s="48"/>
      <c r="T125" s="48"/>
      <c r="U125" s="48"/>
      <c r="V125" s="48"/>
      <c r="W125" s="48"/>
      <c r="X125" s="48"/>
      <c r="Y125" s="48"/>
      <c r="Z125" s="48"/>
      <c r="AA125" s="48"/>
      <c r="AB125" s="48"/>
      <c r="AE125" s="48"/>
    </row>
    <row r="126" spans="1:31" ht="15" customHeight="1" x14ac:dyDescent="0.15">
      <c r="B126" s="44" t="s">
        <v>17</v>
      </c>
      <c r="C126" s="44"/>
      <c r="D126" s="44"/>
      <c r="E126" s="68">
        <v>38.368999000000002</v>
      </c>
      <c r="F126" s="68">
        <v>40.070999</v>
      </c>
      <c r="G126" s="68">
        <v>41.896999000000001</v>
      </c>
      <c r="H126" s="68">
        <v>41.283999999999999</v>
      </c>
      <c r="I126" s="68">
        <v>40.740001999999997</v>
      </c>
      <c r="J126" s="68">
        <v>40.118000000000002</v>
      </c>
      <c r="K126" s="69"/>
      <c r="L126" s="69"/>
      <c r="M126" s="69"/>
      <c r="N126" s="69"/>
      <c r="O126" s="69"/>
      <c r="Q126" s="44"/>
      <c r="R126" s="48"/>
      <c r="S126" s="48"/>
      <c r="T126" s="48"/>
      <c r="U126" s="48"/>
      <c r="V126" s="48"/>
      <c r="W126" s="48"/>
      <c r="X126" s="48"/>
      <c r="Y126" s="48"/>
      <c r="Z126" s="48"/>
      <c r="AA126" s="48"/>
      <c r="AB126" s="48"/>
      <c r="AE126" s="48"/>
    </row>
    <row r="127" spans="1:31" ht="15" customHeight="1" x14ac:dyDescent="0.15">
      <c r="B127" s="46"/>
      <c r="C127" s="46"/>
      <c r="D127" s="46"/>
      <c r="E127" s="72"/>
      <c r="F127" s="72"/>
      <c r="G127" s="72"/>
      <c r="H127" s="72"/>
      <c r="I127" s="72"/>
      <c r="J127" s="72"/>
      <c r="K127" s="72"/>
      <c r="L127" s="72"/>
      <c r="M127" s="72"/>
      <c r="N127" s="72"/>
      <c r="O127" s="72"/>
      <c r="AE127" s="48"/>
    </row>
    <row r="128" spans="1:31" ht="15" customHeight="1" x14ac:dyDescent="0.2">
      <c r="B128" s="47" t="s">
        <v>88</v>
      </c>
      <c r="C128" s="47"/>
      <c r="D128" s="47"/>
      <c r="E128" s="64">
        <v>2016</v>
      </c>
      <c r="F128" s="64">
        <v>2017</v>
      </c>
      <c r="G128" s="64">
        <v>2018</v>
      </c>
      <c r="H128" s="64">
        <v>2019</v>
      </c>
      <c r="I128" s="64">
        <v>2020</v>
      </c>
      <c r="J128" s="64">
        <v>2021</v>
      </c>
      <c r="K128" s="65">
        <v>2022</v>
      </c>
      <c r="L128" s="65">
        <v>2023</v>
      </c>
      <c r="M128" s="65">
        <v>2024</v>
      </c>
      <c r="N128" s="65">
        <v>2025</v>
      </c>
      <c r="O128" s="65">
        <v>2026</v>
      </c>
      <c r="Q128" s="108" t="s">
        <v>128</v>
      </c>
      <c r="R128" s="108"/>
      <c r="S128" s="108"/>
      <c r="T128" s="64">
        <v>2016</v>
      </c>
      <c r="U128" s="64">
        <v>2017</v>
      </c>
      <c r="V128" s="64">
        <v>2018</v>
      </c>
      <c r="W128" s="64">
        <v>2019</v>
      </c>
      <c r="X128" s="64">
        <v>2020</v>
      </c>
      <c r="Y128" s="64">
        <v>2021</v>
      </c>
      <c r="Z128" s="65">
        <v>2022</v>
      </c>
      <c r="AA128" s="65">
        <v>2023</v>
      </c>
      <c r="AB128" s="65">
        <v>2024</v>
      </c>
      <c r="AC128" s="65">
        <v>2025</v>
      </c>
      <c r="AD128" s="65">
        <v>2026</v>
      </c>
      <c r="AE128" s="49" t="s">
        <v>45</v>
      </c>
    </row>
    <row r="129" spans="2:37" ht="15" customHeight="1" x14ac:dyDescent="0.15">
      <c r="B129" s="42" t="s">
        <v>47</v>
      </c>
      <c r="C129" s="42"/>
      <c r="D129" s="42"/>
      <c r="E129" s="122">
        <v>407.00399800000002</v>
      </c>
      <c r="F129" s="122">
        <v>537.52502400000003</v>
      </c>
      <c r="G129" s="122">
        <v>585.67999299999997</v>
      </c>
      <c r="H129" s="122">
        <v>675.60797100000002</v>
      </c>
      <c r="I129" s="122">
        <v>736.81897000000004</v>
      </c>
      <c r="J129" s="122">
        <v>814.55902100000003</v>
      </c>
      <c r="K129" s="72"/>
      <c r="Q129" s="60" t="s">
        <v>129</v>
      </c>
    </row>
    <row r="130" spans="2:37" ht="15" customHeight="1" x14ac:dyDescent="0.15">
      <c r="B130" s="52" t="s">
        <v>48</v>
      </c>
      <c r="C130" s="52"/>
      <c r="D130" s="52"/>
      <c r="E130" s="122">
        <v>300.68798800000002</v>
      </c>
      <c r="F130" s="122">
        <v>369.35000600000001</v>
      </c>
      <c r="G130" s="122">
        <v>378.96499599999999</v>
      </c>
      <c r="H130" s="122">
        <v>395.61599699999999</v>
      </c>
      <c r="I130" s="122">
        <v>475.34500100000002</v>
      </c>
      <c r="J130" s="122">
        <v>546.39801</v>
      </c>
      <c r="K130" s="72"/>
      <c r="Q130" s="1" t="s">
        <v>131</v>
      </c>
      <c r="T130" s="1">
        <v>31.65</v>
      </c>
      <c r="U130" s="1">
        <v>59.53</v>
      </c>
      <c r="V130" s="1">
        <v>74.739999999999995</v>
      </c>
      <c r="W130" s="1">
        <v>83.37</v>
      </c>
      <c r="X130" s="1">
        <v>121.87</v>
      </c>
      <c r="Y130" s="1">
        <v>137.22</v>
      </c>
      <c r="AH130" s="43"/>
      <c r="AI130" s="43"/>
      <c r="AJ130" s="43"/>
      <c r="AK130" s="43"/>
    </row>
    <row r="131" spans="2:37" ht="15" customHeight="1" x14ac:dyDescent="0.15">
      <c r="B131" s="54" t="s">
        <v>49</v>
      </c>
      <c r="C131" s="54"/>
      <c r="D131" s="54"/>
      <c r="E131" s="125">
        <v>86.736999999999995</v>
      </c>
      <c r="F131" s="125">
        <v>86.591003000000001</v>
      </c>
      <c r="G131" s="125">
        <v>41.026001000000001</v>
      </c>
      <c r="H131" s="125">
        <v>87.558998000000003</v>
      </c>
      <c r="I131" s="125">
        <v>74.132003999999995</v>
      </c>
      <c r="J131" s="125">
        <v>137.328003</v>
      </c>
      <c r="K131" s="72"/>
      <c r="Q131" s="1" t="s">
        <v>130</v>
      </c>
      <c r="T131" s="48">
        <f>(E125*T130+E153+E155-E131)/E29</f>
        <v>12.778123020128309</v>
      </c>
      <c r="U131" s="48">
        <f>(F125*U130+F153+F155-F131)/F29</f>
        <v>20.100492256159388</v>
      </c>
      <c r="V131" s="48">
        <f>(G125*V130+G153+G155-G131)/G29</f>
        <v>23.1708535292512</v>
      </c>
      <c r="W131" s="48">
        <f>(H125*W130+H153+H155-H131)/H29</f>
        <v>18.813002160510145</v>
      </c>
      <c r="X131" s="48">
        <f>(I125*X130+I153+I155-I131)/I29</f>
        <v>24.961938860513428</v>
      </c>
      <c r="Y131" s="48">
        <f>(J125*Y130+J153+J155-J131)/J29</f>
        <v>24.043908297922542</v>
      </c>
      <c r="AE131" s="48">
        <f>AVERAGE(T131:Y131)</f>
        <v>20.64471968741417</v>
      </c>
      <c r="AH131" s="51"/>
      <c r="AI131" s="51"/>
      <c r="AJ131" s="51"/>
      <c r="AK131" s="51"/>
    </row>
    <row r="132" spans="2:37" ht="15" customHeight="1" x14ac:dyDescent="0.15">
      <c r="B132" s="54" t="s">
        <v>50</v>
      </c>
      <c r="C132" s="54"/>
      <c r="D132" s="54"/>
      <c r="E132" s="125">
        <v>157.11900299999999</v>
      </c>
      <c r="F132" s="125">
        <v>201.82299800000001</v>
      </c>
      <c r="G132" s="125">
        <v>248.13999899999999</v>
      </c>
      <c r="H132" s="125">
        <v>211.330994</v>
      </c>
      <c r="I132" s="125">
        <v>281.891998</v>
      </c>
      <c r="J132" s="125">
        <v>267.959991</v>
      </c>
      <c r="K132" s="72"/>
      <c r="AH132" s="53"/>
      <c r="AI132" s="53"/>
      <c r="AJ132" s="53"/>
      <c r="AK132" s="53"/>
    </row>
    <row r="133" spans="2:37" ht="15" customHeight="1" x14ac:dyDescent="0.15">
      <c r="B133" s="54" t="s">
        <v>51</v>
      </c>
      <c r="C133" s="54"/>
      <c r="D133" s="54"/>
      <c r="E133" s="125">
        <v>47.023997999999999</v>
      </c>
      <c r="F133" s="125">
        <v>64.412002999999999</v>
      </c>
      <c r="G133" s="125">
        <v>75.824996999999996</v>
      </c>
      <c r="H133" s="125">
        <v>78.033996999999999</v>
      </c>
      <c r="I133" s="125">
        <v>100.179001</v>
      </c>
      <c r="J133" s="125">
        <v>108.998001</v>
      </c>
      <c r="K133" s="72"/>
      <c r="AH133" s="51"/>
      <c r="AI133" s="51"/>
      <c r="AJ133" s="51"/>
      <c r="AK133" s="51"/>
    </row>
    <row r="134" spans="2:37" ht="15" customHeight="1" x14ac:dyDescent="0.15">
      <c r="B134" s="56" t="s">
        <v>52</v>
      </c>
      <c r="C134" s="56"/>
      <c r="D134" s="56"/>
      <c r="E134" s="122">
        <v>9.8079999999999998</v>
      </c>
      <c r="F134" s="122">
        <v>16.524000000000001</v>
      </c>
      <c r="G134" s="122">
        <v>13.974</v>
      </c>
      <c r="H134" s="122">
        <v>18.691998999999999</v>
      </c>
      <c r="I134" s="122">
        <v>19.141999999999999</v>
      </c>
      <c r="J134" s="122">
        <v>32.112000000000002</v>
      </c>
      <c r="K134" s="72"/>
      <c r="S134" s="43"/>
      <c r="T134" s="43"/>
      <c r="U134" s="43"/>
      <c r="V134" s="43"/>
      <c r="W134" s="43"/>
      <c r="X134" s="43"/>
      <c r="AH134" s="55"/>
      <c r="AI134" s="55"/>
      <c r="AJ134" s="55"/>
      <c r="AK134" s="55"/>
    </row>
    <row r="135" spans="2:37" ht="15" customHeight="1" x14ac:dyDescent="0.15">
      <c r="B135" s="57" t="s">
        <v>53</v>
      </c>
      <c r="C135" s="57"/>
      <c r="D135" s="57"/>
      <c r="E135" s="130"/>
      <c r="F135" s="130"/>
      <c r="G135" s="130"/>
      <c r="H135" s="130"/>
      <c r="I135" s="130"/>
      <c r="J135" s="130"/>
      <c r="K135" s="72"/>
      <c r="S135" s="51"/>
      <c r="T135" s="51"/>
      <c r="U135" s="51"/>
      <c r="V135" s="51"/>
      <c r="W135" s="51"/>
      <c r="X135" s="51"/>
      <c r="AH135" s="51"/>
      <c r="AI135" s="51"/>
      <c r="AJ135" s="51"/>
      <c r="AK135" s="51"/>
    </row>
    <row r="136" spans="2:37" ht="15" customHeight="1" x14ac:dyDescent="0.15">
      <c r="B136" s="57" t="s">
        <v>54</v>
      </c>
      <c r="C136" s="57"/>
      <c r="D136" s="57"/>
      <c r="E136" s="130"/>
      <c r="F136" s="130"/>
      <c r="G136" s="130"/>
      <c r="H136" s="130"/>
      <c r="I136" s="130"/>
      <c r="J136" s="130"/>
      <c r="K136" s="72"/>
      <c r="S136" s="53"/>
      <c r="T136" s="53"/>
      <c r="U136" s="53"/>
      <c r="V136" s="53"/>
      <c r="W136" s="53"/>
      <c r="X136" s="53"/>
      <c r="AH136" s="51"/>
      <c r="AI136" s="51"/>
      <c r="AJ136" s="51"/>
      <c r="AK136" s="51"/>
    </row>
    <row r="137" spans="2:37" ht="15" customHeight="1" x14ac:dyDescent="0.15">
      <c r="B137" s="50" t="s">
        <v>55</v>
      </c>
      <c r="C137" s="50"/>
      <c r="D137" s="50"/>
      <c r="E137" s="130"/>
      <c r="F137" s="125">
        <v>67.223999000000006</v>
      </c>
      <c r="G137" s="125">
        <v>76.709998999999996</v>
      </c>
      <c r="H137" s="125">
        <v>119.508003</v>
      </c>
      <c r="I137" s="125">
        <v>98.457999999999998</v>
      </c>
      <c r="J137" s="125">
        <v>111.197998</v>
      </c>
      <c r="K137" s="72"/>
      <c r="S137" s="51"/>
      <c r="T137" s="51"/>
      <c r="U137" s="51"/>
      <c r="V137" s="51"/>
      <c r="W137" s="51"/>
      <c r="X137" s="51"/>
      <c r="AH137" s="51"/>
      <c r="AI137" s="51"/>
      <c r="AJ137" s="51"/>
      <c r="AK137" s="51"/>
    </row>
    <row r="138" spans="2:37" ht="15" customHeight="1" x14ac:dyDescent="0.15">
      <c r="B138" s="50" t="s">
        <v>56</v>
      </c>
      <c r="C138" s="50"/>
      <c r="D138" s="50"/>
      <c r="E138" s="125">
        <v>39.401001000000001</v>
      </c>
      <c r="F138" s="125">
        <v>58.556998999999998</v>
      </c>
      <c r="G138" s="125">
        <v>61.442000999999998</v>
      </c>
      <c r="H138" s="125">
        <v>60.578999000000003</v>
      </c>
      <c r="I138" s="125">
        <v>64.849997999999999</v>
      </c>
      <c r="J138" s="125">
        <v>61.853999999999999</v>
      </c>
      <c r="K138" s="72"/>
      <c r="S138" s="51"/>
      <c r="T138" s="51"/>
      <c r="U138" s="51"/>
      <c r="V138" s="55"/>
      <c r="W138" s="55"/>
      <c r="X138" s="55"/>
      <c r="AH138" s="55"/>
      <c r="AI138" s="55"/>
      <c r="AJ138" s="55"/>
      <c r="AK138" s="51"/>
    </row>
    <row r="139" spans="2:37" ht="15" customHeight="1" x14ac:dyDescent="0.15">
      <c r="B139" s="50" t="s">
        <v>57</v>
      </c>
      <c r="C139" s="50"/>
      <c r="D139" s="50"/>
      <c r="E139" s="130"/>
      <c r="F139" s="130"/>
      <c r="G139" s="125">
        <v>0</v>
      </c>
      <c r="H139" s="125">
        <v>40.550998999999997</v>
      </c>
      <c r="I139" s="125">
        <v>44.838000999999998</v>
      </c>
      <c r="J139" s="125">
        <v>37.015999000000001</v>
      </c>
      <c r="K139" s="72"/>
      <c r="S139" s="51"/>
      <c r="T139" s="51"/>
      <c r="U139" s="51"/>
      <c r="V139" s="51"/>
      <c r="W139" s="51"/>
      <c r="X139" s="51"/>
      <c r="AH139" s="51"/>
      <c r="AI139" s="51"/>
      <c r="AJ139" s="51"/>
      <c r="AK139" s="51"/>
    </row>
    <row r="140" spans="2:37" ht="15" customHeight="1" x14ac:dyDescent="0.15">
      <c r="B140" s="50" t="s">
        <v>58</v>
      </c>
      <c r="C140" s="50"/>
      <c r="D140" s="50"/>
      <c r="E140" s="125">
        <v>16.59</v>
      </c>
      <c r="F140" s="125">
        <v>25.065999999999999</v>
      </c>
      <c r="G140" s="125">
        <v>26.386998999999999</v>
      </c>
      <c r="H140" s="125">
        <v>18.829999999999998</v>
      </c>
      <c r="I140" s="125">
        <v>15.811</v>
      </c>
      <c r="J140" s="125">
        <v>25.087</v>
      </c>
      <c r="K140" s="72"/>
      <c r="S140" s="51"/>
      <c r="T140" s="51"/>
      <c r="U140" s="51"/>
      <c r="V140" s="51"/>
      <c r="W140" s="51"/>
      <c r="X140" s="51"/>
      <c r="AH140" s="41"/>
      <c r="AI140" s="41"/>
      <c r="AJ140" s="41"/>
      <c r="AK140" s="51"/>
    </row>
    <row r="141" spans="2:37" ht="15" customHeight="1" x14ac:dyDescent="0.15">
      <c r="B141" s="50" t="s">
        <v>59</v>
      </c>
      <c r="C141" s="50"/>
      <c r="D141" s="50"/>
      <c r="E141" s="125">
        <v>0.98699999999999999</v>
      </c>
      <c r="F141" s="125">
        <v>12.401</v>
      </c>
      <c r="G141" s="125">
        <v>21.975999999999999</v>
      </c>
      <c r="H141" s="125">
        <v>16.795000000000002</v>
      </c>
      <c r="I141" s="125">
        <v>12.006</v>
      </c>
      <c r="J141" s="125">
        <v>6.5449999999999999</v>
      </c>
      <c r="K141" s="72"/>
      <c r="S141" s="51"/>
      <c r="T141" s="51"/>
      <c r="U141" s="51"/>
      <c r="V141" s="51"/>
      <c r="W141" s="51"/>
      <c r="X141" s="51"/>
      <c r="AH141" s="51"/>
      <c r="AI141" s="41"/>
      <c r="AJ141" s="41"/>
      <c r="AK141" s="51"/>
    </row>
    <row r="142" spans="2:37" ht="15" customHeight="1" x14ac:dyDescent="0.15">
      <c r="B142" s="50" t="s">
        <v>60</v>
      </c>
      <c r="C142" s="50"/>
      <c r="D142" s="50"/>
      <c r="E142" s="125">
        <v>0.317</v>
      </c>
      <c r="F142" s="125">
        <v>1.5489999999999999</v>
      </c>
      <c r="G142" s="125">
        <v>7.2249999999999996</v>
      </c>
      <c r="H142" s="125">
        <v>7.4470000000000001</v>
      </c>
      <c r="I142" s="125">
        <v>7.4470000000000001</v>
      </c>
      <c r="J142" s="125">
        <v>7.4470000000000001</v>
      </c>
      <c r="K142" s="72"/>
      <c r="S142" s="55"/>
      <c r="T142" s="55"/>
      <c r="U142" s="55"/>
      <c r="V142" s="55"/>
      <c r="W142" s="55"/>
      <c r="X142" s="55"/>
      <c r="AH142" s="51"/>
      <c r="AI142" s="51"/>
      <c r="AJ142" s="51"/>
      <c r="AK142" s="55"/>
    </row>
    <row r="143" spans="2:37" ht="15" customHeight="1" x14ac:dyDescent="0.15">
      <c r="B143" s="50" t="s">
        <v>61</v>
      </c>
      <c r="C143" s="50"/>
      <c r="D143" s="50"/>
      <c r="E143" s="125">
        <v>1.2</v>
      </c>
      <c r="F143" s="125">
        <v>1.2</v>
      </c>
      <c r="G143" s="125">
        <v>1.2</v>
      </c>
      <c r="H143" s="125">
        <v>1.2</v>
      </c>
      <c r="I143" s="125">
        <v>1.2</v>
      </c>
      <c r="J143" s="125">
        <v>1.2</v>
      </c>
      <c r="K143" s="72"/>
      <c r="S143" s="51"/>
      <c r="T143" s="51"/>
      <c r="U143" s="41"/>
      <c r="V143" s="41"/>
      <c r="W143" s="51"/>
      <c r="X143" s="51"/>
      <c r="AH143" s="55"/>
      <c r="AI143" s="55"/>
      <c r="AJ143" s="55"/>
      <c r="AK143" s="55"/>
    </row>
    <row r="144" spans="2:37" ht="15" customHeight="1" x14ac:dyDescent="0.15">
      <c r="B144" s="52" t="s">
        <v>62</v>
      </c>
      <c r="C144" s="52"/>
      <c r="D144" s="52"/>
      <c r="E144" s="127">
        <v>47.820999</v>
      </c>
      <c r="F144" s="127">
        <v>2.1779999999999999</v>
      </c>
      <c r="G144" s="122">
        <v>11.775</v>
      </c>
      <c r="H144" s="122">
        <v>15.082000000000001</v>
      </c>
      <c r="I144" s="122">
        <v>16.864000000000001</v>
      </c>
      <c r="J144" s="122">
        <v>17.813998999999999</v>
      </c>
      <c r="K144" s="72"/>
      <c r="S144" s="55"/>
      <c r="T144" s="55"/>
      <c r="U144" s="55"/>
      <c r="V144" s="55"/>
      <c r="W144" s="55"/>
      <c r="X144" s="41"/>
      <c r="AH144" s="53"/>
      <c r="AI144" s="53"/>
      <c r="AJ144" s="53"/>
      <c r="AK144" s="53"/>
    </row>
    <row r="145" spans="2:46" ht="15" customHeight="1" x14ac:dyDescent="0.15">
      <c r="B145" s="54" t="s">
        <v>63</v>
      </c>
      <c r="C145" s="54"/>
      <c r="D145" s="54"/>
      <c r="E145" s="125">
        <v>2.0960000000000001</v>
      </c>
      <c r="F145" s="125">
        <v>2.1779999999999999</v>
      </c>
      <c r="G145" s="130"/>
      <c r="H145" s="130"/>
      <c r="I145" s="130"/>
      <c r="J145" s="130"/>
      <c r="K145" s="72"/>
      <c r="S145" s="41"/>
      <c r="T145" s="51"/>
      <c r="U145" s="51"/>
      <c r="V145" s="41"/>
      <c r="W145" s="41"/>
      <c r="X145" s="41"/>
    </row>
    <row r="146" spans="2:46" ht="15" customHeight="1" x14ac:dyDescent="0.15">
      <c r="B146" s="54" t="s">
        <v>64</v>
      </c>
      <c r="C146" s="54"/>
      <c r="D146" s="54"/>
      <c r="E146" s="125">
        <v>45.724997999999999</v>
      </c>
      <c r="F146" s="125">
        <v>0</v>
      </c>
      <c r="G146" s="130"/>
      <c r="H146" s="130"/>
      <c r="I146" s="130"/>
      <c r="J146" s="130"/>
      <c r="K146" s="72"/>
      <c r="S146" s="55"/>
      <c r="T146" s="55"/>
      <c r="U146" s="55"/>
      <c r="V146" s="55"/>
      <c r="W146" s="55"/>
      <c r="X146" s="55"/>
    </row>
    <row r="147" spans="2:46" ht="15" customHeight="1" x14ac:dyDescent="0.15">
      <c r="B147" s="42" t="s">
        <v>65</v>
      </c>
      <c r="C147" s="42"/>
      <c r="D147" s="42"/>
      <c r="E147" s="122">
        <v>407.00399800000002</v>
      </c>
      <c r="F147" s="122">
        <v>537.52502400000003</v>
      </c>
      <c r="G147" s="122">
        <v>585.67999299999997</v>
      </c>
      <c r="H147" s="122">
        <v>675.60797100000002</v>
      </c>
      <c r="I147" s="122">
        <v>736.81897000000004</v>
      </c>
      <c r="J147" s="122">
        <v>814.55902100000003</v>
      </c>
      <c r="K147" s="72"/>
      <c r="S147" s="55"/>
      <c r="T147" s="55"/>
      <c r="U147" s="55"/>
      <c r="V147" s="55"/>
      <c r="W147" s="55"/>
      <c r="X147" s="55"/>
    </row>
    <row r="148" spans="2:46" ht="15" customHeight="1" x14ac:dyDescent="0.15">
      <c r="B148" s="52" t="s">
        <v>66</v>
      </c>
      <c r="C148" s="52"/>
      <c r="D148" s="52"/>
      <c r="E148" s="122">
        <v>148.591003</v>
      </c>
      <c r="F148" s="122">
        <v>193.98100299999999</v>
      </c>
      <c r="G148" s="122">
        <v>227.69101000000001</v>
      </c>
      <c r="H148" s="122">
        <v>288.80499300000002</v>
      </c>
      <c r="I148" s="122">
        <v>332.33700599999997</v>
      </c>
      <c r="J148" s="122">
        <v>377.84500100000002</v>
      </c>
      <c r="K148" s="72"/>
      <c r="S148" s="53"/>
      <c r="T148" s="53"/>
      <c r="U148" s="53"/>
      <c r="V148" s="53"/>
      <c r="W148" s="53"/>
      <c r="X148" s="53"/>
    </row>
    <row r="149" spans="2:46" ht="15" customHeight="1" x14ac:dyDescent="0.15">
      <c r="B149" s="56" t="s">
        <v>67</v>
      </c>
      <c r="C149" s="56"/>
      <c r="D149" s="56"/>
      <c r="E149" s="122">
        <v>130.33200099999999</v>
      </c>
      <c r="F149" s="122">
        <v>165.774002</v>
      </c>
      <c r="G149" s="122">
        <v>196.90701300000001</v>
      </c>
      <c r="H149" s="122">
        <v>223.466995</v>
      </c>
      <c r="I149" s="122">
        <v>255.729996</v>
      </c>
      <c r="J149" s="122">
        <v>304.27999899999998</v>
      </c>
      <c r="K149" s="72"/>
      <c r="S149" s="43"/>
      <c r="T149" s="43"/>
      <c r="U149" s="43"/>
      <c r="V149" s="43"/>
      <c r="W149" s="53"/>
      <c r="X149" s="53"/>
    </row>
    <row r="150" spans="2:46" ht="15" customHeight="1" x14ac:dyDescent="0.15">
      <c r="B150" s="57" t="s">
        <v>68</v>
      </c>
      <c r="C150" s="57"/>
      <c r="D150" s="57"/>
      <c r="E150" s="125">
        <v>2.0510000000000002</v>
      </c>
      <c r="F150" s="125">
        <v>1.1439999999999999</v>
      </c>
      <c r="G150" s="125">
        <v>5.5880000000000001</v>
      </c>
      <c r="H150" s="125">
        <v>0.84799999999999998</v>
      </c>
      <c r="I150" s="125">
        <v>0.73099999999999998</v>
      </c>
      <c r="J150" s="125">
        <v>1.296</v>
      </c>
      <c r="K150" s="72"/>
      <c r="S150" s="55"/>
      <c r="T150" s="55"/>
      <c r="U150" s="55"/>
      <c r="V150" s="55"/>
      <c r="W150" s="51"/>
      <c r="X150" s="51"/>
    </row>
    <row r="151" spans="2:46" ht="15" customHeight="1" x14ac:dyDescent="0.15">
      <c r="B151" s="57" t="s">
        <v>69</v>
      </c>
      <c r="C151" s="57"/>
      <c r="D151" s="57"/>
      <c r="E151" s="125">
        <v>13.317</v>
      </c>
      <c r="F151" s="125">
        <v>21.443999999999999</v>
      </c>
      <c r="G151" s="125">
        <v>26.695</v>
      </c>
      <c r="H151" s="125">
        <v>22.783999999999999</v>
      </c>
      <c r="I151" s="125">
        <v>29.832999999999998</v>
      </c>
      <c r="J151" s="125">
        <v>32.504002</v>
      </c>
      <c r="K151" s="72"/>
      <c r="S151" s="55"/>
      <c r="T151" s="55"/>
      <c r="U151" s="55"/>
      <c r="V151" s="55"/>
      <c r="W151" s="51"/>
      <c r="X151" s="51"/>
    </row>
    <row r="152" spans="2:46" ht="15" customHeight="1" x14ac:dyDescent="0.15">
      <c r="B152" s="57" t="s">
        <v>70</v>
      </c>
      <c r="C152" s="57"/>
      <c r="D152" s="57"/>
      <c r="E152" s="125">
        <v>114.96399700000001</v>
      </c>
      <c r="F152" s="125">
        <v>143.18600499999999</v>
      </c>
      <c r="G152" s="125">
        <v>164.62399300000001</v>
      </c>
      <c r="H152" s="125">
        <v>192.171997</v>
      </c>
      <c r="I152" s="125">
        <v>213.49400299999999</v>
      </c>
      <c r="J152" s="125">
        <v>257.87200899999999</v>
      </c>
      <c r="K152" s="72"/>
      <c r="S152" s="43"/>
      <c r="T152" s="43"/>
      <c r="U152" s="43"/>
      <c r="V152" s="43"/>
      <c r="W152" s="43"/>
      <c r="X152" s="43"/>
      <c r="AH152" s="38"/>
      <c r="AI152" s="38"/>
      <c r="AJ152" s="38"/>
      <c r="AK152" s="38"/>
    </row>
    <row r="153" spans="2:46" ht="15" customHeight="1" x14ac:dyDescent="0.15">
      <c r="B153" s="57" t="s">
        <v>71</v>
      </c>
      <c r="C153" s="57"/>
      <c r="D153" s="57"/>
      <c r="E153" s="130"/>
      <c r="F153" s="125">
        <v>0</v>
      </c>
      <c r="G153" s="125">
        <v>0</v>
      </c>
      <c r="H153" s="125">
        <v>7.6630000000000003</v>
      </c>
      <c r="I153" s="125">
        <v>11.672000000000001</v>
      </c>
      <c r="J153" s="125">
        <v>12.608000000000001</v>
      </c>
      <c r="K153" s="72"/>
      <c r="S153" s="43"/>
      <c r="T153" s="43"/>
      <c r="U153" s="43"/>
      <c r="V153" s="43"/>
      <c r="W153" s="43"/>
      <c r="X153" s="43"/>
      <c r="AH153" s="40"/>
      <c r="AI153" s="40"/>
      <c r="AJ153" s="40"/>
      <c r="AK153" s="40"/>
    </row>
    <row r="154" spans="2:46" ht="15" customHeight="1" x14ac:dyDescent="0.15">
      <c r="B154" s="54" t="s">
        <v>72</v>
      </c>
      <c r="C154" s="54"/>
      <c r="D154" s="54"/>
      <c r="E154" s="125">
        <v>15.528</v>
      </c>
      <c r="F154" s="125">
        <v>17.135999999999999</v>
      </c>
      <c r="G154" s="125">
        <v>20.422999999999998</v>
      </c>
      <c r="H154" s="125">
        <v>20.934999000000001</v>
      </c>
      <c r="I154" s="125">
        <v>30.540001</v>
      </c>
      <c r="J154" s="125">
        <v>32.752997999999998</v>
      </c>
      <c r="K154" s="72"/>
      <c r="S154" s="43"/>
      <c r="T154" s="43"/>
      <c r="U154" s="43"/>
      <c r="V154" s="43"/>
      <c r="W154" s="43"/>
      <c r="X154" s="43"/>
      <c r="AH154" s="41"/>
      <c r="AI154" s="41"/>
      <c r="AJ154" s="41"/>
      <c r="AK154" s="41"/>
    </row>
    <row r="155" spans="2:46" ht="15" customHeight="1" x14ac:dyDescent="0.15">
      <c r="B155" s="54" t="s">
        <v>73</v>
      </c>
      <c r="C155" s="54"/>
      <c r="D155" s="54"/>
      <c r="E155" s="130"/>
      <c r="F155" s="130"/>
      <c r="G155" s="125">
        <v>0</v>
      </c>
      <c r="H155" s="125">
        <v>44.014999000000003</v>
      </c>
      <c r="I155" s="125">
        <v>45.700001</v>
      </c>
      <c r="J155" s="125">
        <v>35.914000999999999</v>
      </c>
      <c r="K155" s="72"/>
      <c r="T155" s="43"/>
      <c r="U155" s="51"/>
      <c r="V155" s="53"/>
      <c r="W155" s="51"/>
      <c r="X155" s="55"/>
      <c r="Y155" s="51"/>
      <c r="Z155" s="51"/>
      <c r="AA155" s="51"/>
      <c r="AB155" s="55"/>
      <c r="AC155" s="51"/>
      <c r="AD155" s="41"/>
      <c r="AE155" s="41"/>
      <c r="AF155" s="55"/>
      <c r="AG155" s="55"/>
      <c r="AH155" s="53"/>
      <c r="AI155" s="40"/>
      <c r="AJ155" s="40"/>
      <c r="AK155" s="40"/>
    </row>
    <row r="156" spans="2:46" ht="15" customHeight="1" x14ac:dyDescent="0.15">
      <c r="B156" s="56" t="s">
        <v>74</v>
      </c>
      <c r="C156" s="56"/>
      <c r="D156" s="56"/>
      <c r="E156" s="122">
        <v>2.7309999999999999</v>
      </c>
      <c r="F156" s="122">
        <v>11.071</v>
      </c>
      <c r="G156" s="122">
        <v>10.361000000000001</v>
      </c>
      <c r="H156" s="122">
        <v>0.38800000000000001</v>
      </c>
      <c r="I156" s="122">
        <v>0.36699999999999999</v>
      </c>
      <c r="J156" s="122">
        <v>4.8979999999999997</v>
      </c>
      <c r="K156" s="72"/>
      <c r="T156" s="43"/>
      <c r="U156" s="51"/>
      <c r="V156" s="53"/>
      <c r="W156" s="51"/>
      <c r="X156" s="55"/>
      <c r="Y156" s="51"/>
      <c r="Z156" s="51"/>
      <c r="AA156" s="51"/>
      <c r="AB156" s="55"/>
      <c r="AC156" s="51"/>
      <c r="AD156" s="55"/>
      <c r="AE156" s="41"/>
      <c r="AF156" s="55"/>
      <c r="AG156" s="55"/>
      <c r="AH156" s="53"/>
      <c r="AI156" s="43"/>
      <c r="AJ156" s="43"/>
      <c r="AK156" s="43"/>
    </row>
    <row r="157" spans="2:46" ht="15" customHeight="1" x14ac:dyDescent="0.15">
      <c r="B157" s="57" t="s">
        <v>75</v>
      </c>
      <c r="C157" s="57"/>
      <c r="D157" s="57"/>
      <c r="E157" s="130"/>
      <c r="F157" s="130"/>
      <c r="G157" s="130"/>
      <c r="H157" s="130"/>
      <c r="I157" s="130"/>
      <c r="J157" s="130"/>
      <c r="K157" s="72"/>
      <c r="T157" s="43"/>
      <c r="U157" s="51"/>
      <c r="V157" s="53"/>
      <c r="W157" s="51"/>
      <c r="X157" s="55"/>
      <c r="Y157" s="51"/>
      <c r="Z157" s="51"/>
      <c r="AA157" s="51"/>
      <c r="AB157" s="55"/>
      <c r="AC157" s="41"/>
      <c r="AD157" s="55"/>
      <c r="AE157" s="41"/>
      <c r="AF157" s="55"/>
      <c r="AG157" s="55"/>
      <c r="AH157" s="53"/>
      <c r="AI157" s="41"/>
      <c r="AJ157" s="41"/>
      <c r="AK157" s="41"/>
    </row>
    <row r="158" spans="2:46" ht="15" customHeight="1" x14ac:dyDescent="0.15">
      <c r="B158" s="57" t="s">
        <v>76</v>
      </c>
      <c r="C158" s="57"/>
      <c r="D158" s="57"/>
      <c r="E158" s="130"/>
      <c r="F158" s="130"/>
      <c r="G158" s="130"/>
      <c r="H158" s="130"/>
      <c r="I158" s="130"/>
      <c r="J158" s="130"/>
      <c r="K158" s="72"/>
      <c r="T158" s="43"/>
      <c r="U158" s="51"/>
      <c r="V158" s="53"/>
      <c r="W158" s="51"/>
      <c r="X158" s="51"/>
      <c r="Y158" s="51"/>
      <c r="Z158" s="51"/>
      <c r="AA158" s="51"/>
      <c r="AB158" s="55"/>
      <c r="AC158" s="41"/>
      <c r="AD158" s="55"/>
      <c r="AE158" s="51"/>
      <c r="AF158" s="55"/>
      <c r="AG158" s="55"/>
      <c r="AH158" s="53"/>
      <c r="AI158" s="41"/>
      <c r="AJ158" s="41"/>
      <c r="AK158" s="41"/>
    </row>
    <row r="159" spans="2:46" ht="15" customHeight="1" x14ac:dyDescent="0.15">
      <c r="B159" s="54" t="s">
        <v>77</v>
      </c>
      <c r="C159" s="54"/>
      <c r="D159" s="54"/>
      <c r="E159" s="130"/>
      <c r="F159" s="130"/>
      <c r="G159" s="130"/>
      <c r="H159" s="130"/>
      <c r="I159" s="130"/>
      <c r="J159" s="130"/>
      <c r="K159" s="72"/>
      <c r="T159" s="43"/>
      <c r="U159" s="51"/>
      <c r="V159" s="53"/>
      <c r="W159" s="51"/>
      <c r="X159" s="51"/>
      <c r="Y159" s="51"/>
      <c r="Z159" s="51"/>
      <c r="AA159" s="51"/>
      <c r="AB159" s="55"/>
      <c r="AC159" s="51"/>
      <c r="AD159" s="55"/>
      <c r="AE159" s="51"/>
      <c r="AF159" s="55"/>
      <c r="AG159" s="55"/>
      <c r="AH159" s="53"/>
      <c r="AI159" s="41"/>
      <c r="AJ159" s="41"/>
      <c r="AK159" s="41"/>
      <c r="AQ159" s="43"/>
      <c r="AR159" s="43"/>
      <c r="AS159" s="43"/>
      <c r="AT159" s="43"/>
    </row>
    <row r="160" spans="2:46" ht="15" customHeight="1" x14ac:dyDescent="0.15">
      <c r="B160" s="52" t="s">
        <v>78</v>
      </c>
      <c r="C160" s="52"/>
      <c r="D160" s="52"/>
      <c r="E160" s="123"/>
      <c r="F160" s="123"/>
      <c r="G160" s="123"/>
      <c r="H160" s="123"/>
      <c r="I160" s="123"/>
      <c r="J160" s="123"/>
      <c r="K160" s="72"/>
      <c r="T160" s="43"/>
      <c r="U160" s="51"/>
      <c r="V160" s="53"/>
      <c r="W160" s="51"/>
      <c r="X160" s="51"/>
      <c r="Y160" s="51"/>
      <c r="Z160" s="51"/>
      <c r="AA160" s="51"/>
      <c r="AB160" s="55"/>
      <c r="AC160" s="51"/>
      <c r="AD160" s="55"/>
      <c r="AE160" s="41"/>
      <c r="AF160" s="55"/>
      <c r="AG160" s="55"/>
      <c r="AH160" s="53"/>
      <c r="AI160" s="40"/>
      <c r="AJ160" s="40"/>
      <c r="AK160" s="40"/>
      <c r="AQ160" s="43"/>
      <c r="AR160" s="43"/>
      <c r="AS160" s="43"/>
      <c r="AT160" s="43"/>
    </row>
    <row r="161" spans="2:46" ht="15" customHeight="1" x14ac:dyDescent="0.15">
      <c r="B161" s="54" t="s">
        <v>79</v>
      </c>
      <c r="C161" s="54"/>
      <c r="D161" s="54"/>
      <c r="E161" s="130"/>
      <c r="F161" s="130"/>
      <c r="G161" s="130"/>
      <c r="H161" s="130"/>
      <c r="I161" s="130"/>
      <c r="J161" s="130"/>
      <c r="K161" s="72"/>
      <c r="S161" s="43"/>
      <c r="T161" s="43"/>
      <c r="U161" s="43"/>
      <c r="V161" s="43"/>
      <c r="W161" s="43"/>
      <c r="X161" s="43"/>
      <c r="AH161" s="43"/>
      <c r="AI161" s="43"/>
      <c r="AJ161" s="43"/>
      <c r="AK161" s="43"/>
      <c r="AQ161" s="51"/>
      <c r="AR161" s="51"/>
      <c r="AS161" s="51"/>
      <c r="AT161" s="51"/>
    </row>
    <row r="162" spans="2:46" ht="15" customHeight="1" x14ac:dyDescent="0.15">
      <c r="B162" s="54" t="s">
        <v>80</v>
      </c>
      <c r="C162" s="54"/>
      <c r="D162" s="54"/>
      <c r="E162" s="130"/>
      <c r="F162" s="130"/>
      <c r="G162" s="130"/>
      <c r="H162" s="130"/>
      <c r="I162" s="130"/>
      <c r="J162" s="130"/>
      <c r="K162" s="72"/>
      <c r="S162" s="55"/>
      <c r="T162" s="55"/>
      <c r="U162" s="55"/>
      <c r="V162" s="55"/>
      <c r="W162" s="55"/>
      <c r="X162" s="55"/>
      <c r="AH162" s="41"/>
      <c r="AI162" s="41"/>
      <c r="AJ162" s="41"/>
      <c r="AK162" s="41"/>
      <c r="AQ162" s="51"/>
      <c r="AR162" s="51"/>
      <c r="AS162" s="51"/>
      <c r="AT162" s="51"/>
    </row>
    <row r="163" spans="2:46" ht="15" customHeight="1" x14ac:dyDescent="0.15">
      <c r="B163" s="54" t="s">
        <v>81</v>
      </c>
      <c r="C163" s="54"/>
      <c r="D163" s="54"/>
      <c r="E163" s="130"/>
      <c r="F163" s="130"/>
      <c r="G163" s="130"/>
      <c r="H163" s="130"/>
      <c r="I163" s="130"/>
      <c r="J163" s="130"/>
      <c r="K163" s="72"/>
      <c r="S163" s="55"/>
      <c r="T163" s="55"/>
      <c r="U163" s="55"/>
      <c r="V163" s="55"/>
      <c r="W163" s="55"/>
      <c r="X163" s="55"/>
      <c r="AH163" s="40"/>
      <c r="AI163" s="40"/>
      <c r="AJ163" s="40"/>
      <c r="AK163" s="40"/>
      <c r="AQ163" s="51"/>
      <c r="AR163" s="51"/>
      <c r="AS163" s="51"/>
      <c r="AT163" s="51"/>
    </row>
    <row r="164" spans="2:46" ht="15" customHeight="1" x14ac:dyDescent="0.15">
      <c r="B164" s="52" t="s">
        <v>82</v>
      </c>
      <c r="C164" s="52"/>
      <c r="D164" s="52"/>
      <c r="E164" s="122">
        <v>258.41299400000003</v>
      </c>
      <c r="F164" s="122">
        <v>343.54400600000002</v>
      </c>
      <c r="G164" s="122">
        <v>357.98898300000002</v>
      </c>
      <c r="H164" s="122">
        <v>386.80300899999997</v>
      </c>
      <c r="I164" s="122">
        <v>404.48199499999998</v>
      </c>
      <c r="J164" s="122">
        <v>436.71398900000003</v>
      </c>
      <c r="K164" s="72"/>
      <c r="S164" s="55"/>
      <c r="T164" s="55"/>
      <c r="U164" s="55"/>
      <c r="V164" s="55"/>
      <c r="W164" s="55"/>
      <c r="X164" s="55"/>
      <c r="AH164" s="41"/>
      <c r="AI164" s="41"/>
      <c r="AJ164" s="41"/>
      <c r="AK164" s="41"/>
      <c r="AQ164" s="43"/>
      <c r="AR164" s="43"/>
      <c r="AS164" s="53"/>
      <c r="AT164" s="43"/>
    </row>
    <row r="165" spans="2:46" ht="15" customHeight="1" x14ac:dyDescent="0.15">
      <c r="B165" s="54" t="s">
        <v>83</v>
      </c>
      <c r="C165" s="54"/>
      <c r="D165" s="54"/>
      <c r="E165" s="125">
        <v>0</v>
      </c>
      <c r="F165" s="125">
        <v>0</v>
      </c>
      <c r="G165" s="125">
        <v>0</v>
      </c>
      <c r="H165" s="125">
        <v>0</v>
      </c>
      <c r="I165" s="125">
        <v>0</v>
      </c>
      <c r="J165" s="125">
        <v>0</v>
      </c>
      <c r="K165" s="72"/>
      <c r="S165" s="42"/>
      <c r="T165" s="42"/>
      <c r="U165" s="42"/>
      <c r="V165" s="42"/>
      <c r="W165" s="42"/>
      <c r="X165" s="42"/>
      <c r="AH165" s="40"/>
      <c r="AI165" s="40"/>
      <c r="AJ165" s="40"/>
      <c r="AK165" s="40"/>
      <c r="AQ165" s="55"/>
      <c r="AR165" s="55"/>
      <c r="AS165" s="51"/>
      <c r="AT165" s="55"/>
    </row>
    <row r="166" spans="2:46" ht="15" customHeight="1" x14ac:dyDescent="0.15">
      <c r="B166" s="54" t="s">
        <v>84</v>
      </c>
      <c r="C166" s="54"/>
      <c r="D166" s="54"/>
      <c r="E166" s="125">
        <v>3.5999999999999997E-2</v>
      </c>
      <c r="F166" s="125">
        <v>3.9E-2</v>
      </c>
      <c r="G166" s="125">
        <v>3.9E-2</v>
      </c>
      <c r="H166" s="125">
        <v>3.9E-2</v>
      </c>
      <c r="I166" s="125">
        <v>3.9E-2</v>
      </c>
      <c r="J166" s="125">
        <v>3.9E-2</v>
      </c>
      <c r="K166" s="72"/>
      <c r="S166" s="55"/>
      <c r="T166" s="55"/>
      <c r="U166" s="55"/>
      <c r="V166" s="55"/>
      <c r="W166" s="55"/>
      <c r="X166" s="55"/>
      <c r="AH166" s="41"/>
      <c r="AI166" s="40"/>
      <c r="AJ166" s="41"/>
      <c r="AK166" s="41"/>
      <c r="AQ166" s="55"/>
      <c r="AR166" s="55"/>
      <c r="AS166" s="51"/>
      <c r="AT166" s="55"/>
    </row>
    <row r="167" spans="2:46" ht="15" customHeight="1" x14ac:dyDescent="0.15">
      <c r="B167" s="54" t="s">
        <v>85</v>
      </c>
      <c r="C167" s="54"/>
      <c r="D167" s="54"/>
      <c r="E167" s="125">
        <v>266.79400600000002</v>
      </c>
      <c r="F167" s="125">
        <v>304.15499899999998</v>
      </c>
      <c r="G167" s="125">
        <v>330.57199100000003</v>
      </c>
      <c r="H167" s="125">
        <v>362.40798999999998</v>
      </c>
      <c r="I167" s="125">
        <v>401.35900900000001</v>
      </c>
      <c r="J167" s="125">
        <v>477.32299799999998</v>
      </c>
      <c r="K167" s="72"/>
      <c r="S167" s="55"/>
      <c r="T167" s="55"/>
      <c r="U167" s="55"/>
      <c r="V167" s="55"/>
      <c r="W167" s="55"/>
      <c r="X167" s="55"/>
      <c r="AH167" s="40"/>
      <c r="AI167" s="40"/>
      <c r="AJ167" s="40"/>
      <c r="AK167" s="40"/>
      <c r="AQ167" s="55"/>
      <c r="AR167" s="55"/>
      <c r="AS167" s="55"/>
      <c r="AT167" s="55"/>
    </row>
    <row r="168" spans="2:46" ht="15" customHeight="1" x14ac:dyDescent="0.15">
      <c r="B168" s="54" t="s">
        <v>86</v>
      </c>
      <c r="C168" s="54"/>
      <c r="D168" s="54"/>
      <c r="E168" s="125">
        <v>-0.156</v>
      </c>
      <c r="F168" s="125">
        <v>-0.57399999999999995</v>
      </c>
      <c r="G168" s="125">
        <v>-0.58599999999999997</v>
      </c>
      <c r="H168" s="125">
        <v>1.1619999999999999</v>
      </c>
      <c r="I168" s="125">
        <v>-0.48399999999999999</v>
      </c>
      <c r="J168" s="125">
        <v>1.0069999999999999</v>
      </c>
      <c r="K168" s="72"/>
      <c r="S168" s="55"/>
      <c r="T168" s="55"/>
      <c r="U168" s="55"/>
      <c r="V168" s="55"/>
      <c r="W168" s="55"/>
      <c r="X168" s="55"/>
      <c r="AH168" s="39"/>
      <c r="AI168" s="39"/>
      <c r="AJ168" s="41"/>
      <c r="AK168" s="41"/>
      <c r="AQ168" s="51"/>
      <c r="AR168" s="51"/>
      <c r="AS168" s="51"/>
      <c r="AT168" s="51"/>
    </row>
    <row r="169" spans="2:46" ht="15" customHeight="1" x14ac:dyDescent="0.15">
      <c r="B169" s="54" t="s">
        <v>87</v>
      </c>
      <c r="C169" s="54"/>
      <c r="D169" s="54"/>
      <c r="E169" s="125">
        <v>-8.2609999999999992</v>
      </c>
      <c r="F169" s="125">
        <v>39.923999999999999</v>
      </c>
      <c r="G169" s="125">
        <v>27.964001</v>
      </c>
      <c r="H169" s="125">
        <v>23.193999999999999</v>
      </c>
      <c r="I169" s="125">
        <v>3.5680000000000001</v>
      </c>
      <c r="J169" s="125">
        <v>-41.654998999999997</v>
      </c>
      <c r="K169" s="72"/>
      <c r="S169" s="43"/>
      <c r="T169" s="43"/>
      <c r="U169" s="43"/>
      <c r="V169" s="43"/>
      <c r="W169" s="43"/>
      <c r="X169" s="43"/>
      <c r="AH169" s="40"/>
      <c r="AI169" s="40"/>
      <c r="AJ169" s="40"/>
      <c r="AK169" s="40"/>
      <c r="AQ169" s="55"/>
      <c r="AR169" s="55"/>
      <c r="AS169" s="55"/>
      <c r="AT169" s="55"/>
    </row>
    <row r="170" spans="2:46" ht="15" customHeight="1" x14ac:dyDescent="0.15">
      <c r="E170" s="125"/>
      <c r="F170" s="125"/>
      <c r="G170" s="125"/>
      <c r="H170" s="125"/>
      <c r="I170" s="125"/>
      <c r="J170" s="125"/>
      <c r="K170" s="72"/>
      <c r="S170" s="51"/>
      <c r="T170" s="51"/>
      <c r="U170" s="51"/>
      <c r="V170" s="51"/>
      <c r="W170" s="51"/>
      <c r="X170" s="51"/>
      <c r="AH170" s="42"/>
      <c r="AI170" s="42"/>
      <c r="AJ170" s="42"/>
      <c r="AK170" s="42"/>
      <c r="AQ170" s="51"/>
      <c r="AR170" s="51"/>
      <c r="AS170" s="51"/>
      <c r="AT170" s="55"/>
    </row>
    <row r="171" spans="2:46" ht="15" customHeight="1" x14ac:dyDescent="0.15">
      <c r="AH171" s="40"/>
      <c r="AI171" s="40"/>
      <c r="AJ171" s="40"/>
      <c r="AK171" s="40"/>
      <c r="AQ171" s="51"/>
      <c r="AR171" s="51"/>
      <c r="AS171" s="51"/>
      <c r="AT171" s="51"/>
    </row>
    <row r="172" spans="2:46" ht="15" customHeight="1" x14ac:dyDescent="0.2">
      <c r="B172" s="47" t="s">
        <v>109</v>
      </c>
      <c r="C172" s="47"/>
      <c r="D172" s="47"/>
      <c r="E172" s="47">
        <v>2016</v>
      </c>
      <c r="F172" s="47">
        <v>2017</v>
      </c>
      <c r="G172" s="47">
        <v>2018</v>
      </c>
      <c r="H172" s="47">
        <v>2019</v>
      </c>
      <c r="I172" s="47">
        <v>2020</v>
      </c>
      <c r="J172" s="47">
        <v>2021</v>
      </c>
      <c r="K172" s="47">
        <v>2022</v>
      </c>
      <c r="L172" s="47">
        <v>2023</v>
      </c>
      <c r="M172" s="47">
        <v>2024</v>
      </c>
      <c r="N172" s="47">
        <v>2025</v>
      </c>
      <c r="O172" s="47">
        <v>2026</v>
      </c>
      <c r="Q172" s="108" t="s">
        <v>44</v>
      </c>
      <c r="R172" s="108"/>
      <c r="S172" s="108"/>
      <c r="T172" s="64">
        <v>2016</v>
      </c>
      <c r="U172" s="64">
        <v>2017</v>
      </c>
      <c r="V172" s="64">
        <v>2018</v>
      </c>
      <c r="W172" s="64">
        <v>2019</v>
      </c>
      <c r="X172" s="64">
        <v>2020</v>
      </c>
      <c r="Y172" s="64">
        <v>2021</v>
      </c>
      <c r="Z172" s="65">
        <v>2022</v>
      </c>
      <c r="AA172" s="65">
        <v>2023</v>
      </c>
      <c r="AB172" s="65">
        <v>2024</v>
      </c>
      <c r="AC172" s="65">
        <v>2025</v>
      </c>
      <c r="AD172" s="65">
        <v>2026</v>
      </c>
      <c r="AE172" s="49" t="s">
        <v>45</v>
      </c>
      <c r="AH172" s="40"/>
      <c r="AI172" s="40"/>
      <c r="AJ172" s="40"/>
      <c r="AK172" s="40"/>
      <c r="AQ172" s="51"/>
      <c r="AR172" s="51"/>
      <c r="AS172" s="51"/>
      <c r="AT172" s="51"/>
    </row>
    <row r="173" spans="2:46" ht="15" customHeight="1" x14ac:dyDescent="0.15">
      <c r="B173" s="42" t="s">
        <v>90</v>
      </c>
      <c r="C173" s="42"/>
      <c r="D173" s="42"/>
      <c r="E173" s="72">
        <v>2016</v>
      </c>
      <c r="F173" s="72">
        <v>2017</v>
      </c>
      <c r="G173" s="72">
        <v>2018</v>
      </c>
      <c r="H173" s="72">
        <v>2019</v>
      </c>
      <c r="I173" s="72">
        <v>2020</v>
      </c>
      <c r="J173" s="72">
        <v>2021</v>
      </c>
      <c r="K173" s="122"/>
      <c r="L173" s="122"/>
      <c r="M173" s="122"/>
      <c r="N173" s="122"/>
      <c r="O173" s="72"/>
      <c r="P173" s="72"/>
      <c r="Q173" s="123" t="s">
        <v>90</v>
      </c>
      <c r="R173" s="124"/>
      <c r="S173" s="60"/>
      <c r="T173" s="61"/>
      <c r="U173" s="62"/>
      <c r="V173" s="62"/>
      <c r="W173" s="62"/>
      <c r="X173" s="62"/>
      <c r="Y173" s="62"/>
      <c r="Z173" s="59"/>
      <c r="AA173" s="59"/>
      <c r="AB173" s="59"/>
      <c r="AC173" s="59"/>
      <c r="AD173" s="59"/>
      <c r="AE173" s="59"/>
      <c r="AH173" s="42"/>
      <c r="AI173" s="42"/>
      <c r="AJ173" s="42"/>
      <c r="AK173" s="42"/>
      <c r="AQ173" s="51"/>
      <c r="AR173" s="55"/>
      <c r="AS173" s="55"/>
      <c r="AT173" s="55"/>
    </row>
    <row r="174" spans="2:46" ht="15" customHeight="1" x14ac:dyDescent="0.15">
      <c r="B174" s="50" t="s">
        <v>12</v>
      </c>
      <c r="C174" s="50"/>
      <c r="D174" s="50"/>
      <c r="E174" s="122">
        <v>69.309997999999993</v>
      </c>
      <c r="F174" s="122">
        <v>107.646004</v>
      </c>
      <c r="G174" s="122">
        <v>125.46399700000001</v>
      </c>
      <c r="H174" s="122">
        <v>160.60699500000001</v>
      </c>
      <c r="I174" s="122">
        <v>180.08599899999999</v>
      </c>
      <c r="J174" s="122">
        <v>200.61599699999999</v>
      </c>
      <c r="K174" s="125"/>
      <c r="L174" s="125"/>
      <c r="M174" s="125"/>
      <c r="N174" s="125"/>
      <c r="O174" s="72"/>
      <c r="P174" s="72"/>
      <c r="Q174" s="126" t="s">
        <v>12</v>
      </c>
      <c r="R174" s="69"/>
      <c r="S174" s="48"/>
      <c r="T174" s="63">
        <f t="shared" ref="T174:AD181" si="53">E174/E$104</f>
        <v>0.35018313477049684</v>
      </c>
      <c r="U174" s="63">
        <f t="shared" si="53"/>
        <v>0.4663472481716181</v>
      </c>
      <c r="V174" s="63">
        <f>G174/G$104</f>
        <v>0.44987071344167145</v>
      </c>
      <c r="W174" s="63">
        <f>H174/H$104</f>
        <v>0.49938899805335396</v>
      </c>
      <c r="X174" s="63">
        <f>I174/I$104</f>
        <v>0.49615523496880382</v>
      </c>
      <c r="Y174" s="63">
        <f t="shared" si="53"/>
        <v>0.48791259731630021</v>
      </c>
      <c r="Z174" s="48">
        <f t="shared" si="53"/>
        <v>0</v>
      </c>
      <c r="AA174" s="48">
        <f t="shared" si="53"/>
        <v>0</v>
      </c>
      <c r="AB174" s="48">
        <f t="shared" si="53"/>
        <v>0</v>
      </c>
      <c r="AC174" s="48">
        <f t="shared" si="53"/>
        <v>0</v>
      </c>
      <c r="AD174" s="48">
        <f t="shared" si="53"/>
        <v>0</v>
      </c>
      <c r="AE174" s="48">
        <f t="shared" ref="AE174:AE189" si="54">AVERAGE(T174:Y174)</f>
        <v>0.45830965445370736</v>
      </c>
      <c r="AH174" s="45"/>
      <c r="AI174" s="45"/>
      <c r="AJ174" s="45"/>
      <c r="AK174" s="45"/>
      <c r="AQ174" s="53"/>
      <c r="AR174" s="53"/>
      <c r="AS174" s="53"/>
      <c r="AT174" s="53"/>
    </row>
    <row r="175" spans="2:46" ht="15" customHeight="1" x14ac:dyDescent="0.15">
      <c r="B175" s="52" t="s">
        <v>91</v>
      </c>
      <c r="C175" s="52"/>
      <c r="D175" s="52"/>
      <c r="E175" s="125">
        <v>19.224001000000001</v>
      </c>
      <c r="F175" s="125">
        <v>40.439999</v>
      </c>
      <c r="G175" s="125">
        <v>57.304001</v>
      </c>
      <c r="H175" s="125">
        <v>69.335999000000001</v>
      </c>
      <c r="I175" s="125">
        <v>91.571999000000005</v>
      </c>
      <c r="J175" s="125">
        <v>70.959998999999996</v>
      </c>
      <c r="K175" s="127"/>
      <c r="L175" s="127"/>
      <c r="M175" s="127"/>
      <c r="N175" s="127"/>
      <c r="O175" s="72"/>
      <c r="P175" s="72"/>
      <c r="Q175" s="128" t="s">
        <v>91</v>
      </c>
      <c r="R175" s="67"/>
      <c r="S175" s="59"/>
      <c r="T175" s="62">
        <f t="shared" si="53"/>
        <v>9.7127703466549906E-2</v>
      </c>
      <c r="U175" s="62">
        <f t="shared" si="53"/>
        <v>0.17519537696645932</v>
      </c>
      <c r="V175" s="62">
        <f>G175/G$104</f>
        <v>0.20547242579026279</v>
      </c>
      <c r="W175" s="62">
        <f>H175/H$104</f>
        <v>0.21559232254883015</v>
      </c>
      <c r="X175" s="62">
        <f>I175/I$104</f>
        <v>0.25229016654652908</v>
      </c>
      <c r="Y175" s="62">
        <f t="shared" si="53"/>
        <v>0.17257984375818278</v>
      </c>
      <c r="Z175" s="59">
        <f t="shared" si="53"/>
        <v>0</v>
      </c>
      <c r="AA175" s="59">
        <f t="shared" si="53"/>
        <v>0</v>
      </c>
      <c r="AB175" s="59">
        <f t="shared" si="53"/>
        <v>0</v>
      </c>
      <c r="AC175" s="59">
        <f t="shared" si="53"/>
        <v>0</v>
      </c>
      <c r="AD175" s="59">
        <f t="shared" si="53"/>
        <v>0</v>
      </c>
      <c r="AE175" s="59">
        <f t="shared" si="54"/>
        <v>0.18637630651280235</v>
      </c>
      <c r="AH175" s="45"/>
      <c r="AI175" s="45"/>
      <c r="AJ175" s="45"/>
      <c r="AK175" s="45"/>
      <c r="AQ175" s="51"/>
      <c r="AR175" s="51"/>
      <c r="AS175" s="51"/>
      <c r="AT175" s="51"/>
    </row>
    <row r="176" spans="2:46" ht="15" customHeight="1" collapsed="1" x14ac:dyDescent="0.15">
      <c r="B176" s="54" t="s">
        <v>92</v>
      </c>
      <c r="C176" s="54"/>
      <c r="D176" s="54"/>
      <c r="E176" s="127">
        <v>50.086002000000001</v>
      </c>
      <c r="F176" s="127">
        <v>67.206001000000001</v>
      </c>
      <c r="G176" s="127">
        <v>68.159996000000007</v>
      </c>
      <c r="H176" s="127">
        <v>91.270995999999997</v>
      </c>
      <c r="I176" s="127">
        <v>88.513992000000002</v>
      </c>
      <c r="J176" s="127">
        <v>129.65600599999999</v>
      </c>
      <c r="K176" s="73">
        <f>K104*$AE$176</f>
        <v>129.45600742181074</v>
      </c>
      <c r="L176" s="73">
        <f>L104*$AE$176</f>
        <v>149.8850845399588</v>
      </c>
      <c r="M176" s="73">
        <f>M104*$AE$176</f>
        <v>173.53801507527106</v>
      </c>
      <c r="N176" s="73">
        <f>N104*$AE$176</f>
        <v>200.92354598656777</v>
      </c>
      <c r="O176" s="73">
        <f>O104*$AE$176</f>
        <v>232.63070811491102</v>
      </c>
      <c r="P176" s="72"/>
      <c r="Q176" s="129" t="s">
        <v>92</v>
      </c>
      <c r="R176" s="69"/>
      <c r="S176" s="48"/>
      <c r="T176" s="63">
        <f t="shared" si="53"/>
        <v>0.25305545656604084</v>
      </c>
      <c r="U176" s="63">
        <f t="shared" si="53"/>
        <v>0.29115185387623876</v>
      </c>
      <c r="V176" s="63">
        <f>G176/G$104</f>
        <v>0.24439828765140864</v>
      </c>
      <c r="W176" s="63">
        <f>H176/H$104</f>
        <v>0.28379667550452375</v>
      </c>
      <c r="X176" s="63">
        <f>I176/I$104</f>
        <v>0.24386504638146148</v>
      </c>
      <c r="Y176" s="63">
        <f t="shared" si="53"/>
        <v>0.31533277301469537</v>
      </c>
      <c r="Z176" s="48">
        <f t="shared" si="53"/>
        <v>0.27193334883239478</v>
      </c>
      <c r="AA176" s="48">
        <f t="shared" si="53"/>
        <v>0.27193334883239478</v>
      </c>
      <c r="AB176" s="48">
        <f t="shared" si="53"/>
        <v>0.27193334883239478</v>
      </c>
      <c r="AC176" s="48">
        <f t="shared" si="53"/>
        <v>0.27193334883239478</v>
      </c>
      <c r="AD176" s="48">
        <f t="shared" si="53"/>
        <v>0.27193334883239478</v>
      </c>
      <c r="AE176" s="48">
        <f t="shared" si="54"/>
        <v>0.27193334883239478</v>
      </c>
      <c r="AQ176" s="51"/>
      <c r="AR176" s="51"/>
      <c r="AS176" s="51"/>
      <c r="AT176" s="51"/>
    </row>
    <row r="177" spans="2:46" ht="15" hidden="1" customHeight="1" outlineLevel="1" x14ac:dyDescent="0.15">
      <c r="B177" s="54" t="s">
        <v>93</v>
      </c>
      <c r="C177" s="54"/>
      <c r="D177" s="54"/>
      <c r="E177" s="125">
        <v>16.993998999999999</v>
      </c>
      <c r="F177" s="125">
        <v>20.635999999999999</v>
      </c>
      <c r="G177" s="125">
        <v>28.903998999999999</v>
      </c>
      <c r="H177" s="125">
        <v>31.201000000000001</v>
      </c>
      <c r="I177" s="125">
        <v>32.845001000000003</v>
      </c>
      <c r="J177" s="125">
        <v>35.896999000000001</v>
      </c>
      <c r="K177" s="130"/>
      <c r="L177" s="130"/>
      <c r="M177" s="130"/>
      <c r="N177" s="130"/>
      <c r="O177" s="72"/>
      <c r="P177" s="72"/>
      <c r="Q177" s="129" t="s">
        <v>93</v>
      </c>
      <c r="R177" s="69"/>
      <c r="S177" s="48"/>
      <c r="T177" s="63">
        <f t="shared" si="53"/>
        <v>8.586079950697284E-2</v>
      </c>
      <c r="U177" s="63">
        <f t="shared" si="53"/>
        <v>8.9399898330359856E-2</v>
      </c>
      <c r="V177" s="63">
        <f>G177/G$104</f>
        <v>0.10363979278810444</v>
      </c>
      <c r="W177" s="63">
        <f>H177/H$104</f>
        <v>9.7015924669175815E-2</v>
      </c>
      <c r="X177" s="63">
        <f>I177/I$104</f>
        <v>9.0491316810839911E-2</v>
      </c>
      <c r="Y177" s="63">
        <f t="shared" si="53"/>
        <v>8.7304094787369488E-2</v>
      </c>
      <c r="Z177" s="48">
        <f t="shared" si="53"/>
        <v>0</v>
      </c>
      <c r="AA177" s="48">
        <f t="shared" si="53"/>
        <v>0</v>
      </c>
      <c r="AB177" s="48">
        <f t="shared" si="53"/>
        <v>0</v>
      </c>
      <c r="AC177" s="48">
        <f t="shared" si="53"/>
        <v>0</v>
      </c>
      <c r="AD177" s="48">
        <f t="shared" si="53"/>
        <v>0</v>
      </c>
      <c r="AE177" s="48">
        <f t="shared" si="54"/>
        <v>9.2285304482137051E-2</v>
      </c>
      <c r="AQ177" s="43"/>
      <c r="AR177" s="43"/>
      <c r="AS177" s="43"/>
      <c r="AT177" s="43"/>
    </row>
    <row r="178" spans="2:46" ht="15" hidden="1" customHeight="1" outlineLevel="1" x14ac:dyDescent="0.15">
      <c r="B178" s="54" t="s">
        <v>94</v>
      </c>
      <c r="C178" s="54"/>
      <c r="D178" s="54"/>
      <c r="E178" s="130"/>
      <c r="F178" s="130"/>
      <c r="G178" s="130"/>
      <c r="H178" s="125">
        <v>0</v>
      </c>
      <c r="I178" s="125">
        <v>0</v>
      </c>
      <c r="J178" s="125">
        <v>0.625</v>
      </c>
      <c r="K178" s="125"/>
      <c r="L178" s="125"/>
      <c r="M178" s="125"/>
      <c r="N178" s="125"/>
      <c r="O178" s="72"/>
      <c r="P178" s="72"/>
      <c r="Q178" s="129" t="s">
        <v>94</v>
      </c>
      <c r="R178" s="69"/>
      <c r="S178" s="48"/>
      <c r="T178" s="63">
        <f t="shared" si="53"/>
        <v>0</v>
      </c>
      <c r="U178" s="63">
        <f t="shared" si="53"/>
        <v>0</v>
      </c>
      <c r="V178" s="63">
        <f>G178/G$104</f>
        <v>0</v>
      </c>
      <c r="W178" s="63">
        <f>H178/H$104</f>
        <v>0</v>
      </c>
      <c r="X178" s="63">
        <f>I178/I$104</f>
        <v>0</v>
      </c>
      <c r="Y178" s="63">
        <f t="shared" si="53"/>
        <v>1.5200451503510344E-3</v>
      </c>
      <c r="Z178" s="48">
        <f t="shared" si="53"/>
        <v>0</v>
      </c>
      <c r="AA178" s="48">
        <f t="shared" si="53"/>
        <v>0</v>
      </c>
      <c r="AB178" s="48">
        <f t="shared" si="53"/>
        <v>0</v>
      </c>
      <c r="AC178" s="48">
        <f t="shared" si="53"/>
        <v>0</v>
      </c>
      <c r="AD178" s="48">
        <f t="shared" si="53"/>
        <v>0</v>
      </c>
      <c r="AE178" s="48">
        <f t="shared" si="54"/>
        <v>2.5334085839183907E-4</v>
      </c>
      <c r="AQ178" s="43"/>
      <c r="AR178" s="43"/>
      <c r="AS178" s="43"/>
      <c r="AT178" s="43"/>
    </row>
    <row r="179" spans="2:46" ht="15" hidden="1" customHeight="1" outlineLevel="1" x14ac:dyDescent="0.15">
      <c r="B179" s="54" t="s">
        <v>95</v>
      </c>
      <c r="C179" s="54"/>
      <c r="D179" s="54"/>
      <c r="E179" s="125">
        <v>0.19900000000000001</v>
      </c>
      <c r="F179" s="125">
        <v>0.65700000000000003</v>
      </c>
      <c r="G179" s="125">
        <v>8.5999999999999993E-2</v>
      </c>
      <c r="H179" s="125">
        <v>0.247</v>
      </c>
      <c r="I179" s="125">
        <v>0.48599999999999999</v>
      </c>
      <c r="J179" s="125">
        <v>0.40200000000000002</v>
      </c>
      <c r="K179" s="125"/>
      <c r="L179" s="125"/>
      <c r="M179" s="125"/>
      <c r="N179" s="125"/>
      <c r="O179" s="72"/>
      <c r="P179" s="72"/>
      <c r="Q179" s="129" t="s">
        <v>95</v>
      </c>
      <c r="R179" s="69"/>
      <c r="S179" s="48"/>
      <c r="T179" s="63">
        <f t="shared" si="53"/>
        <v>1.0054313350193558E-3</v>
      </c>
      <c r="U179" s="63">
        <f t="shared" si="53"/>
        <v>2.8462751116033356E-3</v>
      </c>
      <c r="V179" s="63">
        <f>G179/G$104</f>
        <v>3.0836640216383139E-4</v>
      </c>
      <c r="W179" s="63">
        <f>H179/H$104</f>
        <v>7.6801812099889187E-4</v>
      </c>
      <c r="X179" s="63">
        <f>I179/I$104</f>
        <v>1.3389794072488593E-3</v>
      </c>
      <c r="Y179" s="63">
        <f t="shared" si="53"/>
        <v>9.7769304070578528E-4</v>
      </c>
      <c r="Z179" s="48">
        <f t="shared" si="53"/>
        <v>0</v>
      </c>
      <c r="AA179" s="48">
        <f t="shared" si="53"/>
        <v>0</v>
      </c>
      <c r="AB179" s="48">
        <f t="shared" si="53"/>
        <v>0</v>
      </c>
      <c r="AC179" s="48">
        <f t="shared" si="53"/>
        <v>0</v>
      </c>
      <c r="AD179" s="48">
        <f t="shared" si="53"/>
        <v>0</v>
      </c>
      <c r="AE179" s="48">
        <f t="shared" si="54"/>
        <v>1.2074605696233431E-3</v>
      </c>
      <c r="AQ179" s="43"/>
      <c r="AR179" s="43"/>
      <c r="AS179" s="43"/>
      <c r="AT179" s="43"/>
    </row>
    <row r="180" spans="2:46" ht="15" hidden="1" customHeight="1" outlineLevel="1" x14ac:dyDescent="0.15">
      <c r="B180" s="54" t="s">
        <v>96</v>
      </c>
      <c r="C180" s="54"/>
      <c r="D180" s="54"/>
      <c r="E180" s="125">
        <v>5.5E-2</v>
      </c>
      <c r="F180" s="125">
        <v>0.161</v>
      </c>
      <c r="G180" s="125">
        <v>8.9999999999999993E-3</v>
      </c>
      <c r="H180" s="125">
        <v>0.20200000000000001</v>
      </c>
      <c r="I180" s="125">
        <v>0.106</v>
      </c>
      <c r="J180" s="125">
        <v>1.2E-2</v>
      </c>
      <c r="K180" s="125"/>
      <c r="L180" s="125"/>
      <c r="M180" s="125"/>
      <c r="N180" s="125"/>
      <c r="O180" s="72"/>
      <c r="P180" s="72"/>
      <c r="Q180" s="129" t="s">
        <v>96</v>
      </c>
      <c r="R180" s="67"/>
      <c r="S180" s="59"/>
      <c r="T180" s="62">
        <f t="shared" si="53"/>
        <v>2.7788303229178175E-4</v>
      </c>
      <c r="U180" s="62">
        <f t="shared" si="53"/>
        <v>6.9748903039290253E-4</v>
      </c>
      <c r="V180" s="62">
        <f>G180/G$104</f>
        <v>3.227090255202887E-5</v>
      </c>
      <c r="W180" s="62">
        <f>H180/H$104</f>
        <v>6.2809579126225164E-4</v>
      </c>
      <c r="X180" s="62">
        <f>I180/I$104</f>
        <v>2.9204077606662365E-4</v>
      </c>
      <c r="Y180" s="62">
        <f t="shared" si="53"/>
        <v>2.9184866886739859E-5</v>
      </c>
      <c r="Z180" s="59">
        <f t="shared" si="53"/>
        <v>0</v>
      </c>
      <c r="AA180" s="59">
        <f t="shared" si="53"/>
        <v>0</v>
      </c>
      <c r="AB180" s="59">
        <f t="shared" si="53"/>
        <v>0</v>
      </c>
      <c r="AC180" s="59">
        <f t="shared" si="53"/>
        <v>0</v>
      </c>
      <c r="AD180" s="59">
        <f t="shared" si="53"/>
        <v>0</v>
      </c>
      <c r="AE180" s="59">
        <f t="shared" si="54"/>
        <v>3.2616073324205473E-4</v>
      </c>
      <c r="AQ180" s="51"/>
      <c r="AR180" s="51"/>
      <c r="AS180" s="51"/>
      <c r="AT180" s="51"/>
    </row>
    <row r="181" spans="2:46" ht="15" hidden="1" customHeight="1" outlineLevel="1" x14ac:dyDescent="0.15">
      <c r="B181" s="54" t="s">
        <v>97</v>
      </c>
      <c r="C181" s="54"/>
      <c r="D181" s="54"/>
      <c r="E181" s="125">
        <v>20.149000000000001</v>
      </c>
      <c r="F181" s="125">
        <v>26.960999999999999</v>
      </c>
      <c r="G181" s="125">
        <v>30.09</v>
      </c>
      <c r="H181" s="125">
        <v>34.891998000000001</v>
      </c>
      <c r="I181" s="125">
        <v>40.034999999999997</v>
      </c>
      <c r="J181" s="125">
        <v>67.579002000000003</v>
      </c>
      <c r="K181" s="130"/>
      <c r="L181" s="130"/>
      <c r="M181" s="130"/>
      <c r="N181" s="125"/>
      <c r="O181" s="72"/>
      <c r="P181" s="72"/>
      <c r="Q181" s="129" t="s">
        <v>97</v>
      </c>
      <c r="R181" s="69"/>
      <c r="S181" s="48"/>
      <c r="T181" s="63">
        <f t="shared" si="53"/>
        <v>0.10180118577540201</v>
      </c>
      <c r="U181" s="63">
        <f t="shared" si="53"/>
        <v>0.11680125309579531</v>
      </c>
      <c r="V181" s="63">
        <f>G181/G$104</f>
        <v>0.10789238419894986</v>
      </c>
      <c r="W181" s="63">
        <f>H181/H$104</f>
        <v>0.10849265887391536</v>
      </c>
      <c r="X181" s="63">
        <f>I181/I$104</f>
        <v>0.11030049499837052</v>
      </c>
      <c r="Y181" s="63">
        <f t="shared" si="53"/>
        <v>0.16435701480906056</v>
      </c>
      <c r="Z181" s="48">
        <f t="shared" si="53"/>
        <v>0</v>
      </c>
      <c r="AA181" s="48">
        <f t="shared" si="53"/>
        <v>0</v>
      </c>
      <c r="AB181" s="48">
        <f t="shared" si="53"/>
        <v>0</v>
      </c>
      <c r="AC181" s="48">
        <f t="shared" si="53"/>
        <v>0</v>
      </c>
      <c r="AD181" s="48">
        <f t="shared" si="53"/>
        <v>0</v>
      </c>
      <c r="AE181" s="48">
        <f t="shared" si="54"/>
        <v>0.11827416529191559</v>
      </c>
      <c r="AQ181" s="51"/>
      <c r="AR181" s="51"/>
      <c r="AS181" s="51"/>
      <c r="AT181" s="51"/>
    </row>
    <row r="182" spans="2:46" ht="15" hidden="1" customHeight="1" outlineLevel="1" x14ac:dyDescent="0.15">
      <c r="B182" s="54" t="s">
        <v>98</v>
      </c>
      <c r="C182" s="54"/>
      <c r="D182" s="54"/>
      <c r="E182" s="130"/>
      <c r="F182" s="130"/>
      <c r="G182" s="130"/>
      <c r="H182" s="130"/>
      <c r="I182" s="130"/>
      <c r="J182" s="130"/>
      <c r="K182" s="125"/>
      <c r="L182" s="125"/>
      <c r="M182" s="125"/>
      <c r="N182" s="125"/>
      <c r="O182" s="72"/>
      <c r="P182" s="72"/>
      <c r="Q182" s="129" t="s">
        <v>98</v>
      </c>
      <c r="R182" s="69"/>
      <c r="S182" s="48"/>
      <c r="T182" s="63"/>
      <c r="U182" s="63"/>
      <c r="V182" s="63"/>
      <c r="W182" s="63" t="e">
        <f>H182/(H222+H224)</f>
        <v>#DIV/0!</v>
      </c>
      <c r="X182" s="63" t="e">
        <f>I182/(I222+I224)</f>
        <v>#DIV/0!</v>
      </c>
      <c r="Y182" s="63" t="e">
        <f t="shared" ref="Y182:AD182" si="55">J182/(J222+J224)</f>
        <v>#DIV/0!</v>
      </c>
      <c r="Z182" s="48" t="e">
        <f t="shared" si="55"/>
        <v>#DIV/0!</v>
      </c>
      <c r="AA182" s="48" t="e">
        <f t="shared" si="55"/>
        <v>#DIV/0!</v>
      </c>
      <c r="AB182" s="48" t="e">
        <f t="shared" si="55"/>
        <v>#DIV/0!</v>
      </c>
      <c r="AC182" s="48" t="e">
        <f t="shared" si="55"/>
        <v>#DIV/0!</v>
      </c>
      <c r="AD182" s="48" t="e">
        <f t="shared" si="55"/>
        <v>#DIV/0!</v>
      </c>
      <c r="AE182" s="48" t="e">
        <f t="shared" si="54"/>
        <v>#DIV/0!</v>
      </c>
      <c r="AQ182" s="51"/>
      <c r="AR182" s="51"/>
      <c r="AS182" s="51"/>
      <c r="AT182" s="51"/>
    </row>
    <row r="183" spans="2:46" ht="15" hidden="1" customHeight="1" outlineLevel="1" x14ac:dyDescent="0.15">
      <c r="B183" s="54" t="s">
        <v>99</v>
      </c>
      <c r="C183" s="54"/>
      <c r="D183" s="54"/>
      <c r="E183" s="125">
        <v>1</v>
      </c>
      <c r="F183" s="125">
        <v>1.3240000000000001</v>
      </c>
      <c r="G183" s="125">
        <v>-1.1359999999999999</v>
      </c>
      <c r="H183" s="125">
        <v>-1.597</v>
      </c>
      <c r="I183" s="125">
        <v>0.82599999999999996</v>
      </c>
      <c r="J183" s="125">
        <v>3.8690000000000002</v>
      </c>
      <c r="K183" s="125"/>
      <c r="L183" s="125"/>
      <c r="M183" s="125"/>
      <c r="N183" s="125"/>
      <c r="O183" s="72"/>
      <c r="P183" s="72"/>
      <c r="Q183" s="129" t="s">
        <v>99</v>
      </c>
      <c r="R183" s="69"/>
      <c r="S183" s="48"/>
      <c r="T183" s="63"/>
      <c r="U183" s="63"/>
      <c r="V183" s="63"/>
      <c r="W183" s="63"/>
      <c r="X183" s="63"/>
      <c r="Y183" s="63"/>
      <c r="Z183" s="48"/>
      <c r="AA183" s="48"/>
      <c r="AB183" s="48"/>
      <c r="AC183" s="48"/>
      <c r="AD183" s="48"/>
      <c r="AE183" s="48" t="e">
        <f t="shared" si="54"/>
        <v>#DIV/0!</v>
      </c>
      <c r="AQ183" s="55"/>
      <c r="AR183" s="55"/>
      <c r="AS183" s="51"/>
      <c r="AT183" s="51"/>
    </row>
    <row r="184" spans="2:46" ht="15" hidden="1" customHeight="1" outlineLevel="1" x14ac:dyDescent="0.15">
      <c r="B184" s="54" t="s">
        <v>100</v>
      </c>
      <c r="C184" s="54"/>
      <c r="D184" s="54"/>
      <c r="E184" s="125">
        <v>-8.6999999999999993</v>
      </c>
      <c r="F184" s="130"/>
      <c r="G184" s="130"/>
      <c r="H184" s="130"/>
      <c r="I184" s="130"/>
      <c r="J184" s="130"/>
      <c r="K184" s="125"/>
      <c r="L184" s="125"/>
      <c r="M184" s="125"/>
      <c r="N184" s="125"/>
      <c r="O184" s="72"/>
      <c r="P184" s="72"/>
      <c r="Q184" s="129" t="s">
        <v>100</v>
      </c>
      <c r="R184" s="69"/>
      <c r="S184" s="48"/>
      <c r="T184" s="63"/>
      <c r="U184" s="63"/>
      <c r="V184" s="63"/>
      <c r="W184" s="63"/>
      <c r="X184" s="63"/>
      <c r="Y184" s="63"/>
      <c r="Z184" s="48"/>
      <c r="AA184" s="48"/>
      <c r="AB184" s="48"/>
      <c r="AC184" s="48"/>
      <c r="AD184" s="48"/>
      <c r="AE184" s="48" t="e">
        <f t="shared" si="54"/>
        <v>#DIV/0!</v>
      </c>
      <c r="AQ184" s="51"/>
      <c r="AR184" s="51"/>
      <c r="AS184" s="51"/>
      <c r="AT184" s="51"/>
    </row>
    <row r="185" spans="2:46" ht="15" hidden="1" customHeight="1" outlineLevel="1" x14ac:dyDescent="0.15">
      <c r="B185" s="54" t="s">
        <v>101</v>
      </c>
      <c r="C185" s="54"/>
      <c r="D185" s="54"/>
      <c r="E185" s="125">
        <v>-0.44</v>
      </c>
      <c r="F185" s="125">
        <v>-2.718</v>
      </c>
      <c r="G185" s="125">
        <v>-2.5209999999999999</v>
      </c>
      <c r="H185" s="125">
        <v>7.0949999999999998</v>
      </c>
      <c r="I185" s="125">
        <v>3.512</v>
      </c>
      <c r="J185" s="125">
        <v>-9.7230000000000008</v>
      </c>
      <c r="K185" s="125"/>
      <c r="L185" s="125"/>
      <c r="M185" s="125"/>
      <c r="N185" s="130"/>
      <c r="O185" s="72"/>
      <c r="P185" s="72"/>
      <c r="Q185" s="129" t="s">
        <v>101</v>
      </c>
      <c r="R185" s="67"/>
      <c r="S185" s="59"/>
      <c r="T185" s="62">
        <f t="shared" ref="T185:AD185" si="56">E185/E173</f>
        <v>-2.1825396825396825E-4</v>
      </c>
      <c r="U185" s="62">
        <f t="shared" si="56"/>
        <v>-1.3475458601883985E-3</v>
      </c>
      <c r="V185" s="62">
        <f>G185/G173</f>
        <v>-1.2492566897918732E-3</v>
      </c>
      <c r="W185" s="62">
        <f>H185/H173</f>
        <v>3.5141158989598809E-3</v>
      </c>
      <c r="X185" s="62">
        <f>I185/I173</f>
        <v>1.7386138613861386E-3</v>
      </c>
      <c r="Y185" s="62">
        <f t="shared" si="56"/>
        <v>-4.810984661058882E-3</v>
      </c>
      <c r="Z185" s="59" t="e">
        <f t="shared" si="56"/>
        <v>#DIV/0!</v>
      </c>
      <c r="AA185" s="59" t="e">
        <f t="shared" si="56"/>
        <v>#DIV/0!</v>
      </c>
      <c r="AB185" s="59" t="e">
        <f t="shared" si="56"/>
        <v>#DIV/0!</v>
      </c>
      <c r="AC185" s="59" t="e">
        <f t="shared" si="56"/>
        <v>#DIV/0!</v>
      </c>
      <c r="AD185" s="59" t="e">
        <f t="shared" si="56"/>
        <v>#DIV/0!</v>
      </c>
      <c r="AE185" s="59">
        <f t="shared" si="54"/>
        <v>-3.9555190315785044E-4</v>
      </c>
      <c r="AQ185" s="55"/>
      <c r="AR185" s="55"/>
      <c r="AS185" s="55"/>
      <c r="AT185" s="55"/>
    </row>
    <row r="186" spans="2:46" ht="15" hidden="1" customHeight="1" outlineLevel="1" x14ac:dyDescent="0.15">
      <c r="B186" s="54" t="s">
        <v>102</v>
      </c>
      <c r="C186" s="54"/>
      <c r="D186" s="54"/>
      <c r="E186" s="130"/>
      <c r="F186" s="130"/>
      <c r="G186" s="130"/>
      <c r="H186" s="130"/>
      <c r="I186" s="130"/>
      <c r="J186" s="130"/>
      <c r="K186" s="130"/>
      <c r="L186" s="130"/>
      <c r="M186" s="130"/>
      <c r="N186" s="130"/>
      <c r="O186" s="72"/>
      <c r="P186" s="72"/>
      <c r="Q186" s="129" t="s">
        <v>102</v>
      </c>
      <c r="R186" s="69"/>
      <c r="S186" s="48"/>
      <c r="T186" s="63">
        <f t="shared" ref="T186:AD186" si="57">E186/E185</f>
        <v>0</v>
      </c>
      <c r="U186" s="63">
        <f t="shared" si="57"/>
        <v>0</v>
      </c>
      <c r="V186" s="63">
        <f>G186/G185</f>
        <v>0</v>
      </c>
      <c r="W186" s="63">
        <f>H186/H185</f>
        <v>0</v>
      </c>
      <c r="X186" s="63">
        <f>I186/I185</f>
        <v>0</v>
      </c>
      <c r="Y186" s="63">
        <f t="shared" si="57"/>
        <v>0</v>
      </c>
      <c r="Z186" s="48" t="e">
        <f t="shared" si="57"/>
        <v>#DIV/0!</v>
      </c>
      <c r="AA186" s="48" t="e">
        <f t="shared" si="57"/>
        <v>#DIV/0!</v>
      </c>
      <c r="AB186" s="48" t="e">
        <f t="shared" si="57"/>
        <v>#DIV/0!</v>
      </c>
      <c r="AC186" s="48" t="e">
        <f t="shared" si="57"/>
        <v>#DIV/0!</v>
      </c>
      <c r="AD186" s="48" t="e">
        <f t="shared" si="57"/>
        <v>#DIV/0!</v>
      </c>
      <c r="AE186" s="48">
        <f t="shared" si="54"/>
        <v>0</v>
      </c>
      <c r="AQ186" s="43"/>
      <c r="AR186" s="43"/>
      <c r="AS186" s="43"/>
      <c r="AT186" s="53"/>
    </row>
    <row r="187" spans="2:46" ht="15" customHeight="1" collapsed="1" x14ac:dyDescent="0.15">
      <c r="B187" s="56" t="s">
        <v>103</v>
      </c>
      <c r="C187" s="56"/>
      <c r="D187" s="56"/>
      <c r="E187" s="127">
        <v>20.829000000000001</v>
      </c>
      <c r="F187" s="127">
        <v>20.185001</v>
      </c>
      <c r="G187" s="127">
        <v>12.728</v>
      </c>
      <c r="H187" s="127">
        <v>19.230999000000001</v>
      </c>
      <c r="I187" s="127">
        <v>10.703999</v>
      </c>
      <c r="J187" s="127">
        <v>30.994999</v>
      </c>
      <c r="K187" s="127">
        <f>K104*$AE$187</f>
        <v>31.974456856200387</v>
      </c>
      <c r="L187" s="127">
        <f>L104*$AE$187</f>
        <v>37.02025316905781</v>
      </c>
      <c r="M187" s="127">
        <f>M104*$AE$187</f>
        <v>42.862311965601748</v>
      </c>
      <c r="N187" s="127">
        <f>N104*$AE$187</f>
        <v>49.626289119278987</v>
      </c>
      <c r="O187" s="127">
        <f>O104*$AE$187</f>
        <v>57.457669892531953</v>
      </c>
      <c r="P187" s="72"/>
      <c r="Q187" s="131" t="s">
        <v>103</v>
      </c>
      <c r="R187" s="67"/>
      <c r="S187" s="59"/>
      <c r="T187" s="62">
        <f>E187/E104</f>
        <v>0.10523683053828223</v>
      </c>
      <c r="U187" s="62">
        <f>F187/F104</f>
        <v>8.744606693148925E-2</v>
      </c>
      <c r="V187" s="62">
        <f>G187/G104</f>
        <v>4.563822752024705E-2</v>
      </c>
      <c r="W187" s="62">
        <f>H187/H104</f>
        <v>5.9796581849844412E-2</v>
      </c>
      <c r="X187" s="62">
        <f>I187/I104</f>
        <v>2.9490605424305313E-2</v>
      </c>
      <c r="Y187" s="62">
        <f>J187/J104</f>
        <v>7.5382076664136252E-2</v>
      </c>
      <c r="Z187" s="59" t="e">
        <f>K187/K173</f>
        <v>#DIV/0!</v>
      </c>
      <c r="AA187" s="59" t="e">
        <f>L187/L173</f>
        <v>#DIV/0!</v>
      </c>
      <c r="AB187" s="59" t="e">
        <f>M187/M173</f>
        <v>#DIV/0!</v>
      </c>
      <c r="AC187" s="59" t="e">
        <f>N187/N173</f>
        <v>#DIV/0!</v>
      </c>
      <c r="AD187" s="59" t="e">
        <f>O187/O173</f>
        <v>#DIV/0!</v>
      </c>
      <c r="AE187" s="59">
        <f t="shared" si="54"/>
        <v>6.7165064821384082E-2</v>
      </c>
      <c r="AQ187" s="55"/>
      <c r="AR187" s="55"/>
      <c r="AS187" s="55"/>
      <c r="AT187" s="51"/>
    </row>
    <row r="188" spans="2:46" ht="15" hidden="1" customHeight="1" outlineLevel="1" x14ac:dyDescent="0.15">
      <c r="B188" s="57" t="s">
        <v>104</v>
      </c>
      <c r="C188" s="57"/>
      <c r="D188" s="57"/>
      <c r="E188" s="125">
        <v>-4.8979999999999997</v>
      </c>
      <c r="F188" s="125">
        <v>-17.966000000000001</v>
      </c>
      <c r="G188" s="125">
        <v>-11.467000000000001</v>
      </c>
      <c r="H188" s="125">
        <v>-2.456</v>
      </c>
      <c r="I188" s="125">
        <v>-22.631001000000001</v>
      </c>
      <c r="J188" s="125">
        <v>-9.2210000000000001</v>
      </c>
      <c r="K188" s="125"/>
      <c r="L188" s="125"/>
      <c r="M188" s="125"/>
      <c r="N188" s="125"/>
      <c r="O188" s="72"/>
      <c r="P188" s="72"/>
      <c r="Q188" s="132" t="s">
        <v>104</v>
      </c>
      <c r="R188" s="69"/>
      <c r="S188" s="48"/>
      <c r="T188" s="48"/>
      <c r="U188" s="48"/>
      <c r="V188" s="48"/>
      <c r="W188" s="48"/>
      <c r="X188" s="48"/>
      <c r="Y188" s="48"/>
      <c r="Z188" s="48"/>
      <c r="AA188" s="48"/>
      <c r="AB188" s="48"/>
      <c r="AE188" s="48" t="e">
        <f t="shared" si="54"/>
        <v>#DIV/0!</v>
      </c>
      <c r="AQ188" s="55"/>
      <c r="AR188" s="55"/>
      <c r="AS188" s="55"/>
      <c r="AT188" s="51"/>
    </row>
    <row r="189" spans="2:46" ht="15" hidden="1" customHeight="1" outlineLevel="1" x14ac:dyDescent="0.15">
      <c r="B189" s="57" t="s">
        <v>105</v>
      </c>
      <c r="C189" s="57"/>
      <c r="D189" s="57"/>
      <c r="E189" s="125">
        <v>-15.664999999999999</v>
      </c>
      <c r="F189" s="125">
        <v>-2.3290000000000002</v>
      </c>
      <c r="G189" s="125">
        <v>-6.0119999999999996</v>
      </c>
      <c r="H189" s="125">
        <v>-4.97</v>
      </c>
      <c r="I189" s="125">
        <v>-5.2999999999999999E-2</v>
      </c>
      <c r="J189" s="125">
        <v>-2.1070000000000002</v>
      </c>
      <c r="K189" s="125"/>
      <c r="L189" s="125"/>
      <c r="M189" s="125"/>
      <c r="N189" s="125"/>
      <c r="O189" s="72"/>
      <c r="P189" s="72"/>
      <c r="Q189" s="132" t="s">
        <v>105</v>
      </c>
      <c r="R189" s="69"/>
      <c r="S189" s="48"/>
      <c r="T189" s="48"/>
      <c r="U189" s="48"/>
      <c r="V189" s="48"/>
      <c r="W189" s="48"/>
      <c r="X189" s="48"/>
      <c r="Y189" s="48"/>
      <c r="Z189" s="48"/>
      <c r="AA189" s="48"/>
      <c r="AB189" s="48"/>
      <c r="AE189" s="48" t="e">
        <f t="shared" si="54"/>
        <v>#DIV/0!</v>
      </c>
      <c r="AQ189" s="55"/>
      <c r="AR189" s="55"/>
      <c r="AS189" s="55"/>
      <c r="AT189" s="51"/>
    </row>
    <row r="190" spans="2:46" ht="15" hidden="1" customHeight="1" outlineLevel="1" x14ac:dyDescent="0.15">
      <c r="B190" s="57" t="s">
        <v>61</v>
      </c>
      <c r="C190" s="57"/>
      <c r="D190" s="57"/>
      <c r="E190" s="130"/>
      <c r="F190" s="130"/>
      <c r="G190" s="130"/>
      <c r="H190" s="130"/>
      <c r="I190" s="130"/>
      <c r="J190" s="130"/>
      <c r="K190" s="125"/>
      <c r="L190" s="125"/>
      <c r="M190" s="130"/>
      <c r="N190" s="130"/>
      <c r="O190" s="72"/>
      <c r="P190" s="72"/>
      <c r="Q190" s="132" t="s">
        <v>61</v>
      </c>
      <c r="R190" s="69"/>
      <c r="S190" s="48"/>
      <c r="T190" s="48"/>
      <c r="U190" s="48"/>
      <c r="V190" s="48"/>
      <c r="W190" s="48"/>
      <c r="X190" s="48"/>
      <c r="Y190" s="48"/>
      <c r="Z190" s="48"/>
      <c r="AA190" s="48"/>
      <c r="AB190" s="48"/>
      <c r="AE190" s="48"/>
      <c r="AQ190" s="42"/>
      <c r="AR190" s="42"/>
      <c r="AS190" s="42"/>
      <c r="AT190" s="42"/>
    </row>
    <row r="191" spans="2:46" ht="15" hidden="1" customHeight="1" outlineLevel="1" x14ac:dyDescent="0.15">
      <c r="B191" s="57" t="s">
        <v>68</v>
      </c>
      <c r="C191" s="57"/>
      <c r="D191" s="57"/>
      <c r="E191" s="125">
        <v>-3.2000000000000001E-2</v>
      </c>
      <c r="F191" s="125">
        <v>-0.38900000000000001</v>
      </c>
      <c r="G191" s="125">
        <v>-1.0760000000000001</v>
      </c>
      <c r="H191" s="125">
        <v>3.5150000000000001</v>
      </c>
      <c r="I191" s="125">
        <v>-0.45400000000000001</v>
      </c>
      <c r="J191" s="125">
        <v>-1.22</v>
      </c>
      <c r="K191" s="125"/>
      <c r="L191" s="125"/>
      <c r="M191" s="125"/>
      <c r="N191" s="125"/>
      <c r="O191" s="72"/>
      <c r="P191" s="72"/>
      <c r="Q191" s="132" t="s">
        <v>68</v>
      </c>
      <c r="R191" s="72"/>
      <c r="AQ191" s="55"/>
      <c r="AR191" s="55"/>
      <c r="AS191" s="55"/>
      <c r="AT191" s="55"/>
    </row>
    <row r="192" spans="2:46" ht="15" hidden="1" customHeight="1" outlineLevel="1" x14ac:dyDescent="0.15">
      <c r="B192" s="57" t="s">
        <v>106</v>
      </c>
      <c r="C192" s="57"/>
      <c r="D192" s="57"/>
      <c r="E192" s="125">
        <v>9.3219999999999992</v>
      </c>
      <c r="F192" s="125">
        <v>5.1260000000000003</v>
      </c>
      <c r="G192" s="125">
        <v>0.71499999999999997</v>
      </c>
      <c r="H192" s="125">
        <v>1.4259999999999999</v>
      </c>
      <c r="I192" s="125">
        <v>1.4850000000000001</v>
      </c>
      <c r="J192" s="125">
        <v>9.6959999999999997</v>
      </c>
      <c r="K192" s="125"/>
      <c r="L192" s="125"/>
      <c r="M192" s="125"/>
      <c r="N192" s="125"/>
      <c r="O192" s="72"/>
      <c r="P192" s="72"/>
      <c r="Q192" s="132" t="s">
        <v>106</v>
      </c>
      <c r="R192" s="72"/>
      <c r="AQ192" s="55"/>
      <c r="AR192" s="55"/>
      <c r="AS192" s="55"/>
      <c r="AT192" s="55"/>
    </row>
    <row r="193" spans="2:46" ht="15" hidden="1" customHeight="1" outlineLevel="1" x14ac:dyDescent="0.15">
      <c r="B193" s="57" t="s">
        <v>107</v>
      </c>
      <c r="C193" s="57"/>
      <c r="D193" s="57"/>
      <c r="E193" s="125">
        <v>46.591000000000001</v>
      </c>
      <c r="F193" s="125">
        <v>30.927</v>
      </c>
      <c r="G193" s="125">
        <v>28.059999000000001</v>
      </c>
      <c r="H193" s="125">
        <v>24.725000000000001</v>
      </c>
      <c r="I193" s="125">
        <v>29.83</v>
      </c>
      <c r="J193" s="125">
        <v>17.902999999999999</v>
      </c>
      <c r="K193" s="125"/>
      <c r="L193" s="125"/>
      <c r="M193" s="125"/>
      <c r="N193" s="125"/>
      <c r="O193" s="72"/>
      <c r="P193" s="72"/>
      <c r="Q193" s="132" t="s">
        <v>107</v>
      </c>
      <c r="R193" s="72"/>
      <c r="AQ193" s="55"/>
      <c r="AR193" s="55"/>
      <c r="AS193" s="55"/>
      <c r="AT193" s="55"/>
    </row>
    <row r="194" spans="2:46" ht="15" hidden="1" customHeight="1" outlineLevel="1" x14ac:dyDescent="0.15">
      <c r="B194" s="57" t="s">
        <v>108</v>
      </c>
      <c r="C194" s="57"/>
      <c r="D194" s="57"/>
      <c r="E194" s="130"/>
      <c r="F194" s="130"/>
      <c r="G194" s="130"/>
      <c r="H194" s="130"/>
      <c r="I194" s="130"/>
      <c r="J194" s="130"/>
      <c r="K194" s="130"/>
      <c r="L194" s="130"/>
      <c r="M194" s="130"/>
      <c r="N194" s="130"/>
      <c r="O194" s="72"/>
      <c r="P194" s="72"/>
      <c r="Q194" s="132" t="s">
        <v>108</v>
      </c>
      <c r="R194" s="72"/>
      <c r="AQ194" s="43"/>
      <c r="AR194" s="43"/>
      <c r="AS194" s="43"/>
      <c r="AT194" s="43"/>
    </row>
    <row r="195" spans="2:46" ht="15" hidden="1" customHeight="1" outlineLevel="1" x14ac:dyDescent="0.15">
      <c r="B195" s="57" t="s">
        <v>74</v>
      </c>
      <c r="C195" s="57"/>
      <c r="D195" s="57"/>
      <c r="E195" s="130"/>
      <c r="F195" s="130"/>
      <c r="G195" s="130"/>
      <c r="H195" s="125">
        <v>-0.501</v>
      </c>
      <c r="I195" s="125">
        <v>7.343</v>
      </c>
      <c r="J195" s="125">
        <v>1.4550000000000001</v>
      </c>
      <c r="K195" s="125"/>
      <c r="L195" s="125"/>
      <c r="M195" s="125"/>
      <c r="N195" s="125"/>
      <c r="O195" s="72"/>
      <c r="P195" s="72"/>
      <c r="Q195" s="132" t="s">
        <v>74</v>
      </c>
      <c r="R195" s="72"/>
      <c r="AQ195" s="51"/>
      <c r="AR195" s="51"/>
      <c r="AS195" s="51"/>
      <c r="AT195" s="51"/>
    </row>
    <row r="196" spans="2:46" ht="15" customHeight="1" x14ac:dyDescent="0.15">
      <c r="E196" s="72"/>
      <c r="F196" s="72"/>
      <c r="G196" s="72"/>
      <c r="H196" s="72"/>
      <c r="I196" s="72"/>
      <c r="J196" s="72"/>
      <c r="K196" s="72"/>
      <c r="L196" s="72"/>
      <c r="M196" s="72"/>
      <c r="N196" s="72"/>
      <c r="O196" s="72"/>
      <c r="P196" s="72"/>
      <c r="Q196" s="72"/>
      <c r="R196" s="72"/>
      <c r="AQ196" s="51"/>
      <c r="AR196" s="51"/>
      <c r="AS196" s="51"/>
      <c r="AT196" s="51"/>
    </row>
    <row r="197" spans="2:46" ht="15" customHeight="1" x14ac:dyDescent="0.15">
      <c r="E197" s="72"/>
      <c r="F197" s="72"/>
      <c r="G197" s="72"/>
      <c r="H197" s="72"/>
      <c r="I197" s="72"/>
      <c r="J197" s="72"/>
      <c r="K197" s="72"/>
      <c r="L197" s="72"/>
      <c r="M197" s="72"/>
      <c r="N197" s="72"/>
      <c r="O197" s="72"/>
      <c r="P197" s="72"/>
      <c r="Q197" s="72"/>
      <c r="R197" s="72"/>
      <c r="AQ197" s="51"/>
      <c r="AR197" s="51"/>
      <c r="AS197" s="51"/>
      <c r="AT197" s="51"/>
    </row>
    <row r="198" spans="2:46" ht="15" customHeight="1" x14ac:dyDescent="0.15">
      <c r="E198" s="72"/>
      <c r="F198" s="72"/>
      <c r="G198" s="72"/>
      <c r="H198" s="72"/>
      <c r="I198" s="72"/>
      <c r="J198" s="72"/>
      <c r="K198" s="72"/>
      <c r="L198" s="72"/>
      <c r="M198" s="72"/>
      <c r="N198" s="72"/>
      <c r="O198" s="72"/>
      <c r="P198" s="72"/>
      <c r="Q198" s="72"/>
      <c r="R198" s="72"/>
      <c r="AQ198" s="41"/>
      <c r="AR198" s="51"/>
      <c r="AS198" s="51"/>
      <c r="AT198" s="41"/>
    </row>
    <row r="199" spans="2:46" ht="15" customHeight="1" x14ac:dyDescent="0.15">
      <c r="E199" s="72"/>
      <c r="F199" s="72"/>
      <c r="G199" s="72"/>
      <c r="H199" s="72"/>
      <c r="I199" s="72"/>
      <c r="J199" s="72"/>
      <c r="K199" s="72"/>
      <c r="L199" s="72"/>
      <c r="M199" s="72"/>
      <c r="N199" s="72"/>
      <c r="O199" s="72"/>
      <c r="P199" s="72"/>
      <c r="Q199" s="72"/>
      <c r="R199" s="72"/>
      <c r="AQ199" s="41"/>
      <c r="AR199" s="41"/>
      <c r="AS199" s="41"/>
      <c r="AT199" s="41"/>
    </row>
    <row r="200" spans="2:46" ht="15" customHeight="1" x14ac:dyDescent="0.15">
      <c r="E200" s="72"/>
      <c r="F200" s="72"/>
      <c r="G200" s="72"/>
      <c r="H200" s="72"/>
      <c r="I200" s="72"/>
      <c r="J200" s="72"/>
      <c r="K200" s="72"/>
      <c r="L200" s="72"/>
      <c r="M200" s="72"/>
      <c r="N200" s="72"/>
      <c r="O200" s="72"/>
      <c r="P200" s="72"/>
      <c r="Q200" s="72"/>
      <c r="R200" s="72"/>
    </row>
    <row r="201" spans="2:46" ht="15" customHeight="1" x14ac:dyDescent="0.15">
      <c r="E201" s="72"/>
      <c r="F201" s="72"/>
      <c r="G201" s="72"/>
      <c r="H201" s="72"/>
      <c r="I201" s="72"/>
      <c r="J201" s="72"/>
      <c r="K201" s="130"/>
      <c r="L201" s="130"/>
      <c r="M201" s="130"/>
      <c r="N201" s="125"/>
      <c r="O201" s="130"/>
      <c r="P201" s="125"/>
      <c r="Q201" s="125"/>
      <c r="R201" s="125"/>
      <c r="S201" s="51"/>
      <c r="T201" s="53"/>
      <c r="U201" s="51"/>
      <c r="V201" s="51"/>
      <c r="W201" s="43"/>
      <c r="X201" s="43"/>
      <c r="Y201" s="43"/>
      <c r="Z201" s="51"/>
      <c r="AA201" s="51"/>
      <c r="AB201" s="51"/>
      <c r="AC201" s="55"/>
      <c r="AD201" s="51"/>
      <c r="AE201" s="55"/>
      <c r="AF201" s="43"/>
      <c r="AG201" s="55"/>
      <c r="AH201" s="55"/>
      <c r="AI201" s="55"/>
      <c r="AJ201" s="42"/>
      <c r="AK201" s="55"/>
      <c r="AL201" s="55"/>
      <c r="AM201" s="55"/>
      <c r="AN201" s="43"/>
      <c r="AO201" s="51"/>
      <c r="AP201" s="51"/>
      <c r="AQ201" s="51"/>
      <c r="AR201" s="41"/>
      <c r="AS201" s="41"/>
    </row>
    <row r="202" spans="2:46" ht="15" customHeight="1" x14ac:dyDescent="0.15">
      <c r="E202" s="122"/>
      <c r="F202" s="122"/>
      <c r="G202" s="125"/>
      <c r="H202" s="125"/>
      <c r="I202" s="125"/>
      <c r="J202" s="122"/>
      <c r="K202" s="130"/>
      <c r="L202" s="130"/>
      <c r="M202" s="125"/>
      <c r="N202" s="125"/>
      <c r="O202" s="130"/>
      <c r="P202" s="125"/>
      <c r="Q202" s="125"/>
      <c r="R202" s="125"/>
      <c r="S202" s="51"/>
      <c r="T202" s="53"/>
      <c r="U202" s="51"/>
      <c r="V202" s="51"/>
      <c r="W202" s="43"/>
      <c r="X202" s="43"/>
      <c r="Y202" s="43"/>
      <c r="Z202" s="51"/>
      <c r="AA202" s="51"/>
      <c r="AB202" s="51"/>
      <c r="AC202" s="51"/>
      <c r="AD202" s="51"/>
      <c r="AE202" s="55"/>
      <c r="AF202" s="43"/>
      <c r="AG202" s="55"/>
      <c r="AH202" s="55"/>
      <c r="AI202" s="55"/>
      <c r="AJ202" s="42"/>
      <c r="AK202" s="55"/>
      <c r="AL202" s="55"/>
      <c r="AM202" s="55"/>
      <c r="AN202" s="43"/>
      <c r="AO202" s="51"/>
      <c r="AP202" s="51"/>
      <c r="AQ202" s="51"/>
      <c r="AR202" s="41"/>
      <c r="AS202" s="51"/>
    </row>
    <row r="203" spans="2:46" ht="15" customHeight="1" x14ac:dyDescent="0.15">
      <c r="E203" s="122"/>
      <c r="F203" s="122"/>
      <c r="G203" s="125"/>
      <c r="H203" s="125"/>
      <c r="I203" s="125"/>
      <c r="J203" s="122"/>
      <c r="K203" s="130"/>
      <c r="L203" s="130"/>
      <c r="M203" s="125"/>
      <c r="N203" s="125"/>
      <c r="O203" s="125"/>
      <c r="P203" s="125"/>
      <c r="Q203" s="125"/>
      <c r="R203" s="125"/>
      <c r="S203" s="51"/>
      <c r="T203" s="43"/>
      <c r="U203" s="55"/>
      <c r="V203" s="55"/>
      <c r="W203" s="43"/>
      <c r="X203" s="43"/>
      <c r="Y203" s="43"/>
      <c r="Z203" s="51"/>
      <c r="AA203" s="51"/>
      <c r="AB203" s="51"/>
      <c r="AC203" s="51"/>
      <c r="AD203" s="51"/>
      <c r="AE203" s="51"/>
      <c r="AF203" s="43"/>
      <c r="AG203" s="55"/>
      <c r="AH203" s="55"/>
      <c r="AI203" s="55"/>
      <c r="AJ203" s="42"/>
      <c r="AK203" s="55"/>
      <c r="AL203" s="55"/>
      <c r="AM203" s="55"/>
      <c r="AN203" s="43"/>
      <c r="AO203" s="51"/>
      <c r="AP203" s="51"/>
      <c r="AQ203" s="51"/>
      <c r="AR203" s="41"/>
      <c r="AS203" s="51"/>
    </row>
    <row r="204" spans="2:46" ht="15" customHeight="1" x14ac:dyDescent="0.15">
      <c r="E204" s="43"/>
      <c r="F204" s="43"/>
      <c r="G204" s="51"/>
      <c r="H204" s="51"/>
      <c r="I204" s="51"/>
      <c r="J204" s="43"/>
      <c r="K204" s="55"/>
      <c r="L204" s="55"/>
      <c r="M204" s="51"/>
      <c r="N204" s="51"/>
      <c r="O204" s="51"/>
      <c r="P204" s="51"/>
      <c r="Q204" s="51"/>
      <c r="R204" s="51"/>
      <c r="S204" s="51"/>
      <c r="T204" s="43"/>
      <c r="U204" s="55"/>
      <c r="V204" s="55"/>
      <c r="W204" s="43"/>
      <c r="X204" s="43"/>
      <c r="Y204" s="43"/>
      <c r="Z204" s="51"/>
      <c r="AA204" s="51"/>
      <c r="AB204" s="51"/>
      <c r="AC204" s="51"/>
      <c r="AD204" s="51"/>
      <c r="AE204" s="51"/>
      <c r="AF204" s="43"/>
      <c r="AG204" s="55"/>
      <c r="AH204" s="55"/>
      <c r="AI204" s="55"/>
      <c r="AJ204" s="42"/>
      <c r="AK204" s="55"/>
      <c r="AL204" s="55"/>
      <c r="AM204" s="55"/>
      <c r="AN204" s="43"/>
      <c r="AO204" s="51"/>
      <c r="AP204" s="51"/>
      <c r="AQ204" s="51"/>
      <c r="AR204" s="51"/>
      <c r="AS204" s="51"/>
    </row>
    <row r="205" spans="2:46" ht="15" customHeight="1" x14ac:dyDescent="0.15">
      <c r="E205" s="43"/>
      <c r="F205" s="43"/>
      <c r="G205" s="51"/>
      <c r="H205" s="51"/>
      <c r="I205" s="51"/>
      <c r="J205" s="43"/>
      <c r="K205" s="55"/>
      <c r="L205" s="55"/>
      <c r="M205" s="51"/>
      <c r="N205" s="51"/>
      <c r="O205" s="51"/>
      <c r="P205" s="51"/>
      <c r="Q205" s="51"/>
      <c r="R205" s="51"/>
      <c r="S205" s="51"/>
      <c r="T205" s="43"/>
      <c r="U205" s="55"/>
      <c r="V205" s="55"/>
      <c r="W205" s="43"/>
      <c r="X205" s="43"/>
      <c r="Y205" s="43"/>
      <c r="Z205" s="51"/>
      <c r="AA205" s="51"/>
      <c r="AB205" s="51"/>
      <c r="AC205" s="51"/>
      <c r="AD205" s="51"/>
      <c r="AE205" s="51"/>
      <c r="AF205" s="43"/>
      <c r="AG205" s="55"/>
      <c r="AH205" s="55"/>
      <c r="AI205" s="55"/>
      <c r="AJ205" s="42"/>
      <c r="AK205" s="55"/>
      <c r="AL205" s="55"/>
      <c r="AM205" s="55"/>
      <c r="AN205" s="43"/>
      <c r="AO205" s="51"/>
      <c r="AP205" s="51"/>
      <c r="AQ205" s="51"/>
      <c r="AR205" s="41"/>
      <c r="AS205" s="51"/>
    </row>
    <row r="206" spans="2:46" ht="15" customHeight="1" x14ac:dyDescent="0.15">
      <c r="E206" s="43"/>
      <c r="F206" s="43"/>
      <c r="G206" s="51"/>
      <c r="H206" s="51"/>
      <c r="I206" s="51"/>
      <c r="J206" s="43"/>
      <c r="K206" s="55"/>
      <c r="L206" s="55"/>
      <c r="M206" s="51"/>
      <c r="N206" s="51"/>
      <c r="O206" s="51"/>
      <c r="P206" s="51"/>
      <c r="Q206" s="51"/>
      <c r="R206" s="51"/>
      <c r="S206" s="51"/>
      <c r="T206" s="43"/>
      <c r="U206" s="55"/>
      <c r="V206" s="55"/>
      <c r="W206" s="43"/>
      <c r="X206" s="43"/>
      <c r="Y206" s="43"/>
      <c r="Z206" s="51"/>
      <c r="AA206" s="51"/>
      <c r="AB206" s="51"/>
      <c r="AC206" s="51"/>
      <c r="AD206" s="51"/>
      <c r="AE206" s="51"/>
      <c r="AF206" s="43"/>
      <c r="AG206" s="55"/>
      <c r="AH206" s="55"/>
      <c r="AI206" s="55"/>
      <c r="AJ206" s="42"/>
      <c r="AK206" s="55"/>
      <c r="AL206" s="55"/>
      <c r="AM206" s="55"/>
      <c r="AN206" s="43"/>
      <c r="AO206" s="51"/>
      <c r="AP206" s="51"/>
      <c r="AQ206" s="51"/>
      <c r="AR206" s="51"/>
      <c r="AS206" s="41"/>
    </row>
  </sheetData>
  <sortState xmlns:xlrd2="http://schemas.microsoft.com/office/spreadsheetml/2017/richdata2" ref="S155:AH160">
    <sortCondition ref="S155:S160"/>
  </sortState>
  <mergeCells count="23">
    <mergeCell ref="C91:G91"/>
    <mergeCell ref="K91:O91"/>
    <mergeCell ref="C92:G92"/>
    <mergeCell ref="K92:O92"/>
    <mergeCell ref="B80:O80"/>
    <mergeCell ref="Q80:S80"/>
    <mergeCell ref="C82:G82"/>
    <mergeCell ref="K82:O82"/>
    <mergeCell ref="C83:G83"/>
    <mergeCell ref="K83:O83"/>
    <mergeCell ref="Q25:S25"/>
    <mergeCell ref="Q103:S103"/>
    <mergeCell ref="Q172:S172"/>
    <mergeCell ref="Q128:S128"/>
    <mergeCell ref="C69:G69"/>
    <mergeCell ref="K69:O69"/>
    <mergeCell ref="C70:G70"/>
    <mergeCell ref="K70:O70"/>
    <mergeCell ref="B58:O58"/>
    <mergeCell ref="C60:G60"/>
    <mergeCell ref="K60:O60"/>
    <mergeCell ref="C61:G61"/>
    <mergeCell ref="K61:O61"/>
  </mergeCells>
  <hyperlinks>
    <hyperlink ref="J105"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5"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5"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5"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5"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5"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06"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06"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06"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06"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06"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06"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07"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07"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07"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07"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07"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07"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08"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08"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08"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08"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08"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08"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09"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09"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09"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09"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09"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09"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0"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0"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0"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0"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0"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0"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1"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1"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1"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1"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1"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1"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2"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2"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2"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2"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2"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2"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3"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3"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3"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3"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3"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3"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4"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4"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4"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4"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4"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4"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5"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5"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5"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5"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5"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5"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16"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16"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16"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16"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16"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16"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17"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17"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17"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17"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17"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17"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18"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18"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18"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18"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18"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18"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0"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0"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0"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0"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0"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0"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2"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2"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2"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2"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2"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2"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3"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3"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3"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3"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3"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3"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5"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5"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5"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5"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5"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5"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26"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26"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26"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26"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26"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26"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89"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89"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89"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89"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89"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89"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1"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1"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1"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1"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1"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1"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2"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2"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2"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2"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2"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2"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3"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3"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3"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3"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3"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3"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5"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5"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5"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29"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29"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29"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29"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29"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29"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0"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0"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0"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0"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0"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0"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1"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1"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1"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1"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1"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1"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2"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2"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2"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2"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2"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2"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3"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3"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3"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3"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3"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3"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4"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4"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4"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4"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4"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4"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37"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37"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37"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37"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37"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38"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38"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38"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38"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38"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38"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39"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39"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39"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39"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0"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0"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0"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0"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0"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0"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1"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1"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1"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1"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1"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1"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2"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2"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2"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2"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2"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2"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3"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3"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3"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3"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3"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3"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4"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4"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4"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4"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5"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5"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46"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46"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47"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47"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47"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47"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47"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47"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48"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48"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48"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48"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48"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48"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49"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49"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49"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49"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49"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49"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0"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0"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0"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0"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0"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0"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1"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1"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1"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1"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1"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1"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2"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2"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2"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2"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2"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2"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3"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3"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3"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3"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3"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4"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4"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4"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4"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4"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4"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5"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5"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5"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5"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56"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56"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56"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56"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56"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56"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4"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4"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4"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4"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4"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4"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5"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5"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5"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5"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5"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5"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66"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66"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66"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66"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66"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66"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67"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67"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67"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67"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67"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67"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68"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68"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68"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68"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68"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68"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69"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69"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69"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69"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69"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69"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4"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4"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4"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4"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4"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4"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5"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5"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5"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5"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5"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5"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77"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77"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77"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77"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77"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77"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78"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78"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78"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79"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79"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79"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79"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79"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79"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0"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0"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0"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0"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0"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0"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1"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1"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1"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1"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1"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1"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3"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3"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3"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3"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3"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3"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4"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5"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5"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5"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5"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5"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5"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88"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88"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88"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88"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88"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88"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4"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4"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4"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4"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4"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4"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29:O31" unlockedFormula="1"/>
  </ignoredErrors>
  <drawing r:id="rId382"/>
  <legacyDrawing r:id="rId38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QLYS-US</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2022-03-10T23:23:00Z</dcterms:modified>
  <cp:category/>
</cp:coreProperties>
</file>