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F250C6D1-3DDB-884C-BAB7-7BD2ECBA7FAB}" xr6:coauthVersionLast="47" xr6:coauthVersionMax="47" xr10:uidLastSave="{00000000-0000-0000-0000-000000000000}"/>
  <bookViews>
    <workbookView xWindow="31840" yWindow="500" windowWidth="63260" windowHeight="28300" activeTab="2" xr2:uid="{FB38C9C3-63EC-E541-8926-FAD826E7071A}"/>
  </bookViews>
  <sheets>
    <sheet name="DCF" sheetId="1" r:id="rId1"/>
    <sheet name="Revenue" sheetId="2" r:id="rId2"/>
    <sheet name="Financial Statements" sheetId="3" r:id="rId3"/>
  </sheets>
  <externalReferences>
    <externalReference r:id="rId4"/>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 i="3" l="1"/>
  <c r="E34" i="3"/>
  <c r="G34" i="3"/>
  <c r="H34" i="3"/>
  <c r="I34" i="3"/>
  <c r="W28" i="3"/>
  <c r="W23" i="3"/>
  <c r="H3" i="3"/>
  <c r="V23" i="3"/>
  <c r="E3" i="3"/>
  <c r="S23" i="3"/>
  <c r="F3" i="3"/>
  <c r="T23" i="3"/>
  <c r="G3" i="3"/>
  <c r="U23" i="3"/>
  <c r="AB23" i="3"/>
  <c r="Y29" i="3"/>
  <c r="Z29" i="3"/>
  <c r="AA29" i="3"/>
  <c r="M3" i="3"/>
  <c r="J34" i="3"/>
  <c r="X28" i="3"/>
  <c r="K34" i="3"/>
  <c r="Y28" i="3"/>
  <c r="L34" i="3"/>
  <c r="Z28" i="3"/>
  <c r="M34" i="3"/>
  <c r="AA28" i="3"/>
  <c r="AA23" i="3"/>
  <c r="L3" i="3"/>
  <c r="Z23" i="3"/>
  <c r="K3" i="3"/>
  <c r="Y23" i="3"/>
  <c r="J3" i="3"/>
  <c r="X23" i="3"/>
  <c r="S22" i="3"/>
  <c r="T22" i="3"/>
  <c r="U22" i="3"/>
  <c r="V22" i="3"/>
  <c r="AB22" i="3"/>
  <c r="E33" i="3"/>
  <c r="G33" i="3"/>
  <c r="H33" i="3"/>
  <c r="I33" i="3"/>
  <c r="W27" i="3"/>
  <c r="J33" i="3"/>
  <c r="X27" i="3"/>
  <c r="K33" i="3"/>
  <c r="Y27" i="3"/>
  <c r="L33" i="3"/>
  <c r="Z27" i="3"/>
  <c r="M33" i="3"/>
  <c r="AA27" i="3"/>
  <c r="AG26" i="3"/>
  <c r="S33" i="3"/>
  <c r="T33" i="3"/>
  <c r="U33" i="3"/>
  <c r="V33" i="3"/>
  <c r="AB33" i="3"/>
  <c r="S39" i="3"/>
  <c r="T39" i="3"/>
  <c r="U39" i="3"/>
  <c r="V39" i="3"/>
  <c r="AB39" i="3"/>
  <c r="S38" i="3"/>
  <c r="T38" i="3"/>
  <c r="U38" i="3"/>
  <c r="V38" i="3"/>
  <c r="AB38" i="3"/>
  <c r="S37" i="3"/>
  <c r="T37" i="3"/>
  <c r="U37" i="3"/>
  <c r="V37" i="3"/>
  <c r="AB37" i="3"/>
  <c r="S36" i="3"/>
  <c r="T36" i="3"/>
  <c r="U36" i="3"/>
  <c r="V36" i="3"/>
  <c r="AB36" i="3"/>
  <c r="S35" i="3"/>
  <c r="T35" i="3"/>
  <c r="U35" i="3"/>
  <c r="V35" i="3"/>
  <c r="AB35" i="3"/>
  <c r="S34" i="3"/>
  <c r="T34" i="3"/>
  <c r="U34" i="3"/>
  <c r="V34" i="3"/>
  <c r="AB34" i="3"/>
  <c r="S32" i="3"/>
  <c r="T32" i="3"/>
  <c r="U32" i="3"/>
  <c r="V32" i="3"/>
  <c r="AB32" i="3"/>
  <c r="S21" i="3"/>
  <c r="T21" i="3"/>
  <c r="U21" i="3"/>
  <c r="V21" i="3"/>
  <c r="AB21" i="3"/>
  <c r="S20" i="3"/>
  <c r="T20" i="3"/>
  <c r="U20" i="3"/>
  <c r="V20" i="3"/>
  <c r="AB20" i="3"/>
  <c r="E137" i="3"/>
  <c r="S17" i="3"/>
  <c r="F137" i="3"/>
  <c r="T17" i="3"/>
  <c r="G137" i="3"/>
  <c r="U17" i="3"/>
  <c r="H137" i="3"/>
  <c r="V17" i="3"/>
  <c r="AB17" i="3"/>
  <c r="S16" i="3"/>
  <c r="T16" i="3"/>
  <c r="U16" i="3"/>
  <c r="V16" i="3"/>
  <c r="AB16" i="3"/>
  <c r="S15" i="3"/>
  <c r="T15" i="3"/>
  <c r="U15" i="3"/>
  <c r="V15" i="3"/>
  <c r="AB15" i="3"/>
  <c r="S12" i="3"/>
  <c r="T12" i="3"/>
  <c r="U12" i="3"/>
  <c r="V12" i="3"/>
  <c r="AB12" i="3"/>
  <c r="S11" i="3"/>
  <c r="T11" i="3"/>
  <c r="U11" i="3"/>
  <c r="V11" i="3"/>
  <c r="AB11" i="3"/>
  <c r="S10" i="3"/>
  <c r="T10" i="3"/>
  <c r="U10" i="3"/>
  <c r="V10" i="3"/>
  <c r="AB10" i="3"/>
  <c r="S5" i="3"/>
  <c r="T5" i="3"/>
  <c r="U5" i="3"/>
  <c r="V5" i="3"/>
  <c r="AB5" i="3"/>
  <c r="S6" i="3"/>
  <c r="T6" i="3"/>
  <c r="U6" i="3"/>
  <c r="V6" i="3"/>
  <c r="AB6" i="3"/>
  <c r="S7" i="3"/>
  <c r="T7" i="3"/>
  <c r="U7" i="3"/>
  <c r="V7" i="3"/>
  <c r="AB7" i="3"/>
  <c r="S4" i="3"/>
  <c r="T4" i="3"/>
  <c r="U4" i="3"/>
  <c r="V4" i="3"/>
  <c r="AB4" i="3"/>
  <c r="AB27" i="3"/>
  <c r="AB28" i="3"/>
  <c r="AB29" i="3"/>
  <c r="E25" i="3"/>
  <c r="F25" i="3"/>
  <c r="G25" i="3"/>
  <c r="H25" i="3"/>
  <c r="I25" i="3"/>
  <c r="I5" i="3"/>
  <c r="F26" i="3"/>
  <c r="G26" i="3"/>
  <c r="H26" i="3"/>
  <c r="I26" i="3"/>
  <c r="I6" i="3"/>
  <c r="H27" i="3"/>
  <c r="I27" i="3"/>
  <c r="I7" i="3"/>
  <c r="I9" i="3"/>
  <c r="I10" i="3"/>
  <c r="H110" i="3"/>
  <c r="I110" i="3"/>
  <c r="I74" i="3"/>
  <c r="H111" i="3"/>
  <c r="I111" i="3"/>
  <c r="I77" i="3"/>
  <c r="H114" i="3"/>
  <c r="I114" i="3"/>
  <c r="I80" i="3"/>
  <c r="E22" i="3"/>
  <c r="F22" i="3"/>
  <c r="G22" i="3"/>
  <c r="H22" i="3"/>
  <c r="I22" i="3"/>
  <c r="I12" i="3"/>
  <c r="I14" i="3"/>
  <c r="E21" i="3"/>
  <c r="F21" i="3"/>
  <c r="G21" i="3"/>
  <c r="H21" i="3"/>
  <c r="I21" i="3"/>
  <c r="I15" i="3"/>
  <c r="I16" i="3"/>
  <c r="E28" i="3"/>
  <c r="F28" i="3"/>
  <c r="G28" i="3"/>
  <c r="H28" i="3"/>
  <c r="I28" i="3"/>
  <c r="I17" i="3"/>
  <c r="I18" i="3"/>
  <c r="W26" i="3"/>
  <c r="J5" i="3"/>
  <c r="J6" i="3"/>
  <c r="J7" i="3"/>
  <c r="J9" i="3"/>
  <c r="J10" i="3"/>
  <c r="J110" i="3"/>
  <c r="J74" i="3"/>
  <c r="J111" i="3"/>
  <c r="J77" i="3"/>
  <c r="J114" i="3"/>
  <c r="J80" i="3"/>
  <c r="J22" i="3"/>
  <c r="J12" i="3"/>
  <c r="J14" i="3"/>
  <c r="J15" i="3"/>
  <c r="J16" i="3"/>
  <c r="J28" i="3"/>
  <c r="J17" i="3"/>
  <c r="J18" i="3"/>
  <c r="X26" i="3"/>
  <c r="K5" i="3"/>
  <c r="K6" i="3"/>
  <c r="K7" i="3"/>
  <c r="K9" i="3"/>
  <c r="K10" i="3"/>
  <c r="K110" i="3"/>
  <c r="K74" i="3"/>
  <c r="K111" i="3"/>
  <c r="K77" i="3"/>
  <c r="K114" i="3"/>
  <c r="K80" i="3"/>
  <c r="K22" i="3"/>
  <c r="K12" i="3"/>
  <c r="K14" i="3"/>
  <c r="K15" i="3"/>
  <c r="K16" i="3"/>
  <c r="K28" i="3"/>
  <c r="K17" i="3"/>
  <c r="K18" i="3"/>
  <c r="Y26" i="3"/>
  <c r="L5" i="3"/>
  <c r="L6" i="3"/>
  <c r="L7" i="3"/>
  <c r="L9" i="3"/>
  <c r="L10" i="3"/>
  <c r="L110" i="3"/>
  <c r="L74" i="3"/>
  <c r="L111" i="3"/>
  <c r="L77" i="3"/>
  <c r="L114" i="3"/>
  <c r="L80" i="3"/>
  <c r="L22" i="3"/>
  <c r="L12" i="3"/>
  <c r="L14" i="3"/>
  <c r="L15" i="3"/>
  <c r="L16" i="3"/>
  <c r="L28" i="3"/>
  <c r="L17" i="3"/>
  <c r="L18" i="3"/>
  <c r="Z26" i="3"/>
  <c r="M5" i="3"/>
  <c r="M6" i="3"/>
  <c r="M7" i="3"/>
  <c r="M9" i="3"/>
  <c r="M10" i="3"/>
  <c r="M110" i="3"/>
  <c r="M74" i="3"/>
  <c r="M111" i="3"/>
  <c r="M77" i="3"/>
  <c r="M114" i="3"/>
  <c r="M80" i="3"/>
  <c r="M22" i="3"/>
  <c r="M12" i="3"/>
  <c r="M14" i="3"/>
  <c r="M15" i="3"/>
  <c r="M16" i="3"/>
  <c r="M28" i="3"/>
  <c r="M17" i="3"/>
  <c r="M18" i="3"/>
  <c r="AA26" i="3"/>
  <c r="AB26" i="3"/>
  <c r="W25" i="3"/>
  <c r="X25" i="3"/>
  <c r="Y25" i="3"/>
  <c r="Z25" i="3"/>
  <c r="AA25" i="3"/>
  <c r="AB25" i="3"/>
  <c r="W22" i="3"/>
  <c r="X22" i="3"/>
  <c r="Y22" i="3"/>
  <c r="Z22" i="3"/>
  <c r="AA22" i="3"/>
  <c r="E43" i="3"/>
  <c r="F43" i="3"/>
  <c r="G43" i="3"/>
  <c r="H43" i="3"/>
  <c r="I43" i="3"/>
  <c r="J43" i="3"/>
  <c r="K43" i="3"/>
  <c r="L43" i="3"/>
  <c r="M43" i="3"/>
  <c r="N43" i="3"/>
  <c r="E42" i="3"/>
  <c r="F42" i="3"/>
  <c r="G42" i="3"/>
  <c r="H42" i="3"/>
  <c r="I42" i="3"/>
  <c r="J42" i="3"/>
  <c r="K42" i="3"/>
  <c r="L42" i="3"/>
  <c r="M42" i="3"/>
  <c r="N42" i="3"/>
  <c r="E41" i="3"/>
  <c r="F41" i="3"/>
  <c r="G41" i="3"/>
  <c r="H41" i="3"/>
  <c r="I41" i="3"/>
  <c r="J41" i="3"/>
  <c r="K41" i="3"/>
  <c r="L41" i="3"/>
  <c r="M41" i="3"/>
  <c r="N41" i="3"/>
  <c r="E39" i="3"/>
  <c r="F39" i="3"/>
  <c r="G39" i="3"/>
  <c r="H39" i="3"/>
  <c r="I39" i="3"/>
  <c r="J39" i="3"/>
  <c r="K39" i="3"/>
  <c r="L39" i="3"/>
  <c r="M39" i="3"/>
  <c r="N39" i="3"/>
  <c r="E37" i="3"/>
  <c r="F37" i="3"/>
  <c r="G37" i="3"/>
  <c r="H37" i="3"/>
  <c r="I37" i="3"/>
  <c r="J37" i="3"/>
  <c r="K37" i="3"/>
  <c r="L37" i="3"/>
  <c r="M37" i="3"/>
  <c r="N37" i="3"/>
  <c r="N33" i="3"/>
  <c r="E32" i="3"/>
  <c r="F32" i="3"/>
  <c r="G32" i="3"/>
  <c r="H32" i="3"/>
  <c r="I32" i="3"/>
  <c r="J32" i="3"/>
  <c r="K32" i="3"/>
  <c r="L32" i="3"/>
  <c r="M32" i="3"/>
  <c r="N32" i="3"/>
  <c r="N34" i="3"/>
  <c r="E31" i="3"/>
  <c r="F31" i="3"/>
  <c r="G31" i="3"/>
  <c r="H31" i="3"/>
  <c r="I31" i="3"/>
  <c r="J31" i="3"/>
  <c r="K31" i="3"/>
  <c r="L31" i="3"/>
  <c r="M31" i="3"/>
  <c r="N31" i="3"/>
  <c r="E30" i="3"/>
  <c r="F30" i="3"/>
  <c r="G30" i="3"/>
  <c r="H30" i="3"/>
  <c r="I30" i="3"/>
  <c r="J30" i="3"/>
  <c r="K30" i="3"/>
  <c r="L30" i="3"/>
  <c r="M30" i="3"/>
  <c r="N30" i="3"/>
  <c r="I4" i="3"/>
  <c r="E95" i="3"/>
  <c r="F95" i="3"/>
  <c r="G95" i="3"/>
  <c r="H95" i="3"/>
  <c r="I95" i="3"/>
  <c r="I51" i="3"/>
  <c r="W16" i="3"/>
  <c r="J4" i="3"/>
  <c r="J95" i="3"/>
  <c r="J51" i="3"/>
  <c r="X16" i="3"/>
  <c r="K4" i="3"/>
  <c r="K95" i="3"/>
  <c r="K51" i="3"/>
  <c r="Y16" i="3"/>
  <c r="L4" i="3"/>
  <c r="L95" i="3"/>
  <c r="L51" i="3"/>
  <c r="Z16" i="3"/>
  <c r="M4" i="3"/>
  <c r="M95" i="3"/>
  <c r="M51" i="3"/>
  <c r="AA16" i="3"/>
  <c r="E94" i="3"/>
  <c r="F94" i="3"/>
  <c r="G94" i="3"/>
  <c r="H94" i="3"/>
  <c r="I94" i="3"/>
  <c r="I50" i="3"/>
  <c r="I137" i="3"/>
  <c r="W17" i="3"/>
  <c r="J94" i="3"/>
  <c r="J50" i="3"/>
  <c r="J137" i="3"/>
  <c r="X17" i="3"/>
  <c r="K94" i="3"/>
  <c r="K50" i="3"/>
  <c r="K137" i="3"/>
  <c r="Y17" i="3"/>
  <c r="L94" i="3"/>
  <c r="L50" i="3"/>
  <c r="L137" i="3"/>
  <c r="Z17" i="3"/>
  <c r="M94" i="3"/>
  <c r="M50" i="3"/>
  <c r="M137" i="3"/>
  <c r="AA17" i="3"/>
  <c r="W36" i="3"/>
  <c r="X36" i="3"/>
  <c r="Y36" i="3"/>
  <c r="Z36" i="3"/>
  <c r="AA36" i="3"/>
  <c r="E97" i="3"/>
  <c r="F97" i="3"/>
  <c r="G97" i="3"/>
  <c r="H97" i="3"/>
  <c r="I97" i="3"/>
  <c r="I55" i="3"/>
  <c r="G98" i="3"/>
  <c r="H98" i="3"/>
  <c r="I98" i="3"/>
  <c r="I56" i="3"/>
  <c r="F99" i="3"/>
  <c r="G99" i="3"/>
  <c r="H99" i="3"/>
  <c r="I99" i="3"/>
  <c r="I57" i="3"/>
  <c r="E100" i="3"/>
  <c r="F100" i="3"/>
  <c r="G100" i="3"/>
  <c r="H100" i="3"/>
  <c r="I100" i="3"/>
  <c r="I58" i="3"/>
  <c r="I60" i="3"/>
  <c r="E101" i="3"/>
  <c r="F101" i="3"/>
  <c r="G101" i="3"/>
  <c r="H101" i="3"/>
  <c r="I101" i="3"/>
  <c r="I61" i="3"/>
  <c r="E102" i="3"/>
  <c r="F102" i="3"/>
  <c r="G102" i="3"/>
  <c r="H102" i="3"/>
  <c r="I102" i="3"/>
  <c r="I64" i="3"/>
  <c r="I65" i="3"/>
  <c r="F214" i="3"/>
  <c r="G214" i="3"/>
  <c r="H214" i="3"/>
  <c r="I214" i="3"/>
  <c r="I174" i="3"/>
  <c r="I86" i="3"/>
  <c r="E215" i="3"/>
  <c r="F215" i="3"/>
  <c r="G215" i="3"/>
  <c r="I215" i="3"/>
  <c r="I180" i="3"/>
  <c r="G216" i="3"/>
  <c r="H216" i="3"/>
  <c r="I216" i="3"/>
  <c r="I182" i="3"/>
  <c r="E217" i="3"/>
  <c r="F217" i="3"/>
  <c r="G217" i="3"/>
  <c r="H217" i="3"/>
  <c r="I217" i="3"/>
  <c r="I183" i="3"/>
  <c r="E218" i="3"/>
  <c r="F218" i="3"/>
  <c r="G218" i="3"/>
  <c r="H218" i="3"/>
  <c r="I218" i="3"/>
  <c r="I185" i="3"/>
  <c r="E219" i="3"/>
  <c r="F219" i="3"/>
  <c r="G219" i="3"/>
  <c r="H219" i="3"/>
  <c r="I219" i="3"/>
  <c r="I186" i="3"/>
  <c r="E220" i="3"/>
  <c r="F220" i="3"/>
  <c r="G220" i="3"/>
  <c r="H220" i="3"/>
  <c r="I220" i="3"/>
  <c r="I188" i="3"/>
  <c r="I190" i="3"/>
  <c r="I118" i="3"/>
  <c r="E210" i="3"/>
  <c r="F210" i="3"/>
  <c r="G210" i="3"/>
  <c r="H210" i="3"/>
  <c r="I210" i="3"/>
  <c r="I120" i="3"/>
  <c r="I138" i="3"/>
  <c r="E96" i="3"/>
  <c r="F96" i="3"/>
  <c r="G96" i="3"/>
  <c r="H96" i="3"/>
  <c r="I96" i="3"/>
  <c r="I52" i="3"/>
  <c r="I140" i="3"/>
  <c r="E105" i="3"/>
  <c r="F105" i="3"/>
  <c r="G105" i="3"/>
  <c r="H105" i="3"/>
  <c r="I105" i="3"/>
  <c r="I69" i="3"/>
  <c r="I141" i="3"/>
  <c r="E106" i="3"/>
  <c r="F106" i="3"/>
  <c r="G106" i="3"/>
  <c r="H106" i="3"/>
  <c r="I106" i="3"/>
  <c r="I70" i="3"/>
  <c r="I142" i="3"/>
  <c r="E107" i="3"/>
  <c r="F107" i="3"/>
  <c r="G107" i="3"/>
  <c r="H107" i="3"/>
  <c r="I107" i="3"/>
  <c r="I71" i="3"/>
  <c r="I143" i="3"/>
  <c r="E109" i="3"/>
  <c r="F109" i="3"/>
  <c r="G109" i="3"/>
  <c r="H109" i="3"/>
  <c r="I109" i="3"/>
  <c r="I73" i="3"/>
  <c r="I145" i="3"/>
  <c r="I146" i="3"/>
  <c r="I147" i="3"/>
  <c r="I152" i="3"/>
  <c r="I153" i="3"/>
  <c r="E212" i="3"/>
  <c r="F212" i="3"/>
  <c r="G212" i="3"/>
  <c r="H212" i="3"/>
  <c r="I212" i="3"/>
  <c r="I156" i="3"/>
  <c r="I157" i="3"/>
  <c r="I164" i="3"/>
  <c r="I205" i="3"/>
  <c r="I47" i="3"/>
  <c r="I53" i="3"/>
  <c r="I66" i="3"/>
  <c r="I88" i="3"/>
  <c r="I89" i="3"/>
  <c r="W33" i="3"/>
  <c r="J97" i="3"/>
  <c r="J55" i="3"/>
  <c r="J98" i="3"/>
  <c r="J56" i="3"/>
  <c r="J99" i="3"/>
  <c r="J57" i="3"/>
  <c r="J100" i="3"/>
  <c r="J58" i="3"/>
  <c r="J60" i="3"/>
  <c r="J101" i="3"/>
  <c r="J61" i="3"/>
  <c r="J102" i="3"/>
  <c r="J64" i="3"/>
  <c r="J65" i="3"/>
  <c r="J214" i="3"/>
  <c r="J174" i="3"/>
  <c r="J86" i="3"/>
  <c r="J215" i="3"/>
  <c r="J180" i="3"/>
  <c r="J216" i="3"/>
  <c r="J182" i="3"/>
  <c r="J217" i="3"/>
  <c r="J183" i="3"/>
  <c r="J218" i="3"/>
  <c r="J185" i="3"/>
  <c r="J219" i="3"/>
  <c r="J186" i="3"/>
  <c r="J220" i="3"/>
  <c r="J188" i="3"/>
  <c r="J190" i="3"/>
  <c r="J118" i="3"/>
  <c r="J210" i="3"/>
  <c r="J120" i="3"/>
  <c r="J138" i="3"/>
  <c r="J96" i="3"/>
  <c r="J52" i="3"/>
  <c r="J140" i="3"/>
  <c r="J105" i="3"/>
  <c r="J69" i="3"/>
  <c r="J141" i="3"/>
  <c r="J70" i="3"/>
  <c r="J142" i="3"/>
  <c r="J107" i="3"/>
  <c r="J71" i="3"/>
  <c r="J143" i="3"/>
  <c r="J109" i="3"/>
  <c r="J73" i="3"/>
  <c r="J145" i="3"/>
  <c r="J146" i="3"/>
  <c r="J147" i="3"/>
  <c r="J152" i="3"/>
  <c r="J153" i="3"/>
  <c r="J212" i="3"/>
  <c r="J156" i="3"/>
  <c r="J157" i="3"/>
  <c r="J164" i="3"/>
  <c r="J205" i="3"/>
  <c r="J47" i="3"/>
  <c r="J53" i="3"/>
  <c r="J66" i="3"/>
  <c r="J88" i="3"/>
  <c r="J89" i="3"/>
  <c r="X33" i="3"/>
  <c r="K97" i="3"/>
  <c r="K55" i="3"/>
  <c r="K98" i="3"/>
  <c r="K56" i="3"/>
  <c r="K99" i="3"/>
  <c r="K57" i="3"/>
  <c r="K100" i="3"/>
  <c r="K58" i="3"/>
  <c r="K60" i="3"/>
  <c r="K101" i="3"/>
  <c r="K61" i="3"/>
  <c r="K102" i="3"/>
  <c r="K64" i="3"/>
  <c r="K65" i="3"/>
  <c r="K214" i="3"/>
  <c r="K174" i="3"/>
  <c r="K86" i="3"/>
  <c r="K215" i="3"/>
  <c r="K180" i="3"/>
  <c r="K216" i="3"/>
  <c r="K182" i="3"/>
  <c r="K217" i="3"/>
  <c r="K183" i="3"/>
  <c r="K218" i="3"/>
  <c r="K185" i="3"/>
  <c r="K219" i="3"/>
  <c r="K186" i="3"/>
  <c r="K220" i="3"/>
  <c r="K188" i="3"/>
  <c r="K190" i="3"/>
  <c r="K118" i="3"/>
  <c r="K210" i="3"/>
  <c r="K120" i="3"/>
  <c r="K138" i="3"/>
  <c r="K96" i="3"/>
  <c r="K52" i="3"/>
  <c r="K140" i="3"/>
  <c r="K105" i="3"/>
  <c r="K69" i="3"/>
  <c r="K141" i="3"/>
  <c r="K70" i="3"/>
  <c r="K142" i="3"/>
  <c r="K107" i="3"/>
  <c r="K71" i="3"/>
  <c r="K143" i="3"/>
  <c r="K109" i="3"/>
  <c r="K73" i="3"/>
  <c r="K145" i="3"/>
  <c r="K146" i="3"/>
  <c r="K147" i="3"/>
  <c r="K152" i="3"/>
  <c r="K153" i="3"/>
  <c r="K212" i="3"/>
  <c r="K156" i="3"/>
  <c r="K157" i="3"/>
  <c r="K164" i="3"/>
  <c r="K205" i="3"/>
  <c r="K47" i="3"/>
  <c r="K53" i="3"/>
  <c r="K66" i="3"/>
  <c r="K88" i="3"/>
  <c r="K89" i="3"/>
  <c r="Y33" i="3"/>
  <c r="L97" i="3"/>
  <c r="L55" i="3"/>
  <c r="L98" i="3"/>
  <c r="L56" i="3"/>
  <c r="L99" i="3"/>
  <c r="L57" i="3"/>
  <c r="L100" i="3"/>
  <c r="L58" i="3"/>
  <c r="L60" i="3"/>
  <c r="L101" i="3"/>
  <c r="L61" i="3"/>
  <c r="L102" i="3"/>
  <c r="L64" i="3"/>
  <c r="L65" i="3"/>
  <c r="L214" i="3"/>
  <c r="L174" i="3"/>
  <c r="L86" i="3"/>
  <c r="L215" i="3"/>
  <c r="L180" i="3"/>
  <c r="L216" i="3"/>
  <c r="L182" i="3"/>
  <c r="L217" i="3"/>
  <c r="L183" i="3"/>
  <c r="L218" i="3"/>
  <c r="L185" i="3"/>
  <c r="L219" i="3"/>
  <c r="L186" i="3"/>
  <c r="L220" i="3"/>
  <c r="L188" i="3"/>
  <c r="L190" i="3"/>
  <c r="L118" i="3"/>
  <c r="L210" i="3"/>
  <c r="L120" i="3"/>
  <c r="L138" i="3"/>
  <c r="L96" i="3"/>
  <c r="L52" i="3"/>
  <c r="L140" i="3"/>
  <c r="L105" i="3"/>
  <c r="L69" i="3"/>
  <c r="L141" i="3"/>
  <c r="L70" i="3"/>
  <c r="L142" i="3"/>
  <c r="L107" i="3"/>
  <c r="L71" i="3"/>
  <c r="L143" i="3"/>
  <c r="L109" i="3"/>
  <c r="L73" i="3"/>
  <c r="L145" i="3"/>
  <c r="L146" i="3"/>
  <c r="L147" i="3"/>
  <c r="L152" i="3"/>
  <c r="L153" i="3"/>
  <c r="L212" i="3"/>
  <c r="L156" i="3"/>
  <c r="L157" i="3"/>
  <c r="L164" i="3"/>
  <c r="L205" i="3"/>
  <c r="L47" i="3"/>
  <c r="L53" i="3"/>
  <c r="L66" i="3"/>
  <c r="L88" i="3"/>
  <c r="L89" i="3"/>
  <c r="Z33" i="3"/>
  <c r="M97" i="3"/>
  <c r="M55" i="3"/>
  <c r="M98" i="3"/>
  <c r="M56" i="3"/>
  <c r="M99" i="3"/>
  <c r="M57" i="3"/>
  <c r="M100" i="3"/>
  <c r="M58" i="3"/>
  <c r="M60" i="3"/>
  <c r="M101" i="3"/>
  <c r="M61" i="3"/>
  <c r="M102" i="3"/>
  <c r="M64" i="3"/>
  <c r="M65" i="3"/>
  <c r="M214" i="3"/>
  <c r="M174" i="3"/>
  <c r="M86" i="3"/>
  <c r="M215" i="3"/>
  <c r="M180" i="3"/>
  <c r="M216" i="3"/>
  <c r="M182" i="3"/>
  <c r="M217" i="3"/>
  <c r="M183" i="3"/>
  <c r="M218" i="3"/>
  <c r="M185" i="3"/>
  <c r="M219" i="3"/>
  <c r="M186" i="3"/>
  <c r="M220" i="3"/>
  <c r="M188" i="3"/>
  <c r="M190" i="3"/>
  <c r="M118" i="3"/>
  <c r="M210" i="3"/>
  <c r="M120" i="3"/>
  <c r="M138" i="3"/>
  <c r="M96" i="3"/>
  <c r="M52" i="3"/>
  <c r="M140" i="3"/>
  <c r="M105" i="3"/>
  <c r="M69" i="3"/>
  <c r="M141" i="3"/>
  <c r="M70" i="3"/>
  <c r="M142" i="3"/>
  <c r="M107" i="3"/>
  <c r="M71" i="3"/>
  <c r="M143" i="3"/>
  <c r="M109" i="3"/>
  <c r="M73" i="3"/>
  <c r="M145" i="3"/>
  <c r="M146" i="3"/>
  <c r="M147" i="3"/>
  <c r="M152" i="3"/>
  <c r="M153" i="3"/>
  <c r="M212" i="3"/>
  <c r="M156" i="3"/>
  <c r="M157" i="3"/>
  <c r="M164" i="3"/>
  <c r="M205" i="3"/>
  <c r="M47" i="3"/>
  <c r="M53" i="3"/>
  <c r="M66" i="3"/>
  <c r="M88" i="3"/>
  <c r="M89" i="3"/>
  <c r="AA33" i="3"/>
  <c r="W34" i="3"/>
  <c r="X34" i="3"/>
  <c r="Y34" i="3"/>
  <c r="Z34" i="3"/>
  <c r="AA34" i="3"/>
  <c r="W39" i="3"/>
  <c r="X39" i="3"/>
  <c r="Y39" i="3"/>
  <c r="Z39" i="3"/>
  <c r="AA39" i="3"/>
  <c r="W38" i="3"/>
  <c r="X38" i="3"/>
  <c r="Y38" i="3"/>
  <c r="Z38" i="3"/>
  <c r="AA38" i="3"/>
  <c r="W35" i="3"/>
  <c r="X35" i="3"/>
  <c r="Y35" i="3"/>
  <c r="Z35" i="3"/>
  <c r="AA35" i="3"/>
  <c r="W32" i="3"/>
  <c r="X32" i="3"/>
  <c r="Y32" i="3"/>
  <c r="Z32" i="3"/>
  <c r="AA32" i="3"/>
  <c r="D137" i="3"/>
  <c r="D138" i="3"/>
  <c r="D140" i="3"/>
  <c r="D141" i="3"/>
  <c r="D142" i="3"/>
  <c r="D143" i="3"/>
  <c r="D144" i="3"/>
  <c r="D145" i="3"/>
  <c r="D146" i="3"/>
  <c r="F23" i="1"/>
  <c r="F21" i="1"/>
  <c r="H21" i="1"/>
  <c r="I21" i="1"/>
  <c r="J21" i="1"/>
  <c r="K21" i="1"/>
  <c r="L21" i="1"/>
  <c r="M21" i="1"/>
  <c r="N21" i="1"/>
  <c r="O21" i="1"/>
  <c r="G21" i="1"/>
  <c r="E18" i="1"/>
  <c r="F18" i="1"/>
  <c r="H18" i="1"/>
  <c r="I18" i="1"/>
  <c r="J18" i="1"/>
  <c r="K18" i="1"/>
  <c r="L18" i="1"/>
  <c r="M18" i="1"/>
  <c r="N18" i="1"/>
  <c r="O18" i="1"/>
  <c r="G18" i="1"/>
  <c r="E14" i="1"/>
  <c r="F14" i="1"/>
  <c r="H14" i="1"/>
  <c r="I14" i="1"/>
  <c r="J14" i="1"/>
  <c r="K14" i="1"/>
  <c r="L14" i="1"/>
  <c r="M14" i="1"/>
  <c r="N14" i="1"/>
  <c r="O14" i="1"/>
  <c r="G14" i="1"/>
  <c r="E12" i="1"/>
  <c r="F12" i="1"/>
  <c r="G12" i="1"/>
  <c r="H12" i="1"/>
  <c r="I12" i="1"/>
  <c r="J12" i="1"/>
  <c r="K12" i="1"/>
  <c r="L12" i="1"/>
  <c r="M12" i="1"/>
  <c r="N12" i="1"/>
  <c r="O12" i="1"/>
  <c r="W37" i="3"/>
  <c r="X37" i="3"/>
  <c r="Y37" i="3"/>
  <c r="Z37" i="3"/>
  <c r="AA37" i="3"/>
  <c r="W20" i="3"/>
  <c r="X20" i="3"/>
  <c r="Y20" i="3"/>
  <c r="Z20" i="3"/>
  <c r="AA20" i="3"/>
  <c r="W15" i="3"/>
  <c r="X15" i="3"/>
  <c r="Y15" i="3"/>
  <c r="Z15" i="3"/>
  <c r="AA15" i="3"/>
  <c r="I75" i="3"/>
  <c r="W7" i="3"/>
  <c r="J75" i="3"/>
  <c r="X7" i="3"/>
  <c r="K75" i="3"/>
  <c r="Y7" i="3"/>
  <c r="L75" i="3"/>
  <c r="Z7" i="3"/>
  <c r="M75" i="3"/>
  <c r="AA7" i="3"/>
  <c r="W12" i="3"/>
  <c r="X12" i="3"/>
  <c r="Y12" i="3"/>
  <c r="Z12" i="3"/>
  <c r="AA12" i="3"/>
  <c r="J21" i="3"/>
  <c r="K21" i="3"/>
  <c r="L21" i="3"/>
  <c r="M21" i="3"/>
  <c r="W4" i="3"/>
  <c r="X4" i="3"/>
  <c r="Y4" i="3"/>
  <c r="Z4" i="3"/>
  <c r="AA4" i="3"/>
  <c r="W5" i="3"/>
  <c r="X5" i="3"/>
  <c r="Y5" i="3"/>
  <c r="Z5" i="3"/>
  <c r="AA5" i="3"/>
  <c r="W6" i="3"/>
  <c r="X6" i="3"/>
  <c r="Y6" i="3"/>
  <c r="Z6" i="3"/>
  <c r="AA6" i="3"/>
  <c r="E112" i="3"/>
  <c r="F112" i="3"/>
  <c r="G112" i="3"/>
  <c r="H112" i="3"/>
  <c r="I112" i="3"/>
  <c r="I78" i="3"/>
  <c r="I81" i="3"/>
  <c r="I82" i="3"/>
  <c r="W10" i="3"/>
  <c r="J112" i="3"/>
  <c r="J78" i="3"/>
  <c r="J81" i="3"/>
  <c r="J82" i="3"/>
  <c r="X10" i="3"/>
  <c r="K112" i="3"/>
  <c r="K78" i="3"/>
  <c r="K81" i="3"/>
  <c r="K82" i="3"/>
  <c r="Y10" i="3"/>
  <c r="L112" i="3"/>
  <c r="L78" i="3"/>
  <c r="L81" i="3"/>
  <c r="L82" i="3"/>
  <c r="Z10" i="3"/>
  <c r="M112" i="3"/>
  <c r="M78" i="3"/>
  <c r="M81" i="3"/>
  <c r="M82" i="3"/>
  <c r="AA10" i="3"/>
  <c r="W11" i="3"/>
  <c r="X11" i="3"/>
  <c r="Y11" i="3"/>
  <c r="Z11" i="3"/>
  <c r="AA11" i="3"/>
  <c r="W21" i="3"/>
  <c r="X21" i="3"/>
  <c r="Y21" i="3"/>
  <c r="Z21" i="3"/>
  <c r="AA21" i="3"/>
  <c r="O8" i="1"/>
  <c r="O23" i="1"/>
  <c r="O25" i="1"/>
  <c r="J19" i="1"/>
  <c r="S9" i="1"/>
  <c r="S10" i="1"/>
  <c r="S14" i="1"/>
  <c r="B45" i="1"/>
  <c r="B44" i="1"/>
  <c r="B43" i="1"/>
  <c r="C43" i="1"/>
  <c r="E8" i="1"/>
  <c r="F8" i="1"/>
  <c r="G8" i="1"/>
  <c r="E5" i="1"/>
  <c r="F5" i="1"/>
  <c r="G5" i="1"/>
  <c r="H5" i="1"/>
  <c r="I5" i="1"/>
  <c r="J5" i="1"/>
  <c r="K5" i="1"/>
  <c r="L5" i="1"/>
  <c r="M5" i="1"/>
  <c r="N5" i="1"/>
  <c r="O5" i="1"/>
  <c r="H205" i="3"/>
  <c r="J45" i="1"/>
  <c r="B54" i="1"/>
  <c r="B67" i="1"/>
  <c r="B68" i="1"/>
  <c r="B77" i="1"/>
  <c r="B76" i="1"/>
  <c r="B66" i="1"/>
  <c r="B65" i="1"/>
  <c r="B74" i="1"/>
  <c r="C44" i="1"/>
  <c r="K8" i="1"/>
  <c r="K23" i="1"/>
  <c r="K25" i="1"/>
  <c r="K31" i="1"/>
  <c r="L8" i="1"/>
  <c r="L23" i="1"/>
  <c r="L25" i="1"/>
  <c r="L31" i="1"/>
  <c r="M8" i="1"/>
  <c r="M23" i="1"/>
  <c r="M25" i="1"/>
  <c r="M31" i="1"/>
  <c r="N8" i="1"/>
  <c r="N23" i="1"/>
  <c r="N25" i="1"/>
  <c r="N31" i="1"/>
  <c r="O31" i="1"/>
  <c r="H31" i="1"/>
  <c r="K44" i="1"/>
  <c r="R39" i="1"/>
  <c r="R40" i="1"/>
  <c r="S39" i="1"/>
  <c r="S40" i="1"/>
  <c r="C53" i="1"/>
  <c r="D44" i="1"/>
  <c r="L44" i="1"/>
  <c r="D53" i="1"/>
  <c r="E44" i="1"/>
  <c r="M44" i="1"/>
  <c r="E53" i="1"/>
  <c r="F44" i="1"/>
  <c r="N44" i="1"/>
  <c r="F53" i="1"/>
  <c r="G44" i="1"/>
  <c r="O44" i="1"/>
  <c r="G53" i="1"/>
  <c r="C45" i="1"/>
  <c r="K32" i="1"/>
  <c r="L32" i="1"/>
  <c r="M32" i="1"/>
  <c r="N32" i="1"/>
  <c r="O32" i="1"/>
  <c r="H32" i="1"/>
  <c r="K45" i="1"/>
  <c r="R41" i="1"/>
  <c r="S41" i="1"/>
  <c r="C54" i="1"/>
  <c r="D45" i="1"/>
  <c r="L45" i="1"/>
  <c r="D54" i="1"/>
  <c r="E45" i="1"/>
  <c r="M45" i="1"/>
  <c r="E54" i="1"/>
  <c r="F45" i="1"/>
  <c r="N45" i="1"/>
  <c r="F54" i="1"/>
  <c r="G45" i="1"/>
  <c r="O45" i="1"/>
  <c r="G54" i="1"/>
  <c r="B46" i="1"/>
  <c r="C46" i="1"/>
  <c r="K33" i="1"/>
  <c r="L33" i="1"/>
  <c r="M33" i="1"/>
  <c r="N33" i="1"/>
  <c r="O33" i="1"/>
  <c r="H33" i="1"/>
  <c r="K46" i="1"/>
  <c r="R42" i="1"/>
  <c r="S42" i="1"/>
  <c r="C55" i="1"/>
  <c r="D46" i="1"/>
  <c r="L46" i="1"/>
  <c r="D55" i="1"/>
  <c r="E46" i="1"/>
  <c r="M46" i="1"/>
  <c r="E55" i="1"/>
  <c r="F46" i="1"/>
  <c r="N46" i="1"/>
  <c r="F55" i="1"/>
  <c r="G46" i="1"/>
  <c r="O46" i="1"/>
  <c r="G55" i="1"/>
  <c r="B47" i="1"/>
  <c r="C47" i="1"/>
  <c r="K34" i="1"/>
  <c r="L34" i="1"/>
  <c r="M34" i="1"/>
  <c r="N34" i="1"/>
  <c r="O34" i="1"/>
  <c r="H34" i="1"/>
  <c r="K47" i="1"/>
  <c r="R43" i="1"/>
  <c r="S43" i="1"/>
  <c r="C56" i="1"/>
  <c r="D47" i="1"/>
  <c r="L47" i="1"/>
  <c r="D56" i="1"/>
  <c r="E47" i="1"/>
  <c r="M47" i="1"/>
  <c r="E56" i="1"/>
  <c r="F47" i="1"/>
  <c r="N47" i="1"/>
  <c r="F56" i="1"/>
  <c r="G47" i="1"/>
  <c r="O47" i="1"/>
  <c r="G56" i="1"/>
  <c r="D43" i="1"/>
  <c r="K30" i="1"/>
  <c r="L30" i="1"/>
  <c r="M30" i="1"/>
  <c r="N30" i="1"/>
  <c r="O30" i="1"/>
  <c r="H30" i="1"/>
  <c r="L43" i="1"/>
  <c r="D52" i="1"/>
  <c r="E43" i="1"/>
  <c r="M43" i="1"/>
  <c r="E52" i="1"/>
  <c r="F43" i="1"/>
  <c r="N43" i="1"/>
  <c r="F52" i="1"/>
  <c r="G43" i="1"/>
  <c r="O43" i="1"/>
  <c r="G52" i="1"/>
  <c r="K43" i="1"/>
  <c r="C52" i="1"/>
  <c r="E67" i="1"/>
  <c r="M67" i="1"/>
  <c r="E76" i="1"/>
  <c r="D64" i="1"/>
  <c r="D65" i="1"/>
  <c r="L65" i="1"/>
  <c r="D74" i="1"/>
  <c r="E65" i="1"/>
  <c r="M65" i="1"/>
  <c r="E74" i="1"/>
  <c r="F64" i="1"/>
  <c r="F65" i="1"/>
  <c r="N65" i="1"/>
  <c r="F74" i="1"/>
  <c r="G64" i="1"/>
  <c r="G65" i="1"/>
  <c r="O65" i="1"/>
  <c r="G74" i="1"/>
  <c r="D66" i="1"/>
  <c r="L66" i="1"/>
  <c r="D75" i="1"/>
  <c r="E66" i="1"/>
  <c r="M66" i="1"/>
  <c r="E75" i="1"/>
  <c r="F66" i="1"/>
  <c r="N66" i="1"/>
  <c r="F75" i="1"/>
  <c r="G66" i="1"/>
  <c r="O66" i="1"/>
  <c r="G75" i="1"/>
  <c r="D67" i="1"/>
  <c r="L67" i="1"/>
  <c r="D76" i="1"/>
  <c r="F67" i="1"/>
  <c r="N67" i="1"/>
  <c r="F76" i="1"/>
  <c r="G67" i="1"/>
  <c r="O67" i="1"/>
  <c r="G76" i="1"/>
  <c r="D68" i="1"/>
  <c r="L68" i="1"/>
  <c r="D77" i="1"/>
  <c r="E68" i="1"/>
  <c r="M68" i="1"/>
  <c r="E77" i="1"/>
  <c r="F68" i="1"/>
  <c r="N68" i="1"/>
  <c r="F77" i="1"/>
  <c r="G68" i="1"/>
  <c r="O68" i="1"/>
  <c r="G77" i="1"/>
  <c r="B69" i="1"/>
  <c r="D69" i="1"/>
  <c r="L69" i="1"/>
  <c r="D78" i="1"/>
  <c r="E69" i="1"/>
  <c r="M69" i="1"/>
  <c r="E78" i="1"/>
  <c r="F69" i="1"/>
  <c r="N69" i="1"/>
  <c r="F78" i="1"/>
  <c r="G69" i="1"/>
  <c r="O69" i="1"/>
  <c r="G78" i="1"/>
  <c r="C64" i="1"/>
  <c r="C66" i="1"/>
  <c r="K66" i="1"/>
  <c r="C75" i="1"/>
  <c r="C67" i="1"/>
  <c r="K67" i="1"/>
  <c r="C76" i="1"/>
  <c r="C68" i="1"/>
  <c r="K68" i="1"/>
  <c r="C77" i="1"/>
  <c r="C69" i="1"/>
  <c r="K69" i="1"/>
  <c r="C78" i="1"/>
  <c r="C65" i="1"/>
  <c r="K65" i="1"/>
  <c r="C74" i="1"/>
  <c r="E214" i="3"/>
  <c r="F205" i="3"/>
  <c r="G205" i="3"/>
  <c r="E205" i="3"/>
  <c r="F216" i="3"/>
  <c r="E216" i="3"/>
  <c r="H215" i="3"/>
  <c r="E167" i="3"/>
  <c r="F167" i="3"/>
  <c r="G167" i="3"/>
  <c r="H167" i="3"/>
  <c r="I167" i="3"/>
  <c r="J167" i="3"/>
  <c r="K167" i="3"/>
  <c r="L167" i="3"/>
  <c r="M167" i="3"/>
  <c r="E168" i="3"/>
  <c r="F168" i="3"/>
  <c r="G168" i="3"/>
  <c r="H168" i="3"/>
  <c r="I168" i="3"/>
  <c r="J168" i="3"/>
  <c r="K168" i="3"/>
  <c r="L168" i="3"/>
  <c r="M168" i="3"/>
  <c r="E170" i="3"/>
  <c r="F170" i="3"/>
  <c r="G170" i="3"/>
  <c r="H170" i="3"/>
  <c r="I170" i="3"/>
  <c r="J170" i="3"/>
  <c r="K170" i="3"/>
  <c r="L170" i="3"/>
  <c r="M170" i="3"/>
  <c r="F138" i="3"/>
  <c r="F140" i="3"/>
  <c r="F141" i="3"/>
  <c r="F142" i="3"/>
  <c r="F143" i="3"/>
  <c r="F144" i="3"/>
  <c r="F145" i="3"/>
  <c r="F146" i="3"/>
  <c r="G138" i="3"/>
  <c r="G140" i="3"/>
  <c r="G141" i="3"/>
  <c r="G142" i="3"/>
  <c r="G143" i="3"/>
  <c r="G144" i="3"/>
  <c r="G145" i="3"/>
  <c r="G146" i="3"/>
  <c r="H138" i="3"/>
  <c r="H140" i="3"/>
  <c r="H141" i="3"/>
  <c r="H142" i="3"/>
  <c r="H143" i="3"/>
  <c r="H145" i="3"/>
  <c r="H146" i="3"/>
  <c r="E138" i="3"/>
  <c r="E140" i="3"/>
  <c r="E141" i="3"/>
  <c r="E142" i="3"/>
  <c r="E143" i="3"/>
  <c r="E144" i="3"/>
  <c r="E145" i="3"/>
  <c r="E146" i="3"/>
  <c r="E99" i="3"/>
  <c r="K27" i="3"/>
  <c r="M27" i="3"/>
  <c r="L27" i="3"/>
  <c r="J27" i="3"/>
  <c r="H28" i="2"/>
  <c r="J90" i="3"/>
  <c r="K90" i="3"/>
  <c r="L90" i="3"/>
  <c r="M90" i="3"/>
  <c r="I90" i="3"/>
  <c r="N103" i="3"/>
  <c r="N113" i="3"/>
  <c r="N114" i="3"/>
  <c r="E108" i="3"/>
  <c r="F108" i="3"/>
  <c r="N115" i="3"/>
  <c r="N116" i="3"/>
  <c r="E110" i="3"/>
  <c r="F110" i="3"/>
  <c r="G110" i="3"/>
  <c r="N117" i="3"/>
  <c r="E111" i="3"/>
  <c r="F111" i="3"/>
  <c r="G111" i="3"/>
  <c r="N118" i="3"/>
  <c r="N119" i="3"/>
  <c r="E114" i="3"/>
  <c r="F114" i="3"/>
  <c r="G114" i="3"/>
  <c r="N121" i="3"/>
  <c r="N112" i="3"/>
  <c r="N102" i="3"/>
  <c r="N104" i="3"/>
  <c r="E98" i="3"/>
  <c r="F98" i="3"/>
  <c r="N105" i="3"/>
  <c r="N106" i="3"/>
  <c r="N107" i="3"/>
  <c r="N108" i="3"/>
  <c r="N109" i="3"/>
  <c r="N101" i="3"/>
  <c r="I108" i="3"/>
  <c r="M26" i="3"/>
  <c r="L26" i="3"/>
  <c r="K9" i="2"/>
  <c r="J9" i="2"/>
  <c r="K10" i="2"/>
  <c r="I19" i="2"/>
  <c r="I21" i="2"/>
  <c r="I24" i="2"/>
  <c r="I27" i="2"/>
  <c r="I28" i="2"/>
  <c r="G28" i="2"/>
  <c r="F9" i="2"/>
  <c r="E9" i="2"/>
  <c r="F10" i="2"/>
  <c r="G9" i="2"/>
  <c r="G10" i="2"/>
  <c r="H9" i="2"/>
  <c r="H10" i="2"/>
  <c r="P10" i="2"/>
  <c r="E28" i="2"/>
  <c r="I17" i="2"/>
  <c r="I13" i="2"/>
  <c r="I18" i="2"/>
  <c r="I20" i="2"/>
  <c r="E37" i="2"/>
  <c r="F37" i="2"/>
  <c r="G37" i="2"/>
  <c r="H37" i="2"/>
  <c r="I37" i="2"/>
  <c r="I22" i="2"/>
  <c r="I23" i="2"/>
  <c r="E38" i="2"/>
  <c r="F38" i="2"/>
  <c r="G38" i="2"/>
  <c r="H38" i="2"/>
  <c r="I38" i="2"/>
  <c r="I25" i="2"/>
  <c r="E39" i="2"/>
  <c r="F39" i="2"/>
  <c r="G39" i="2"/>
  <c r="H39" i="2"/>
  <c r="I39" i="2"/>
  <c r="I26" i="2"/>
  <c r="J17" i="2"/>
  <c r="J18" i="2"/>
  <c r="J19" i="2"/>
  <c r="J20" i="2"/>
  <c r="J21" i="2"/>
  <c r="J37" i="2"/>
  <c r="J22" i="2"/>
  <c r="J36" i="2"/>
  <c r="J23" i="2"/>
  <c r="J24" i="2"/>
  <c r="J38" i="2"/>
  <c r="J25" i="2"/>
  <c r="J39" i="2"/>
  <c r="J26" i="2"/>
  <c r="J27" i="2"/>
  <c r="M17" i="2"/>
  <c r="M18" i="2"/>
  <c r="M19" i="2"/>
  <c r="M20" i="2"/>
  <c r="M21" i="2"/>
  <c r="K37" i="2"/>
  <c r="K22" i="2"/>
  <c r="L37" i="2"/>
  <c r="L22" i="2"/>
  <c r="M37" i="2"/>
  <c r="M22" i="2"/>
  <c r="K36" i="2"/>
  <c r="K23" i="2"/>
  <c r="L36" i="2"/>
  <c r="L23" i="2"/>
  <c r="M36" i="2"/>
  <c r="M23" i="2"/>
  <c r="M24" i="2"/>
  <c r="K38" i="2"/>
  <c r="K25" i="2"/>
  <c r="L38" i="2"/>
  <c r="L25" i="2"/>
  <c r="M38" i="2"/>
  <c r="M25" i="2"/>
  <c r="K39" i="2"/>
  <c r="K26" i="2"/>
  <c r="L39" i="2"/>
  <c r="L26" i="2"/>
  <c r="M39" i="2"/>
  <c r="M26" i="2"/>
  <c r="M27" i="2"/>
  <c r="L17" i="2"/>
  <c r="L18" i="2"/>
  <c r="L19" i="2"/>
  <c r="L20" i="2"/>
  <c r="L21" i="2"/>
  <c r="L24" i="2"/>
  <c r="L27" i="2"/>
  <c r="M40" i="3"/>
  <c r="K17" i="2"/>
  <c r="K18" i="2"/>
  <c r="K19" i="2"/>
  <c r="K20" i="2"/>
  <c r="K21" i="2"/>
  <c r="K24" i="2"/>
  <c r="K27" i="2"/>
  <c r="K40" i="3"/>
  <c r="J40" i="3"/>
  <c r="I40" i="3"/>
  <c r="H40" i="3"/>
  <c r="G40" i="3"/>
  <c r="F40" i="3"/>
  <c r="J26" i="3"/>
  <c r="K26" i="3"/>
  <c r="D28" i="3"/>
  <c r="L9" i="2"/>
  <c r="M9" i="2"/>
  <c r="G23" i="1"/>
  <c r="G25" i="1"/>
  <c r="I9" i="2"/>
  <c r="F28" i="2"/>
  <c r="P28" i="2"/>
  <c r="E91" i="3"/>
  <c r="E17" i="2"/>
  <c r="E18" i="2"/>
  <c r="E19" i="2"/>
  <c r="E21" i="2"/>
  <c r="E15" i="1"/>
  <c r="E19" i="1"/>
  <c r="L29" i="1"/>
  <c r="E9" i="1"/>
  <c r="E25" i="1"/>
  <c r="E26" i="1"/>
  <c r="S18" i="1"/>
  <c r="D155" i="3"/>
  <c r="F12" i="2"/>
  <c r="F13" i="2"/>
  <c r="F17" i="2"/>
  <c r="F18" i="2"/>
  <c r="F19" i="2"/>
  <c r="F21" i="2"/>
  <c r="G17" i="2"/>
  <c r="G18" i="2"/>
  <c r="G19" i="2"/>
  <c r="G20" i="2"/>
  <c r="G21" i="2"/>
  <c r="H17" i="2"/>
  <c r="E24" i="2"/>
  <c r="H18" i="2"/>
  <c r="H19" i="2"/>
  <c r="H20" i="2"/>
  <c r="H21" i="2"/>
  <c r="H24" i="2"/>
  <c r="J31" i="2"/>
  <c r="K33" i="2"/>
  <c r="K34" i="2"/>
  <c r="J32" i="2"/>
  <c r="J33" i="2"/>
  <c r="J34" i="2"/>
  <c r="O27" i="2"/>
  <c r="N73" i="1"/>
  <c r="O73" i="1"/>
  <c r="L73" i="1"/>
  <c r="K73" i="1"/>
  <c r="F73" i="1"/>
  <c r="G73" i="1"/>
  <c r="D73" i="1"/>
  <c r="C73" i="1"/>
  <c r="N64" i="1"/>
  <c r="O64" i="1"/>
  <c r="L64" i="1"/>
  <c r="K64" i="1"/>
  <c r="N51" i="1"/>
  <c r="O51" i="1"/>
  <c r="L51" i="1"/>
  <c r="K51" i="1"/>
  <c r="F51" i="1"/>
  <c r="G51" i="1"/>
  <c r="D51" i="1"/>
  <c r="C51" i="1"/>
  <c r="N42" i="1"/>
  <c r="O42" i="1"/>
  <c r="L42" i="1"/>
  <c r="K42" i="1"/>
  <c r="F42" i="1"/>
  <c r="G42" i="1"/>
  <c r="D42" i="1"/>
  <c r="C42" i="1"/>
  <c r="M29" i="1"/>
  <c r="N29" i="1"/>
  <c r="O29" i="1"/>
  <c r="O19" i="1"/>
  <c r="N19" i="1"/>
  <c r="M19" i="1"/>
  <c r="L19" i="1"/>
  <c r="K19" i="1"/>
  <c r="I19" i="1"/>
  <c r="H19" i="1"/>
  <c r="G19" i="1"/>
  <c r="F19" i="1"/>
  <c r="S12" i="1"/>
  <c r="S13" i="1"/>
  <c r="S8" i="1"/>
  <c r="F10" i="1"/>
  <c r="S6" i="1" a="1"/>
  <c r="S6" i="1"/>
  <c r="S5" i="1" a="1"/>
  <c r="S5" i="1"/>
  <c r="D212" i="3"/>
  <c r="C212" i="3"/>
  <c r="D210" i="3"/>
  <c r="C210" i="3"/>
  <c r="F91" i="3"/>
  <c r="G91" i="3"/>
  <c r="H91" i="3"/>
  <c r="E81" i="3"/>
  <c r="F81" i="3"/>
  <c r="G81" i="3"/>
  <c r="H81" i="3"/>
  <c r="E113" i="3"/>
  <c r="F113" i="3"/>
  <c r="D96" i="3"/>
  <c r="C96" i="3"/>
  <c r="D95" i="3"/>
  <c r="D94" i="3"/>
  <c r="H65" i="3"/>
  <c r="G65" i="3"/>
  <c r="F65" i="3"/>
  <c r="E65" i="3"/>
  <c r="D65" i="3"/>
  <c r="C65" i="3"/>
  <c r="D43" i="3"/>
  <c r="D42" i="3"/>
  <c r="D41" i="3"/>
  <c r="D39" i="3"/>
  <c r="H38" i="3"/>
  <c r="G38" i="3"/>
  <c r="F38" i="3"/>
  <c r="E38" i="3"/>
  <c r="D32" i="3"/>
  <c r="C32" i="3"/>
  <c r="D31" i="3"/>
  <c r="C31" i="3"/>
  <c r="D30" i="3"/>
  <c r="C30" i="3"/>
  <c r="G27" i="3"/>
  <c r="F27" i="3"/>
  <c r="E27" i="3"/>
  <c r="D27" i="3"/>
  <c r="C27" i="3"/>
  <c r="E26" i="3"/>
  <c r="D26" i="3"/>
  <c r="C26" i="3"/>
  <c r="D25" i="3"/>
  <c r="C25" i="3"/>
  <c r="D21" i="3"/>
  <c r="C21" i="3"/>
  <c r="D39" i="2"/>
  <c r="D38" i="2"/>
  <c r="D37" i="2"/>
  <c r="H36" i="2"/>
  <c r="G36" i="2"/>
  <c r="H34" i="2"/>
  <c r="G34" i="2"/>
  <c r="I34" i="2"/>
  <c r="H33" i="2"/>
  <c r="G33" i="2"/>
  <c r="F33" i="2"/>
  <c r="E33" i="2"/>
  <c r="H32" i="2"/>
  <c r="G32" i="2"/>
  <c r="F32" i="2"/>
  <c r="E32" i="2"/>
  <c r="H31" i="2"/>
  <c r="G31" i="2"/>
  <c r="F31" i="2"/>
  <c r="E31" i="2"/>
  <c r="N27" i="2"/>
  <c r="K31" i="2"/>
  <c r="T9" i="2"/>
  <c r="J10" i="2"/>
  <c r="J6" i="1"/>
  <c r="I33" i="2"/>
  <c r="I32" i="2"/>
  <c r="G24" i="2"/>
  <c r="I10" i="2"/>
  <c r="K32" i="2"/>
  <c r="H15" i="1"/>
  <c r="N7" i="2"/>
  <c r="O7" i="2"/>
  <c r="L10" i="2"/>
  <c r="I31" i="2"/>
  <c r="M10" i="2"/>
  <c r="I6" i="1"/>
  <c r="S11" i="1"/>
  <c r="G10" i="1"/>
  <c r="F6" i="1"/>
  <c r="F15" i="1"/>
  <c r="H6" i="1"/>
  <c r="F25" i="1"/>
  <c r="F26" i="1"/>
  <c r="F16" i="1"/>
  <c r="H16" i="1"/>
  <c r="H8" i="1"/>
  <c r="H9" i="1"/>
  <c r="I8" i="1"/>
  <c r="I9" i="1"/>
  <c r="I15" i="1"/>
  <c r="J16" i="1"/>
  <c r="I16" i="1"/>
  <c r="G15" i="1"/>
  <c r="J15" i="1"/>
  <c r="J8" i="1"/>
  <c r="F9" i="1"/>
  <c r="I23" i="1"/>
  <c r="H23" i="1"/>
  <c r="J108" i="3"/>
  <c r="K108" i="3"/>
  <c r="L108" i="3"/>
  <c r="M108" i="3"/>
  <c r="M25" i="3"/>
  <c r="L25" i="3"/>
  <c r="J25" i="3"/>
  <c r="K25" i="3"/>
  <c r="N23" i="2"/>
  <c r="O23" i="2"/>
  <c r="F24" i="2"/>
  <c r="F27" i="1"/>
  <c r="I25" i="1"/>
  <c r="I26" i="1"/>
  <c r="H25" i="1"/>
  <c r="H26" i="1"/>
  <c r="H10" i="1"/>
  <c r="I10" i="1"/>
  <c r="G9" i="1"/>
  <c r="J10" i="1"/>
  <c r="G26" i="1"/>
  <c r="J9" i="1"/>
  <c r="J106" i="3"/>
  <c r="K106" i="3"/>
  <c r="L106" i="3"/>
  <c r="M106" i="3"/>
  <c r="J54" i="1"/>
  <c r="B55" i="1"/>
  <c r="K6" i="1"/>
  <c r="I27" i="1"/>
  <c r="H27" i="1"/>
  <c r="B53" i="1"/>
  <c r="J44" i="1"/>
  <c r="J53" i="1"/>
  <c r="L38" i="3"/>
  <c r="J68" i="1"/>
  <c r="J77" i="1"/>
  <c r="J67" i="1"/>
  <c r="J76" i="1"/>
  <c r="K38" i="3"/>
  <c r="I38" i="3"/>
  <c r="M38" i="3"/>
  <c r="J66" i="1"/>
  <c r="J75" i="1"/>
  <c r="J46" i="1"/>
  <c r="J55" i="1"/>
  <c r="B56" i="1"/>
  <c r="J28" i="2"/>
  <c r="N22" i="2"/>
  <c r="O22" i="2"/>
  <c r="J69" i="1"/>
  <c r="J78" i="1"/>
  <c r="B78" i="1"/>
  <c r="B52" i="1"/>
  <c r="J43" i="1"/>
  <c r="J52" i="1"/>
  <c r="L40" i="3"/>
  <c r="J38" i="3"/>
  <c r="B75" i="1"/>
  <c r="J65" i="1"/>
  <c r="J74" i="1"/>
  <c r="J23" i="1"/>
  <c r="J25" i="1"/>
  <c r="J27" i="1"/>
  <c r="N38" i="3"/>
  <c r="J47" i="1"/>
  <c r="J56" i="1"/>
  <c r="O16" i="1"/>
  <c r="N40" i="3"/>
  <c r="J26" i="1"/>
  <c r="M6" i="1"/>
  <c r="K28" i="2"/>
  <c r="L6" i="1"/>
  <c r="L15" i="1"/>
  <c r="L9" i="1"/>
  <c r="N10" i="1"/>
  <c r="M10" i="1"/>
  <c r="N16" i="1"/>
  <c r="K16" i="1"/>
  <c r="K15" i="1"/>
  <c r="L16" i="1"/>
  <c r="M16" i="1"/>
  <c r="M15" i="1"/>
  <c r="M9" i="1"/>
  <c r="O10" i="1"/>
  <c r="M28" i="2"/>
  <c r="O9" i="1"/>
  <c r="L28" i="2"/>
  <c r="L26" i="1"/>
  <c r="K9" i="1"/>
  <c r="K10" i="1"/>
  <c r="L10" i="1"/>
  <c r="N10" i="2"/>
  <c r="L27" i="1"/>
  <c r="N6" i="1"/>
  <c r="N15" i="1"/>
  <c r="N9" i="1"/>
  <c r="O15" i="1"/>
  <c r="O6" i="1"/>
  <c r="O26" i="1"/>
  <c r="N27" i="1"/>
  <c r="N26" i="1"/>
  <c r="M26" i="1"/>
  <c r="M27" i="1"/>
  <c r="K27" i="1"/>
  <c r="K26" i="1"/>
  <c r="O27" i="1"/>
  <c r="N52" i="1"/>
  <c r="L55" i="1"/>
  <c r="N74" i="1"/>
  <c r="O76" i="1"/>
  <c r="M78" i="1"/>
  <c r="O75" i="1"/>
  <c r="O52" i="1"/>
  <c r="M54" i="1"/>
  <c r="N55" i="1"/>
  <c r="M55" i="1"/>
  <c r="O55" i="1"/>
  <c r="K55" i="1"/>
  <c r="L56" i="1"/>
  <c r="L52" i="1"/>
  <c r="K52" i="1"/>
  <c r="M52" i="1"/>
  <c r="L53" i="1"/>
  <c r="L54" i="1"/>
  <c r="M56" i="1"/>
  <c r="N56" i="1"/>
  <c r="O54" i="1"/>
  <c r="K53" i="1"/>
  <c r="N54" i="1"/>
  <c r="K56" i="1"/>
  <c r="O53" i="1"/>
  <c r="N53" i="1"/>
  <c r="K54" i="1"/>
  <c r="O56" i="1"/>
  <c r="O74" i="1"/>
  <c r="M75" i="1"/>
  <c r="L76" i="1"/>
  <c r="N78" i="1"/>
  <c r="K74" i="1"/>
  <c r="L78" i="1"/>
  <c r="K75" i="1"/>
  <c r="O78" i="1"/>
  <c r="L77" i="1"/>
  <c r="M76" i="1"/>
  <c r="N77" i="1"/>
  <c r="K78" i="1"/>
  <c r="O77" i="1"/>
  <c r="L74" i="1"/>
  <c r="M77" i="1"/>
  <c r="M74" i="1"/>
  <c r="K76" i="1"/>
  <c r="L75" i="1"/>
  <c r="N76" i="1"/>
  <c r="K77" i="1"/>
  <c r="N75" i="1"/>
  <c r="M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8"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<sst xmlns="http://schemas.openxmlformats.org/spreadsheetml/2006/main" count="359" uniqueCount="273">
  <si>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</si>
  <si>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</si>
  <si>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</si>
  <si>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</si>
  <si>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</si>
  <si>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</si>
  <si>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</si>
  <si>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</si>
  <si>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</si>
  <si>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</si>
  <si>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</si>
  <si>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</si>
  <si>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</si>
  <si>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</si>
  <si>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</si>
  <si>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</si>
  <si>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</si>
  <si>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</si>
  <si>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</si>
  <si>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</si>
  <si>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</si>
  <si>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</si>
  <si>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</si>
  <si>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</si>
  <si>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</si>
  <si>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</si>
  <si>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</si>
  <si>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</si>
  <si>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</si>
  <si>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</si>
  <si>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</si>
  <si>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</si>
  <si>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</si>
  <si>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</si>
  <si>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</si>
  <si>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</si>
  <si>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</si>
  <si>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</si>
  <si>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</si>
  <si>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</si>
  <si>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</si>
  <si>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</si>
  <si>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</si>
  <si>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</si>
  <si>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</si>
  <si>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</si>
  <si>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</si>
  <si>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</si>
  <si>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</si>
  <si>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</si>
  <si>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</si>
  <si>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</si>
  <si>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</si>
  <si>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</si>
  <si>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</si>
  <si>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</si>
  <si>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</si>
  <si>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</si>
  <si>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</si>
  <si>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</si>
  <si>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</si>
  <si>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</si>
  <si>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</si>
  <si>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</si>
  <si>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</si>
  <si>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</si>
  <si>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</si>
  <si>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</si>
  <si>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</si>
  <si>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</si>
  <si>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</si>
  <si>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</si>
  <si>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</si>
  <si>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</si>
  <si>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</si>
  <si>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</si>
  <si>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</si>
  <si>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</si>
  <si>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</si>
  <si>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</si>
  <si>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</si>
  <si>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</si>
  <si>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</si>
  <si>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</si>
  <si>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</si>
  <si>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</si>
  <si>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</si>
  <si>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</si>
  <si>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</si>
  <si>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</si>
  <si>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</si>
  <si>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</si>
  <si>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</si>
  <si>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</si>
  <si>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</si>
  <si>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</si>
  <si>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</si>
  <si>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</si>
  <si>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</si>
  <si>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</si>
  <si>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</si>
  <si>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</si>
  <si>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</si>
  <si>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</si>
  <si>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</si>
  <si>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</si>
  <si>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</si>
  <si>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</si>
  <si>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</si>
  <si>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</si>
  <si>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</si>
  <si>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</si>
  <si>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</si>
  <si>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</si>
  <si>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</si>
  <si>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</si>
  <si>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</si>
  <si>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</si>
  <si>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</si>
  <si>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</si>
  <si>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</si>
  <si>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</si>
  <si>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</si>
  <si>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</si>
  <si>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</si>
  <si>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</si>
  <si>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</si>
  <si>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</si>
  <si>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</si>
  <si>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</si>
  <si>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</si>
  <si>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</si>
  <si>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</si>
  <si>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</si>
  <si>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</si>
  <si>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</si>
  <si>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</si>
  <si>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</si>
  <si>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</si>
  <si>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</si>
  <si>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</si>
  <si>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</si>
  <si>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</si>
  <si>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</si>
  <si>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</si>
  <si>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</si>
  <si>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</si>
  <si>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</si>
  <si>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</si>
  <si>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</si>
  <si>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</si>
  <si>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</si>
  <si>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</si>
  <si>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</si>
  <si>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</si>
  <si>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</si>
  <si>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</si>
  <si>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</si>
  <si>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</si>
  <si>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</si>
  <si>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</si>
  <si>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</si>
  <si>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</si>
  <si>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</si>
  <si>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</si>
  <si>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</si>
  <si>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</si>
  <si>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</si>
  <si>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</si>
  <si>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</si>
  <si>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</si>
  <si>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</si>
  <si>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</si>
  <si>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</si>
  <si>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</si>
  <si>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</si>
  <si>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</si>
  <si>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</si>
  <si>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</si>
  <si>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</si>
  <si>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</si>
  <si>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</si>
  <si>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</si>
  <si>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</si>
  <si>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</si>
  <si>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</si>
  <si>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</si>
  <si>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</si>
  <si>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</si>
  <si>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</si>
  <si>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</si>
  <si>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</si>
  <si>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</si>
  <si>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</si>
  <si>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</si>
  <si>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</si>
  <si>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</si>
  <si>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</si>
  <si>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</si>
  <si>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</si>
  <si>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</si>
  <si>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</si>
  <si>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</si>
  <si>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 xml:space="preserve">Exit Multiple </t>
  </si>
  <si>
    <t>EBITDA Exit Multiple</t>
  </si>
  <si>
    <t>Gordon Growth Model</t>
  </si>
  <si>
    <t>Cash</t>
  </si>
  <si>
    <t>Diluted Shares outstanding</t>
  </si>
  <si>
    <t>Net income to common stockholders</t>
  </si>
  <si>
    <t>NCI</t>
  </si>
  <si>
    <t>Diluted shares (M)</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</si>
  <si>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</si>
  <si>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</si>
  <si>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</si>
  <si>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</si>
  <si>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</si>
  <si>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</si>
  <si>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</si>
  <si>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</si>
  <si>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</si>
  <si>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</si>
  <si>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</si>
  <si>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</si>
  <si>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</si>
  <si>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</si>
  <si>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</si>
  <si>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</si>
  <si>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</si>
  <si>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</si>
  <si>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</si>
  <si>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</si>
  <si>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</si>
  <si>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</si>
  <si>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</si>
  <si>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</si>
  <si>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</si>
  <si>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</si>
  <si>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</si>
  <si>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</si>
  <si>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</si>
  <si>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</si>
  <si>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</si>
  <si>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</si>
  <si>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</si>
  <si>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</si>
  <si>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</si>
  <si>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</si>
  <si>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</si>
  <si>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</si>
  <si>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</si>
  <si>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</si>
  <si>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</si>
  <si>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</si>
  <si>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</si>
  <si>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</si>
  <si>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</si>
  <si>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</si>
  <si>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</si>
  <si>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</si>
  <si>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</si>
  <si>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</si>
  <si>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</si>
  <si>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</si>
  <si>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</si>
  <si>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</si>
  <si>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</si>
  <si>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</si>
  <si>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</si>
  <si>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</si>
  <si>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</si>
  <si>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</si>
  <si>
    <t xml:space="preserve">EPS huge increses in 2021 </t>
  </si>
  <si>
    <t>PS above average, need sales growth in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</si>
</sst>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3" formatCode="0.0"/>
  </numFmts>
  <fonts count="27"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s>
  <fills count="6">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36">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3" fontId="12"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23" xfId="0" applyFill="1" applyBorder="1" applyAlignment="1">
      <alignment horizontal="left" indent="1"/>
    </xf>
    <xf numFmtId="4" fontId="0" fillId="3" borderId="26" xfId="0" applyNumberFormat="1" applyFill="1" applyBorder="1" applyAlignment="1">
      <alignment horizontal="left" indent="2"/>
    </xf>
    <xf numFmtId="0" fontId="0" fillId="3" borderId="30" xfId="0" applyFont="1" applyFill="1" applyBorder="1" applyAlignment="1">
      <alignment horizontal="left" indent="2"/>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0" xfId="0" applyFont="1" applyFill="1" applyAlignment="1">
      <alignment vertical="top"/>
    </xf>
    <xf numFmtId="173" fontId="0" fillId="3" borderId="0" xfId="0" applyNumberFormat="1" applyFont="1" applyFill="1"/>
    <xf numFmtId="173" fontId="5" fillId="3" borderId="0" xfId="0" applyNumberFormat="1" applyFont="1" applyFill="1"/>
    <xf numFmtId="173" fontId="0" fillId="3" borderId="0" xfId="0" applyNumberFormat="1" applyFont="1" applyFill="1" applyBorder="1"/>
    <xf numFmtId="173" fontId="0" fillId="3" borderId="15" xfId="0" applyNumberFormat="1" applyFont="1" applyFill="1" applyBorder="1"/>
    <xf numFmtId="173" fontId="0" fillId="3" borderId="24" xfId="0" applyNumberFormat="1" applyFont="1" applyFill="1" applyBorder="1"/>
    <xf numFmtId="173" fontId="0" fillId="3" borderId="25" xfId="0" applyNumberFormat="1" applyFont="1" applyFill="1" applyBorder="1"/>
    <xf numFmtId="173" fontId="0" fillId="3" borderId="27" xfId="0" applyNumberFormat="1" applyFont="1" applyFill="1" applyBorder="1"/>
    <xf numFmtId="173" fontId="0" fillId="3" borderId="28" xfId="0" applyNumberFormat="1" applyFont="1" applyFill="1" applyBorder="1"/>
    <xf numFmtId="173" fontId="0" fillId="3" borderId="21" xfId="0" applyNumberFormat="1" applyFont="1" applyFill="1" applyBorder="1"/>
    <xf numFmtId="173" fontId="0" fillId="3" borderId="22" xfId="0" applyNumberFormat="1" applyFont="1" applyFill="1" applyBorder="1"/>
    <xf numFmtId="173"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3"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3" fontId="0" fillId="3" borderId="36" xfId="0" applyNumberFormat="1" applyFont="1" applyFill="1" applyBorder="1"/>
    <xf numFmtId="173" fontId="0" fillId="3" borderId="37" xfId="0" applyNumberFormat="1" applyFont="1" applyFill="1" applyBorder="1"/>
    <xf numFmtId="173" fontId="0" fillId="3" borderId="38" xfId="0" applyNumberFormat="1" applyFont="1" applyFill="1" applyBorder="1"/>
    <xf numFmtId="173" fontId="0" fillId="3" borderId="39" xfId="0" applyNumberFormat="1" applyFont="1" applyFill="1" applyBorder="1"/>
    <xf numFmtId="173"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xf numFmtId="9" fontId="24" fillId="3" borderId="0" xfId="2" applyFont="1" applyFill="1"/>
    <xf numFmtId="9" fontId="24" fillId="3" borderId="0" xfId="2" applyFont="1" applyFill="1" applyAlignment="1">
      <alignment vertical="top"/>
    </xf>
    <xf numFmtId="0" fontId="6" fillId="4" borderId="0" xfId="0" applyFont="1" applyFill="1" applyAlignment="1">
      <alignment horizontal="center"/>
    </xf>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6" fillId="3" borderId="0" xfId="0" applyFont="1" applyFill="1" applyAlignment="1">
      <alignment horizontal="center"/>
    </xf>
    <xf numFmtId="0" fontId="0" fillId="3" borderId="16"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9" xfId="0" applyFont="1" applyFill="1" applyBorder="1" applyAlignment="1">
      <alignment horizontal="center" vertical="center"/>
    </xf>
    <xf numFmtId="0" fontId="0" fillId="3" borderId="31" xfId="0" applyFont="1" applyFill="1" applyBorder="1" applyAlignment="1">
      <alignment horizontal="center" vertical="center"/>
    </xf>
    <xf numFmtId="0" fontId="0" fillId="3" borderId="35" xfId="0" applyFont="1" applyFill="1" applyBorder="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3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15</xdr:col>
      <xdr:colOff>338667</xdr:colOff>
      <xdr:row>45</xdr:row>
      <xdr:rowOff>169334</xdr:rowOff>
    </xdr:from>
    <xdr:to>
      <xdr:col>30</xdr:col>
      <xdr:colOff>330201</xdr:colOff>
      <xdr:row>75</xdr:row>
      <xdr:rowOff>93134</xdr:rowOff>
    </xdr:to>
    <xdr:sp macro="" textlink="">
      <xdr:nvSpPr>
        <xdr:cNvPr id="2" name="TextBox 1">
          <a:extLst>
            <a:ext uri="{FF2B5EF4-FFF2-40B4-BE49-F238E27FC236}">
              <a16:creationId xmlns:a16="http://schemas.microsoft.com/office/drawing/2014/main" id="{A9385366-9B7F-5445-A710-01158100D9A4}"/>
            </a:ext>
          </a:extLst>
        </xdr:cNvPr>
        <xdr:cNvSpPr txBox="1"/>
      </xdr:nvSpPr>
      <xdr:spPr>
        <a:xfrm>
          <a:off x="15248467" y="9347201"/>
          <a:ext cx="11497734" cy="601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Commentatry</a:t>
          </a:r>
        </a:p>
        <a:p>
          <a:endParaRPr lang="en-US" sz="1100"/>
        </a:p>
        <a:p>
          <a:r>
            <a:rPr lang="en-US" sz="1100"/>
            <a:t>Macro factors </a:t>
          </a:r>
        </a:p>
        <a:p>
          <a:r>
            <a:rPr lang="en-US" sz="1100"/>
            <a:t>Pros:</a:t>
          </a:r>
        </a:p>
        <a:p>
          <a:r>
            <a:rPr lang="en-US" sz="1100"/>
            <a:t>Biden</a:t>
          </a:r>
          <a:r>
            <a:rPr lang="en-US" sz="1100" baseline="0"/>
            <a:t> administreation favor green energy over oil - calling for greater adaption for EVs</a:t>
          </a:r>
        </a:p>
        <a:p>
          <a:r>
            <a:rPr lang="en-US" sz="1100" baseline="0"/>
            <a:t>Current Russian oil sanctions as well as global warmming - favor an energy alternative  </a:t>
          </a:r>
        </a:p>
        <a:p>
          <a:endParaRPr lang="en-US" sz="1100"/>
        </a:p>
        <a:p>
          <a:r>
            <a:rPr lang="en-US" sz="1100"/>
            <a:t>Cons:</a:t>
          </a:r>
        </a:p>
        <a:p>
          <a:r>
            <a:rPr lang="en-US" sz="1100"/>
            <a:t>Current supply chian disruptction and proposed interest rate</a:t>
          </a:r>
          <a:r>
            <a:rPr lang="en-US" sz="1100" baseline="0"/>
            <a:t> hikes - market risk off </a:t>
          </a:r>
          <a:endParaRPr lang="en-US" sz="1100"/>
        </a:p>
        <a:p>
          <a:endParaRPr lang="en-US" sz="1100"/>
        </a:p>
        <a:p>
          <a:r>
            <a:rPr lang="en-US" sz="1100"/>
            <a:t>Evaluate</a:t>
          </a:r>
        </a:p>
        <a:p>
          <a:r>
            <a:rPr lang="en-US" sz="1100"/>
            <a:t>1</a:t>
          </a:r>
          <a:r>
            <a:rPr lang="en-US" sz="1100" baseline="0"/>
            <a:t> delivery and supply chian: </a:t>
          </a:r>
        </a:p>
        <a:p>
          <a:r>
            <a:rPr lang="en-US" sz="1100"/>
            <a:t>Tesla's deliveries had 89% increase in 2021, reaching close to 1M cars delivered - signs of being </a:t>
          </a:r>
          <a:r>
            <a:rPr lang="en-US" sz="1100" baseline="0"/>
            <a:t>relatively easy in attating resources </a:t>
          </a:r>
        </a:p>
        <a:p>
          <a:endParaRPr lang="en-US" sz="1100" baseline="0"/>
        </a:p>
        <a:p>
          <a:r>
            <a:rPr lang="en-US" sz="1100" baseline="0"/>
            <a:t>2: profitability: </a:t>
          </a:r>
        </a:p>
        <a:p>
          <a:r>
            <a:rPr lang="en-US" sz="1100" baseline="0"/>
            <a:t>Since 2018 Q3, Tesla's EBITDA became positive (and with increasing EBITDA margin), in 2019 Q3, opertion income also became positive  -  a profitable company with growing cashflow generation </a:t>
          </a:r>
        </a:p>
        <a:p>
          <a:r>
            <a:rPr lang="en-US" sz="1100" baseline="0"/>
            <a:t>Also, the YoY growth in gross profit is higher than growth in revenue and operating expense (increasing operating margin) - stronger profitatbility and cost effciency </a:t>
          </a:r>
        </a:p>
        <a:p>
          <a:endParaRPr lang="en-US" sz="1100"/>
        </a:p>
        <a:p>
          <a:r>
            <a:rPr lang="en-US" sz="1100"/>
            <a:t>3. long-term protentials</a:t>
          </a:r>
        </a:p>
        <a:p>
          <a:r>
            <a:rPr lang="en-US" sz="1100"/>
            <a:t>Tesla</a:t>
          </a:r>
          <a:r>
            <a:rPr lang="en-US" sz="1100" baseline="0"/>
            <a:t> is disruptive and with exponential growth, none liner, when full self drive matures </a:t>
          </a:r>
        </a:p>
        <a:p>
          <a:endParaRPr lang="en-US" sz="1100"/>
        </a:p>
        <a:p>
          <a:r>
            <a:rPr lang="en-US" sz="1100"/>
            <a:t>Comparision</a:t>
          </a:r>
        </a:p>
        <a:p>
          <a:pPr marL="0" marR="0" lvl="0" indent="0" defTabSz="914400" eaLnBrk="1" fontAlgn="auto" latinLnBrk="0" hangingPunct="1">
            <a:lnSpc>
              <a:spcPct val="100000"/>
            </a:lnSpc>
            <a:spcBef>
              <a:spcPts val="0"/>
            </a:spcBef>
            <a:spcAft>
              <a:spcPts val="0"/>
            </a:spcAft>
            <a:buClrTx/>
            <a:buSzTx/>
            <a:buFontTx/>
            <a:buNone/>
            <a:tabLst/>
            <a:defRPr/>
          </a:pPr>
          <a:r>
            <a:rPr lang="en-US" sz="1100"/>
            <a:t>1</a:t>
          </a:r>
          <a:r>
            <a:rPr lang="en-US" sz="1100" baseline="0"/>
            <a:t> delivery and supply chian: </a:t>
          </a:r>
        </a:p>
        <a:p>
          <a:pPr marL="0" marR="0" lvl="0" indent="0" defTabSz="914400" eaLnBrk="1" fontAlgn="auto" latinLnBrk="0" hangingPunct="1">
            <a:lnSpc>
              <a:spcPct val="100000"/>
            </a:lnSpc>
            <a:spcBef>
              <a:spcPts val="0"/>
            </a:spcBef>
            <a:spcAft>
              <a:spcPts val="0"/>
            </a:spcAft>
            <a:buClrTx/>
            <a:buSzTx/>
            <a:buFontTx/>
            <a:buNone/>
            <a:tabLst/>
            <a:defRPr/>
          </a:pPr>
          <a:r>
            <a:rPr lang="en-US" sz="1100"/>
            <a:t>The other biggest US EV companies, Lucid and Rivian,</a:t>
          </a:r>
          <a:r>
            <a:rPr lang="en-US" sz="1100" baseline="0"/>
            <a:t> b</a:t>
          </a:r>
          <a:r>
            <a:rPr lang="en-US" sz="1100"/>
            <a:t>oth undergo supply disruption,</a:t>
          </a:r>
          <a:r>
            <a:rPr lang="en-US" sz="1100" baseline="0"/>
            <a:t> and </a:t>
          </a:r>
          <a:r>
            <a:rPr lang="en-US" sz="1100"/>
            <a:t>deliveried about</a:t>
          </a:r>
          <a:r>
            <a:rPr lang="en-US" sz="1100" baseline="0"/>
            <a:t> 1000 cars in 2021 - increasing cost in attating resources </a:t>
          </a:r>
        </a:p>
        <a:p>
          <a:endParaRPr lang="en-US" sz="1100"/>
        </a:p>
        <a:p>
          <a:r>
            <a:rPr lang="en-US" sz="1100"/>
            <a:t>2</a:t>
          </a:r>
          <a:r>
            <a:rPr lang="en-US" sz="1100" baseline="0"/>
            <a:t> </a:t>
          </a:r>
          <a:r>
            <a:rPr lang="en-US" sz="1100"/>
            <a:t>profitablity:</a:t>
          </a:r>
          <a:r>
            <a:rPr lang="en-US" sz="1100" baseline="0"/>
            <a:t> </a:t>
          </a:r>
        </a:p>
        <a:p>
          <a:r>
            <a:rPr lang="en-US" sz="1100" baseline="0"/>
            <a:t>These companies </a:t>
          </a:r>
          <a:r>
            <a:rPr lang="en-US" sz="1100"/>
            <a:t>has not been profitable (negative</a:t>
          </a:r>
          <a:r>
            <a:rPr lang="en-US" sz="1100" baseline="0"/>
            <a:t> gross margin) - </a:t>
          </a:r>
          <a:r>
            <a:rPr lang="en-US" sz="1100"/>
            <a:t> stock prices has fallen to record lows under capital market risk off</a:t>
          </a:r>
          <a:r>
            <a:rPr lang="en-US" sz="1100" baseline="0"/>
            <a:t> </a:t>
          </a:r>
          <a:endParaRPr lang="en-US" sz="1100"/>
        </a:p>
        <a:p>
          <a:endParaRPr lang="en-US" sz="1100"/>
        </a:p>
        <a:p>
          <a:r>
            <a:rPr lang="en-US" sz="1100"/>
            <a:t>Conclusion</a:t>
          </a:r>
        </a:p>
        <a:p>
          <a:r>
            <a:rPr lang="en-US" sz="1100"/>
            <a:t>1. Tesla</a:t>
          </a:r>
          <a:r>
            <a:rPr lang="en-US" sz="1100" baseline="0"/>
            <a:t> is the only US EV company that has demostraetd profitablity, others are concept stocks with increasing costs, not favored under market risk off </a:t>
          </a:r>
        </a:p>
        <a:p>
          <a:r>
            <a:rPr lang="en-US" sz="1100" baseline="0"/>
            <a:t>2. Testal is still a risky investment due to high volatility and high valuation multiples, but risks are counteracted by it's exponential growth potential</a:t>
          </a:r>
        </a:p>
        <a:p>
          <a:r>
            <a:rPr lang="en-US" sz="1100" baseline="0"/>
            <a:t>3. Given a entry price of $450, I recommend hold at current price of 800, and buy if price fell below 700</a:t>
          </a:r>
        </a:p>
        <a:p>
          <a:r>
            <a:rPr lang="en-US" sz="1100" baseline="0"/>
            <a:t>4. Sell when delivery slows re-evaluate when Biden withdraw EV adaption and when other competitors get ahead of FSD technology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t%20valuation/TSLA%20DCF%20mod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sheetName val="Revenue"/>
      <sheetName val="income"/>
      <sheetName val="balance"/>
      <sheetName val="cashflow"/>
      <sheetName val="Debt"/>
      <sheetName val="Competitors"/>
    </sheetNames>
    <sheetDataSet>
      <sheetData sheetId="0" refreshError="1"/>
      <sheetData sheetId="1" refreshError="1"/>
      <sheetData sheetId="2" refreshError="1">
        <row r="2">
          <cell r="B2">
            <v>7000.1320000000005</v>
          </cell>
          <cell r="C2">
            <v>11758.751</v>
          </cell>
        </row>
        <row r="30">
          <cell r="B30">
            <v>3.5771516772336767E-2</v>
          </cell>
          <cell r="C30">
            <v>1.4280463116876531E-2</v>
          </cell>
          <cell r="D30">
            <v>5.7563859486735439E-2</v>
          </cell>
          <cell r="E30">
            <v>0.16541353383458646</v>
          </cell>
          <cell r="F30">
            <v>0.2530329289428076</v>
          </cell>
          <cell r="G30">
            <v>0.11020022071574964</v>
          </cell>
          <cell r="H30">
            <v>0.14655263574496979</v>
          </cell>
          <cell r="I30">
            <v>0.14655263574496979</v>
          </cell>
          <cell r="J30">
            <v>0.14655263574496979</v>
          </cell>
          <cell r="K30">
            <v>0.14655263574496979</v>
          </cell>
          <cell r="L30">
            <v>0.14655263574496979</v>
          </cell>
        </row>
        <row r="31">
          <cell r="H31">
            <v>6.3135966114029801E-2</v>
          </cell>
        </row>
        <row r="54">
          <cell r="C54">
            <v>1.8983760345438689</v>
          </cell>
        </row>
        <row r="60">
          <cell r="C60"/>
        </row>
      </sheetData>
      <sheetData sheetId="3" refreshError="1">
        <row r="31">
          <cell r="B31">
            <v>984.21100000000001</v>
          </cell>
        </row>
        <row r="48">
          <cell r="G48">
            <v>30189</v>
          </cell>
        </row>
        <row r="49">
          <cell r="G49">
            <v>62131</v>
          </cell>
        </row>
      </sheetData>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8"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zoomScale="110" zoomScaleNormal="110" workbookViewId="0">
      <selection activeCell="E64" sqref="E64"/>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59" t="s">
        <v>175</v>
      </c>
      <c r="C4" s="159"/>
      <c r="D4" s="159"/>
      <c r="E4" s="160">
        <v>2016</v>
      </c>
      <c r="F4" s="160">
        <v>2017</v>
      </c>
      <c r="G4" s="160">
        <v>2018</v>
      </c>
      <c r="H4" s="160">
        <v>2019</v>
      </c>
      <c r="I4" s="160">
        <v>2020</v>
      </c>
      <c r="J4" s="160">
        <v>2021</v>
      </c>
      <c r="K4" s="161">
        <v>2022</v>
      </c>
      <c r="L4" s="161">
        <v>2023</v>
      </c>
      <c r="M4" s="161">
        <v>2024</v>
      </c>
      <c r="N4" s="161">
        <v>2025</v>
      </c>
      <c r="O4" s="161">
        <v>2026</v>
      </c>
      <c r="Q4" s="223" t="s">
        <v>176</v>
      </c>
      <c r="R4" s="223"/>
      <c r="S4" s="223"/>
    </row>
    <row r="5" spans="2:19" x14ac:dyDescent="0.2">
      <c r="B5" s="14" t="s">
        <v>177</v>
      </c>
      <c r="E5" s="168">
        <f>Revenue!C27</f>
        <v>7000.1320000000005</v>
      </c>
      <c r="F5" s="168">
        <f>Revenue!D27</f>
        <v>11758.751</v>
      </c>
      <c r="G5" s="168">
        <f>Revenue!E27</f>
        <v>21461.268</v>
      </c>
      <c r="H5" s="168">
        <f>Revenue!F27</f>
        <v>24578</v>
      </c>
      <c r="I5" s="168">
        <f>Revenue!G27</f>
        <v>31536</v>
      </c>
      <c r="J5" s="168">
        <f>Revenue!H27</f>
        <v>53823</v>
      </c>
      <c r="K5" s="168">
        <f>Revenue!I27</f>
        <v>93378.506358194907</v>
      </c>
      <c r="L5" s="168">
        <f>Revenue!J27</f>
        <v>128046.27126308669</v>
      </c>
      <c r="M5" s="168">
        <f>Revenue!K27</f>
        <v>159128.99870868155</v>
      </c>
      <c r="N5" s="168">
        <f>Revenue!L27</f>
        <v>182519.05074723565</v>
      </c>
      <c r="O5" s="168">
        <f>Revenue!M27</f>
        <v>194383.43910785808</v>
      </c>
      <c r="Q5" s="14" t="s">
        <v>178</v>
      </c>
      <c r="R5" s="10"/>
      <c r="S5" s="26" cm="1">
        <f t="array" ref="S5">_FV(Q16,"Yield yesterday",TRUE)</f>
        <v>2.0449999999999999E-2</v>
      </c>
    </row>
    <row r="6" spans="2:19" x14ac:dyDescent="0.2">
      <c r="B6" s="19" t="s">
        <v>179</v>
      </c>
      <c r="C6" s="19"/>
      <c r="D6" s="19"/>
      <c r="E6" s="122"/>
      <c r="F6" s="123">
        <f>F5/E5-1</f>
        <v>0.67978989539054391</v>
      </c>
      <c r="G6" s="26"/>
      <c r="H6" s="26">
        <f t="shared" ref="H6:O6" si="0">H5/G5-1</f>
        <v>0.14522590184326489</v>
      </c>
      <c r="I6" s="26">
        <f t="shared" si="0"/>
        <v>0.28309870615998056</v>
      </c>
      <c r="J6" s="26">
        <f t="shared" si="0"/>
        <v>0.70671613394216126</v>
      </c>
      <c r="K6" s="26">
        <f t="shared" si="0"/>
        <v>0.73491827579649782</v>
      </c>
      <c r="L6" s="26">
        <f t="shared" si="0"/>
        <v>0.37126064933945413</v>
      </c>
      <c r="M6" s="26">
        <f t="shared" si="0"/>
        <v>0.24274605686667439</v>
      </c>
      <c r="N6" s="26">
        <f t="shared" si="0"/>
        <v>0.14698799231040471</v>
      </c>
      <c r="O6" s="26">
        <f t="shared" si="0"/>
        <v>6.500356161205878E-2</v>
      </c>
      <c r="Q6" s="14" t="s">
        <v>180</v>
      </c>
      <c r="R6" s="10"/>
      <c r="S6" s="124" cm="1">
        <f t="array" ref="S6">_FV(Q17,"Beta")</f>
        <v>2.0539999999999998</v>
      </c>
    </row>
    <row r="7" spans="2:19" x14ac:dyDescent="0.2">
      <c r="E7" s="122"/>
      <c r="F7" s="122"/>
      <c r="Q7" s="14" t="s">
        <v>181</v>
      </c>
      <c r="R7" s="10"/>
      <c r="S7" s="12">
        <v>0.1</v>
      </c>
    </row>
    <row r="8" spans="2:19" x14ac:dyDescent="0.2">
      <c r="B8" s="14" t="s">
        <v>41</v>
      </c>
      <c r="E8" s="24">
        <f t="shared" ref="E8:F8" si="1">E14+E12</f>
        <v>279.7589999999999</v>
      </c>
      <c r="F8" s="24">
        <f t="shared" si="1"/>
        <v>3.9170000000001437</v>
      </c>
      <c r="G8" s="24">
        <f>G14+G12</f>
        <v>1512.9769999999999</v>
      </c>
      <c r="H8" s="24">
        <f>H14+H12</f>
        <v>2085</v>
      </c>
      <c r="I8" s="24">
        <f t="shared" ref="I8:N8" si="2">I14+I12</f>
        <v>4316</v>
      </c>
      <c r="J8" s="24">
        <f t="shared" si="2"/>
        <v>9434</v>
      </c>
      <c r="K8" s="24">
        <f>K14+K12</f>
        <v>13657.383463160546</v>
      </c>
      <c r="L8" s="24">
        <f t="shared" si="2"/>
        <v>18727.832515971459</v>
      </c>
      <c r="M8" s="24">
        <f t="shared" si="2"/>
        <v>23273.940012883017</v>
      </c>
      <c r="N8" s="24">
        <f t="shared" si="2"/>
        <v>26694.929728529482</v>
      </c>
      <c r="O8" s="24">
        <f>O14+O12</f>
        <v>28430.195237867534</v>
      </c>
      <c r="Q8" s="14" t="s">
        <v>182</v>
      </c>
      <c r="R8" s="10"/>
      <c r="S8" s="11">
        <f>[1]income!H31</f>
        <v>6.3135966114029801E-2</v>
      </c>
    </row>
    <row r="9" spans="2:19" x14ac:dyDescent="0.2">
      <c r="B9" s="19" t="s">
        <v>183</v>
      </c>
      <c r="C9" s="19"/>
      <c r="D9" s="19"/>
      <c r="E9" s="181">
        <f>E8/E5</f>
        <v>3.9964817806292775E-2</v>
      </c>
      <c r="F9" s="181">
        <f t="shared" ref="F9:O9" si="3">F8/F5</f>
        <v>3.3311361045064599E-4</v>
      </c>
      <c r="G9" s="26">
        <f t="shared" si="3"/>
        <v>7.0498024627435804E-2</v>
      </c>
      <c r="H9" s="26">
        <f t="shared" si="3"/>
        <v>8.4831963544633418E-2</v>
      </c>
      <c r="I9" s="26">
        <f t="shared" si="3"/>
        <v>0.13685946220192796</v>
      </c>
      <c r="J9" s="26">
        <f t="shared" si="3"/>
        <v>0.17527822678037269</v>
      </c>
      <c r="K9" s="26">
        <f t="shared" si="3"/>
        <v>0.14625831999037939</v>
      </c>
      <c r="L9" s="26">
        <f t="shared" si="3"/>
        <v>0.14625831999037942</v>
      </c>
      <c r="M9" s="26">
        <f t="shared" si="3"/>
        <v>0.14625831999037939</v>
      </c>
      <c r="N9" s="26">
        <f t="shared" si="3"/>
        <v>0.14625831999037936</v>
      </c>
      <c r="O9" s="26">
        <f t="shared" si="3"/>
        <v>0.14625831999037939</v>
      </c>
      <c r="Q9" s="14" t="s">
        <v>184</v>
      </c>
      <c r="R9" s="10"/>
      <c r="S9" s="12">
        <f>J19</f>
        <v>0.11020022071574964</v>
      </c>
    </row>
    <row r="10" spans="2:19" x14ac:dyDescent="0.2">
      <c r="B10" s="19" t="s">
        <v>179</v>
      </c>
      <c r="C10" s="19"/>
      <c r="D10" s="19"/>
      <c r="E10" s="123"/>
      <c r="F10" s="125">
        <f>F8/E8-1</f>
        <v>-0.98599866313505502</v>
      </c>
      <c r="G10" s="125">
        <f>G8/F8-1</f>
        <v>385.25912688280425</v>
      </c>
      <c r="H10" s="26">
        <f>H8/G8-1</f>
        <v>0.3780777896821963</v>
      </c>
      <c r="I10" s="26">
        <f>I8/H8-1</f>
        <v>1.0700239808153476</v>
      </c>
      <c r="J10" s="26">
        <f>J8/I8-1</f>
        <v>1.1858202038924932</v>
      </c>
      <c r="K10" s="26">
        <f t="shared" ref="K10:O10" si="4">K8/J8-1</f>
        <v>0.44767685638759236</v>
      </c>
      <c r="L10" s="26">
        <f t="shared" si="4"/>
        <v>0.37126064933945457</v>
      </c>
      <c r="M10" s="26">
        <f t="shared" si="4"/>
        <v>0.24274605686667416</v>
      </c>
      <c r="N10" s="26">
        <f t="shared" si="4"/>
        <v>0.14698799231040449</v>
      </c>
      <c r="O10" s="26">
        <f t="shared" si="4"/>
        <v>6.5003561612059002E-2</v>
      </c>
      <c r="Q10" s="14" t="s">
        <v>185</v>
      </c>
      <c r="R10" s="10"/>
      <c r="S10" s="12">
        <f>S8*(1-S9)</f>
        <v>5.6178368713161626E-2</v>
      </c>
    </row>
    <row r="11" spans="2:19" x14ac:dyDescent="0.2">
      <c r="E11" s="122"/>
      <c r="F11" s="122"/>
      <c r="Q11" s="14" t="s">
        <v>186</v>
      </c>
      <c r="R11" s="10"/>
      <c r="S11" s="12">
        <f>S5+S6*(S7-S5)</f>
        <v>0.1838457</v>
      </c>
    </row>
    <row r="12" spans="2:19" x14ac:dyDescent="0.2">
      <c r="B12" s="14" t="s">
        <v>187</v>
      </c>
      <c r="E12" s="168">
        <f>'Financial Statements'!C120</f>
        <v>947.09899999999993</v>
      </c>
      <c r="F12" s="168">
        <f>'Financial Statements'!D120</f>
        <v>1636.0030000000002</v>
      </c>
      <c r="G12" s="168">
        <f>'Financial Statements'!E120</f>
        <v>1901.05</v>
      </c>
      <c r="H12" s="168">
        <f>'Financial Statements'!F120</f>
        <v>2154</v>
      </c>
      <c r="I12" s="168">
        <f>'Financial Statements'!G120</f>
        <v>2322</v>
      </c>
      <c r="J12" s="168">
        <f>'Financial Statements'!H120</f>
        <v>2911</v>
      </c>
      <c r="K12" s="168">
        <f>'Financial Statements'!I120</f>
        <v>7095.2416407975079</v>
      </c>
      <c r="L12" s="168">
        <f>'Financial Statements'!J120</f>
        <v>9729.4256595803254</v>
      </c>
      <c r="M12" s="168">
        <f>'Financial Statements'!K120</f>
        <v>12091.205374020892</v>
      </c>
      <c r="N12" s="168">
        <f>'Financial Statements'!L120</f>
        <v>13868.467376561</v>
      </c>
      <c r="O12" s="168">
        <f>'Financial Statements'!M120</f>
        <v>14769.967150138111</v>
      </c>
      <c r="Q12" s="14" t="s">
        <v>188</v>
      </c>
      <c r="R12" s="10"/>
      <c r="S12" s="11">
        <f>[1]balance!G48/[1]balance!G49</f>
        <v>0.48589271056316491</v>
      </c>
    </row>
    <row r="13" spans="2:19" x14ac:dyDescent="0.2">
      <c r="E13" s="122"/>
      <c r="F13" s="122"/>
      <c r="Q13" s="14" t="s">
        <v>189</v>
      </c>
      <c r="R13" s="10"/>
      <c r="S13" s="12">
        <f>1-S12</f>
        <v>0.51410728943683504</v>
      </c>
    </row>
    <row r="14" spans="2:19" x14ac:dyDescent="0.2">
      <c r="B14" s="14" t="s">
        <v>190</v>
      </c>
      <c r="E14" s="168">
        <f>'Financial Statements'!C10</f>
        <v>-667.34</v>
      </c>
      <c r="F14" s="168">
        <f>'Financial Statements'!D10</f>
        <v>-1632.086</v>
      </c>
      <c r="G14" s="168">
        <f>'Financial Statements'!E10</f>
        <v>-388.07299999999998</v>
      </c>
      <c r="H14" s="168">
        <f>'Financial Statements'!F10</f>
        <v>-69</v>
      </c>
      <c r="I14" s="168">
        <f>'Financial Statements'!G10</f>
        <v>1994</v>
      </c>
      <c r="J14" s="168">
        <f>'Financial Statements'!H10</f>
        <v>6523</v>
      </c>
      <c r="K14" s="168">
        <f>'Financial Statements'!I10</f>
        <v>6562.141822363039</v>
      </c>
      <c r="L14" s="168">
        <f>'Financial Statements'!J10</f>
        <v>8998.4068563911314</v>
      </c>
      <c r="M14" s="168">
        <f>'Financial Statements'!K10</f>
        <v>11182.734638862126</v>
      </c>
      <c r="N14" s="168">
        <f>'Financial Statements'!L10</f>
        <v>12826.462351968483</v>
      </c>
      <c r="O14" s="168">
        <f>'Financial Statements'!M10</f>
        <v>13660.228087729425</v>
      </c>
      <c r="Q14" s="126" t="s">
        <v>176</v>
      </c>
      <c r="R14" s="127"/>
      <c r="S14" s="128">
        <f>S11*S12+S10*S13</f>
        <v>0.11821099436248907</v>
      </c>
    </row>
    <row r="15" spans="2:19" x14ac:dyDescent="0.2">
      <c r="B15" s="19" t="s">
        <v>183</v>
      </c>
      <c r="C15" s="19"/>
      <c r="D15" s="19"/>
      <c r="E15" s="181">
        <f>E14/E5</f>
        <v>-9.533248801594027E-2</v>
      </c>
      <c r="F15" s="181">
        <f t="shared" ref="F15:O15" si="5">F14/F5</f>
        <v>-0.13879756446921956</v>
      </c>
      <c r="G15" s="26">
        <f t="shared" si="5"/>
        <v>-1.8082482358451512E-2</v>
      </c>
      <c r="H15" s="26">
        <f>H14/H5</f>
        <v>-2.8073887216209618E-3</v>
      </c>
      <c r="I15" s="26">
        <f t="shared" si="5"/>
        <v>6.3229325215626589E-2</v>
      </c>
      <c r="J15" s="26">
        <f t="shared" si="5"/>
        <v>0.12119354179440016</v>
      </c>
      <c r="K15" s="26">
        <f t="shared" si="5"/>
        <v>7.0274649684275492E-2</v>
      </c>
      <c r="L15" s="26">
        <f t="shared" si="5"/>
        <v>7.0274649684275506E-2</v>
      </c>
      <c r="M15" s="26">
        <f t="shared" si="5"/>
        <v>7.0274649684275506E-2</v>
      </c>
      <c r="N15" s="26">
        <f t="shared" si="5"/>
        <v>7.0274649684275478E-2</v>
      </c>
      <c r="O15" s="26">
        <f t="shared" si="5"/>
        <v>7.0274649684275506E-2</v>
      </c>
    </row>
    <row r="16" spans="2:19" x14ac:dyDescent="0.2">
      <c r="B16" s="19" t="s">
        <v>179</v>
      </c>
      <c r="C16" s="19"/>
      <c r="D16" s="19"/>
      <c r="E16" s="181"/>
      <c r="F16" s="181">
        <f>F14/E14-1</f>
        <v>1.4456588845266278</v>
      </c>
      <c r="G16" s="26"/>
      <c r="H16" s="26">
        <f t="shared" ref="H16:O16" si="6">H14/G14-1</f>
        <v>-0.82219840081634121</v>
      </c>
      <c r="I16" s="26">
        <f t="shared" si="6"/>
        <v>-29.89855072463768</v>
      </c>
      <c r="J16" s="26">
        <f t="shared" si="6"/>
        <v>2.2713139418254764</v>
      </c>
      <c r="K16" s="26">
        <f t="shared" si="6"/>
        <v>6.0005859823759611E-3</v>
      </c>
      <c r="L16" s="26">
        <f t="shared" si="6"/>
        <v>0.37126064933945435</v>
      </c>
      <c r="M16" s="26">
        <f t="shared" si="6"/>
        <v>0.24274605686667439</v>
      </c>
      <c r="N16" s="26">
        <f t="shared" si="6"/>
        <v>0.14698799231040427</v>
      </c>
      <c r="O16" s="26">
        <f t="shared" si="6"/>
        <v>6.5003561612059224E-2</v>
      </c>
      <c r="Q16" s="14" t="e" vm="1">
        <v>#VALUE!</v>
      </c>
      <c r="R16" s="10"/>
      <c r="S16" s="10"/>
    </row>
    <row r="17" spans="2:23" x14ac:dyDescent="0.2">
      <c r="E17" s="122"/>
      <c r="F17" s="122"/>
      <c r="Q17" s="14" t="e" vm="2">
        <v>#VALUE!</v>
      </c>
      <c r="S17" s="10"/>
      <c r="U17" s="21"/>
    </row>
    <row r="18" spans="2:23" x14ac:dyDescent="0.2">
      <c r="B18" s="14" t="s">
        <v>191</v>
      </c>
      <c r="E18" s="168">
        <f>'Financial Statements'!C15</f>
        <v>26.698</v>
      </c>
      <c r="F18" s="168">
        <f>'Financial Statements'!D15</f>
        <v>31.545999999999999</v>
      </c>
      <c r="G18" s="168">
        <f>'Financial Statements'!E15</f>
        <v>-57.837000000000003</v>
      </c>
      <c r="H18" s="168">
        <f>'Financial Statements'!F15</f>
        <v>-110</v>
      </c>
      <c r="I18" s="168">
        <f>'Financial Statements'!G15</f>
        <v>-292</v>
      </c>
      <c r="J18" s="168">
        <f>'Financial Statements'!H15</f>
        <v>-699</v>
      </c>
      <c r="K18" s="168">
        <f>'Financial Statements'!I15</f>
        <v>-847.33864280129933</v>
      </c>
      <c r="L18" s="168">
        <f>'Financial Statements'!J15</f>
        <v>-1163.5788502857813</v>
      </c>
      <c r="M18" s="168">
        <f>'Financial Statements'!K15</f>
        <v>-1445.7423078965446</v>
      </c>
      <c r="N18" s="168">
        <f>'Financial Statements'!L15</f>
        <v>-1667.1067504414787</v>
      </c>
      <c r="O18" s="168">
        <f>'Financial Statements'!M15</f>
        <v>-1767.9483404210896</v>
      </c>
      <c r="Q18" s="14" t="s">
        <v>210</v>
      </c>
      <c r="R18" s="10"/>
      <c r="S18" s="95">
        <f>'Financial Statements'!V28</f>
        <v>1129</v>
      </c>
    </row>
    <row r="19" spans="2:23" x14ac:dyDescent="0.2">
      <c r="B19" s="19" t="s">
        <v>192</v>
      </c>
      <c r="C19" s="19"/>
      <c r="D19" s="19"/>
      <c r="E19" s="181">
        <f>[1]income!B30</f>
        <v>3.5771516772336767E-2</v>
      </c>
      <c r="F19" s="181">
        <f>[1]income!C30</f>
        <v>1.4280463116876531E-2</v>
      </c>
      <c r="G19" s="26">
        <f>[1]income!D30</f>
        <v>5.7563859486735439E-2</v>
      </c>
      <c r="H19" s="26">
        <f>[1]income!E30</f>
        <v>0.16541353383458646</v>
      </c>
      <c r="I19" s="26">
        <f>[1]income!F30</f>
        <v>0.2530329289428076</v>
      </c>
      <c r="J19" s="26">
        <f>[1]income!G30</f>
        <v>0.11020022071574964</v>
      </c>
      <c r="K19" s="26">
        <f>[1]income!H30</f>
        <v>0.14655263574496979</v>
      </c>
      <c r="L19" s="26">
        <f>[1]income!I30</f>
        <v>0.14655263574496979</v>
      </c>
      <c r="M19" s="26">
        <f>[1]income!J30</f>
        <v>0.14655263574496979</v>
      </c>
      <c r="N19" s="26">
        <f>[1]income!K30</f>
        <v>0.14655263574496979</v>
      </c>
      <c r="O19" s="26">
        <f>[1]income!L30</f>
        <v>0.14655263574496979</v>
      </c>
    </row>
    <row r="20" spans="2:23" x14ac:dyDescent="0.2">
      <c r="E20" s="122"/>
      <c r="F20" s="122"/>
      <c r="Q20" s="158" t="s">
        <v>228</v>
      </c>
      <c r="R20" s="10"/>
      <c r="S20" s="10"/>
    </row>
    <row r="21" spans="2:23" x14ac:dyDescent="0.2">
      <c r="B21" s="14" t="s">
        <v>193</v>
      </c>
      <c r="E21" s="168"/>
      <c r="F21" s="168">
        <f>'Financial Statements'!D156</f>
        <v>-3414.8139999999999</v>
      </c>
      <c r="G21" s="168">
        <f>'Financial Statements'!E156</f>
        <v>-2100.7240000000002</v>
      </c>
      <c r="H21" s="168">
        <f>'Financial Statements'!F156</f>
        <v>-1327</v>
      </c>
      <c r="I21" s="168">
        <f>'Financial Statements'!G156</f>
        <v>-3157</v>
      </c>
      <c r="J21" s="168">
        <f>'Financial Statements'!H156</f>
        <v>-6482</v>
      </c>
      <c r="K21" s="168">
        <f>'Financial Statements'!I156</f>
        <v>-8693.898543682446</v>
      </c>
      <c r="L21" s="168">
        <f>'Financial Statements'!J156</f>
        <v>-11921.600962301323</v>
      </c>
      <c r="M21" s="168">
        <f>'Financial Statements'!K156</f>
        <v>-14815.522587437923</v>
      </c>
      <c r="N21" s="168">
        <f>'Financial Statements'!L156</f>
        <v>-16993.226507594878</v>
      </c>
      <c r="O21" s="168">
        <f>'Financial Statements'!M156</f>
        <v>-18097.846753868991</v>
      </c>
      <c r="Q21" s="158" t="s">
        <v>227</v>
      </c>
      <c r="R21" s="10"/>
      <c r="S21" s="10"/>
    </row>
    <row r="22" spans="2:23" x14ac:dyDescent="0.2">
      <c r="E22" s="122"/>
      <c r="F22" s="122"/>
      <c r="G22" s="169"/>
      <c r="H22" s="169"/>
      <c r="I22" s="169"/>
      <c r="J22" s="169"/>
      <c r="K22" s="169"/>
      <c r="L22" s="169"/>
      <c r="M22" s="169"/>
      <c r="N22" s="169"/>
      <c r="O22" s="169"/>
      <c r="R22" s="10"/>
      <c r="S22" s="10"/>
    </row>
    <row r="23" spans="2:23" x14ac:dyDescent="0.2">
      <c r="B23" s="14" t="s">
        <v>231</v>
      </c>
      <c r="E23" s="168"/>
      <c r="F23" s="168">
        <f>'Financial Statements'!D146</f>
        <v>1815.0410000000002</v>
      </c>
      <c r="G23" s="168">
        <f>'Financial Statements'!E146</f>
        <v>-734.5400000000003</v>
      </c>
      <c r="H23" s="168">
        <f>'Financial Statements'!F146</f>
        <v>296.70200000000017</v>
      </c>
      <c r="I23" s="168">
        <f>'Financial Statements'!G146</f>
        <v>1490</v>
      </c>
      <c r="J23" s="168">
        <f>'Financial Statements'!H146</f>
        <v>3940</v>
      </c>
      <c r="K23" s="168">
        <f>'Financial Statements'!I146</f>
        <v>4139.9869947972038</v>
      </c>
      <c r="L23" s="168">
        <f>'Financial Statements'!J146</f>
        <v>4775.5209041333646</v>
      </c>
      <c r="M23" s="168">
        <f>'Financial Statements'!K146</f>
        <v>4281.6782414770842</v>
      </c>
      <c r="N23" s="168">
        <f>'Financial Statements'!L146</f>
        <v>3222.0041518488824</v>
      </c>
      <c r="O23" s="168">
        <f>'Financial Statements'!M146</f>
        <v>1634.331915724807</v>
      </c>
      <c r="Q23" s="10"/>
      <c r="R23" s="10"/>
      <c r="S23" s="10"/>
    </row>
    <row r="24" spans="2:23" x14ac:dyDescent="0.2">
      <c r="E24" s="122"/>
      <c r="F24" s="122"/>
      <c r="Q24" s="10"/>
      <c r="R24" s="10"/>
      <c r="S24" s="10"/>
    </row>
    <row r="25" spans="2:23" x14ac:dyDescent="0.2">
      <c r="B25" s="14" t="s">
        <v>194</v>
      </c>
      <c r="E25" s="49">
        <f>E8+E18+E21+E23</f>
        <v>306.45699999999988</v>
      </c>
      <c r="F25" s="49">
        <f t="shared" ref="F25:J25" si="7">F8+F18+F21+F23</f>
        <v>-1564.3099999999995</v>
      </c>
      <c r="G25" s="24">
        <f>G8+G18+G21-G23</f>
        <v>88.956000000000017</v>
      </c>
      <c r="H25" s="24">
        <f>H8+H18+H21+H23</f>
        <v>944.70200000000023</v>
      </c>
      <c r="I25" s="24">
        <f t="shared" si="7"/>
        <v>2357</v>
      </c>
      <c r="J25" s="24">
        <f t="shared" si="7"/>
        <v>6193</v>
      </c>
      <c r="K25" s="24">
        <f>K8+K18+K21+K23</f>
        <v>8256.1332714740038</v>
      </c>
      <c r="L25" s="24">
        <f t="shared" ref="L25:M25" si="8">L8+L18+L21+L23</f>
        <v>10418.173607517718</v>
      </c>
      <c r="M25" s="24">
        <f t="shared" si="8"/>
        <v>11294.353359025634</v>
      </c>
      <c r="N25" s="24">
        <f>N8+N18+N21+N23</f>
        <v>11256.600622342008</v>
      </c>
      <c r="O25" s="24">
        <f>O8+O18+O21+O23</f>
        <v>10198.73205930226</v>
      </c>
      <c r="Q25" s="10"/>
      <c r="R25" s="10"/>
      <c r="S25" s="10"/>
    </row>
    <row r="26" spans="2:23" x14ac:dyDescent="0.2">
      <c r="B26" s="19" t="s">
        <v>183</v>
      </c>
      <c r="C26" s="19"/>
      <c r="D26" s="19"/>
      <c r="E26" s="181">
        <f>E25/E5</f>
        <v>4.3778745886506119E-2</v>
      </c>
      <c r="F26" s="181">
        <f t="shared" ref="F26:O26" si="9">F25/F5</f>
        <v>-0.13303368699617837</v>
      </c>
      <c r="G26" s="26">
        <f t="shared" si="9"/>
        <v>4.1449554611591461E-3</v>
      </c>
      <c r="H26" s="26">
        <f t="shared" si="9"/>
        <v>3.8436894783953138E-2</v>
      </c>
      <c r="I26" s="26">
        <f t="shared" si="9"/>
        <v>7.4739979705733137E-2</v>
      </c>
      <c r="J26" s="26">
        <f t="shared" si="9"/>
        <v>0.11506233394645411</v>
      </c>
      <c r="K26" s="26">
        <f t="shared" si="9"/>
        <v>8.8415777821546235E-2</v>
      </c>
      <c r="L26" s="26">
        <f t="shared" si="9"/>
        <v>8.1362569208378657E-2</v>
      </c>
      <c r="M26" s="26">
        <f t="shared" si="9"/>
        <v>7.0976085130167108E-2</v>
      </c>
      <c r="N26" s="26">
        <f t="shared" si="9"/>
        <v>6.1673565451153295E-2</v>
      </c>
      <c r="O26" s="26">
        <f t="shared" si="9"/>
        <v>5.2467083132752175E-2</v>
      </c>
      <c r="Q26" s="10"/>
      <c r="R26" s="10"/>
      <c r="S26" s="224"/>
      <c r="T26" s="224"/>
      <c r="U26" s="224"/>
      <c r="V26" s="224"/>
      <c r="W26" s="224"/>
    </row>
    <row r="27" spans="2:23" x14ac:dyDescent="0.2">
      <c r="B27" s="19" t="s">
        <v>179</v>
      </c>
      <c r="C27" s="19"/>
      <c r="D27" s="19"/>
      <c r="E27" s="181"/>
      <c r="F27" s="181">
        <f>F25/E25-1</f>
        <v>-6.1045007945649798</v>
      </c>
      <c r="G27" s="26"/>
      <c r="H27" s="26">
        <f>H25/G25-1</f>
        <v>9.6198794909843066</v>
      </c>
      <c r="I27" s="26">
        <f>I25/H25-1</f>
        <v>1.494966666737235</v>
      </c>
      <c r="J27" s="26">
        <f>J25/I25-1</f>
        <v>1.6274925753075946</v>
      </c>
      <c r="K27" s="26">
        <f>K25/J25-1</f>
        <v>0.33313955618827773</v>
      </c>
      <c r="L27" s="26">
        <f>L25/K25-1</f>
        <v>0.26187081348527164</v>
      </c>
      <c r="M27" s="26">
        <f>(M25-L25)/-L25</f>
        <v>-8.4101089549483782E-2</v>
      </c>
      <c r="N27" s="26">
        <f>(N25-M25)/M25</f>
        <v>-3.3426204656025241E-3</v>
      </c>
      <c r="O27" s="26">
        <f>(O25-N25)/N25</f>
        <v>-9.3977622421825974E-2</v>
      </c>
      <c r="Q27" s="10"/>
      <c r="R27" s="10"/>
      <c r="S27" s="10"/>
      <c r="W27" s="166"/>
    </row>
    <row r="29" spans="2:23" x14ac:dyDescent="0.2">
      <c r="G29" s="129" t="s">
        <v>176</v>
      </c>
      <c r="H29" s="130" t="s">
        <v>195</v>
      </c>
      <c r="J29" s="131" t="s">
        <v>196</v>
      </c>
      <c r="K29" s="132">
        <v>0</v>
      </c>
      <c r="L29" s="14">
        <f>K29+1</f>
        <v>1</v>
      </c>
      <c r="M29" s="14">
        <f t="shared" ref="M29:O29" si="10">L29+1</f>
        <v>2</v>
      </c>
      <c r="N29" s="14">
        <f t="shared" si="10"/>
        <v>3</v>
      </c>
      <c r="O29" s="14">
        <f t="shared" si="10"/>
        <v>4</v>
      </c>
    </row>
    <row r="30" spans="2:23" x14ac:dyDescent="0.2">
      <c r="G30" s="133">
        <v>9.8210994362489076E-2</v>
      </c>
      <c r="H30" s="24">
        <f>SUM(K30:O30)</f>
        <v>42617.262356858977</v>
      </c>
      <c r="K30" s="49">
        <f>K$25/(1+G30)^K$29</f>
        <v>8256.1332714740038</v>
      </c>
      <c r="L30" s="49">
        <f t="shared" ref="L30:O34" si="11">L$25/(1+$G30)^L$29</f>
        <v>9486.4954557894052</v>
      </c>
      <c r="M30" s="49">
        <f t="shared" si="11"/>
        <v>9364.6121851088938</v>
      </c>
      <c r="N30" s="49">
        <f t="shared" si="11"/>
        <v>8498.6490653232813</v>
      </c>
      <c r="O30" s="49">
        <f t="shared" si="11"/>
        <v>7011.3723791633956</v>
      </c>
    </row>
    <row r="31" spans="2:23" x14ac:dyDescent="0.2">
      <c r="G31" s="133">
        <v>0.10821099436248907</v>
      </c>
      <c r="H31" s="24">
        <f>SUM(K31:O31)</f>
        <v>41885.759453662002</v>
      </c>
      <c r="K31" s="49">
        <f>K$25/(1+G31)^K$29</f>
        <v>8256.1332714740038</v>
      </c>
      <c r="L31" s="49">
        <f t="shared" si="11"/>
        <v>9400.8935667624282</v>
      </c>
      <c r="M31" s="49">
        <f t="shared" si="11"/>
        <v>9196.3705560678591</v>
      </c>
      <c r="N31" s="49">
        <f t="shared" si="11"/>
        <v>8270.6547997301859</v>
      </c>
      <c r="O31" s="49">
        <f t="shared" si="11"/>
        <v>6761.7072596275239</v>
      </c>
    </row>
    <row r="32" spans="2:23" x14ac:dyDescent="0.2">
      <c r="G32" s="133">
        <v>0.11821099436248907</v>
      </c>
      <c r="H32" s="24">
        <f>SUM(K32:O32)</f>
        <v>41179.378433549107</v>
      </c>
      <c r="K32" s="49">
        <f>K$25/(1+G32)^K$29</f>
        <v>8256.1332714740038</v>
      </c>
      <c r="L32" s="49">
        <f t="shared" si="11"/>
        <v>9316.8227284845234</v>
      </c>
      <c r="M32" s="49">
        <f t="shared" si="11"/>
        <v>9032.6223959619165</v>
      </c>
      <c r="N32" s="49">
        <f t="shared" si="11"/>
        <v>8050.7433864174727</v>
      </c>
      <c r="O32" s="49">
        <f t="shared" si="11"/>
        <v>6523.0566512111945</v>
      </c>
    </row>
    <row r="33" spans="2:22" x14ac:dyDescent="0.2">
      <c r="G33" s="133">
        <v>0.12821099436248906</v>
      </c>
      <c r="H33" s="24">
        <f>SUM(K33:O33)</f>
        <v>40496.986936183457</v>
      </c>
      <c r="K33" s="49">
        <f>K$25/(1+G33)^K$29</f>
        <v>8256.1332714740038</v>
      </c>
      <c r="L33" s="49">
        <f t="shared" si="11"/>
        <v>9234.2422291360926</v>
      </c>
      <c r="M33" s="49">
        <f t="shared" si="11"/>
        <v>8873.2090998874392</v>
      </c>
      <c r="N33" s="49">
        <f t="shared" si="11"/>
        <v>7838.5597851328794</v>
      </c>
      <c r="O33" s="49">
        <f t="shared" si="11"/>
        <v>6294.8425505530422</v>
      </c>
    </row>
    <row r="34" spans="2:22" x14ac:dyDescent="0.2">
      <c r="G34" s="133">
        <v>0.13821099436248907</v>
      </c>
      <c r="H34" s="24">
        <f>SUM(K34:O34)</f>
        <v>39837.51459892789</v>
      </c>
      <c r="K34" s="49">
        <f>K$25/(1+G34)^K$29</f>
        <v>8256.1332714740038</v>
      </c>
      <c r="L34" s="49">
        <f t="shared" si="11"/>
        <v>9153.1127876276805</v>
      </c>
      <c r="M34" s="49">
        <f t="shared" si="11"/>
        <v>8717.9789994861949</v>
      </c>
      <c r="N34" s="49">
        <f t="shared" si="11"/>
        <v>7633.7675066391621</v>
      </c>
      <c r="O34" s="49">
        <f t="shared" si="11"/>
        <v>6076.5220337008532</v>
      </c>
    </row>
    <row r="36" spans="2:22" x14ac:dyDescent="0.2">
      <c r="K36" s="49"/>
      <c r="L36" s="49"/>
      <c r="M36" s="49"/>
      <c r="N36" s="49"/>
      <c r="O36" s="49"/>
    </row>
    <row r="38" spans="2:22" x14ac:dyDescent="0.2">
      <c r="B38" s="226" t="s">
        <v>205</v>
      </c>
      <c r="C38" s="226"/>
      <c r="D38" s="226"/>
      <c r="E38" s="226"/>
      <c r="F38" s="226"/>
      <c r="G38" s="226"/>
      <c r="H38" s="226"/>
      <c r="I38" s="226"/>
      <c r="J38" s="226"/>
      <c r="K38" s="226"/>
      <c r="L38" s="226"/>
      <c r="M38" s="226"/>
      <c r="N38" s="226"/>
      <c r="O38" s="226"/>
      <c r="Q38" s="162" t="s">
        <v>209</v>
      </c>
      <c r="R38" s="162" t="s">
        <v>202</v>
      </c>
      <c r="S38" s="162" t="s">
        <v>206</v>
      </c>
    </row>
    <row r="39" spans="2:22" x14ac:dyDescent="0.2">
      <c r="B39" s="151"/>
      <c r="Q39" s="182">
        <v>125</v>
      </c>
      <c r="R39" s="182">
        <f>'Financial Statements'!H74+'Financial Statements'!H80+'Financial Statements'!H77</f>
        <v>10380</v>
      </c>
      <c r="S39" s="182">
        <f>'Financial Statements'!H47+'Financial Statements'!H49</f>
        <v>17707</v>
      </c>
    </row>
    <row r="40" spans="2:22" x14ac:dyDescent="0.2">
      <c r="C40" s="225" t="s">
        <v>229</v>
      </c>
      <c r="D40" s="225"/>
      <c r="E40" s="225"/>
      <c r="F40" s="225"/>
      <c r="G40" s="225"/>
      <c r="K40" s="225" t="s">
        <v>198</v>
      </c>
      <c r="L40" s="225"/>
      <c r="M40" s="225"/>
      <c r="N40" s="225"/>
      <c r="O40" s="225"/>
      <c r="Q40" s="182">
        <v>125</v>
      </c>
      <c r="R40" s="182">
        <f t="shared" ref="R40:S43" si="12">R39</f>
        <v>10380</v>
      </c>
      <c r="S40" s="182">
        <f t="shared" si="12"/>
        <v>17707</v>
      </c>
    </row>
    <row r="41" spans="2:22" x14ac:dyDescent="0.2">
      <c r="C41" s="224" t="s">
        <v>199</v>
      </c>
      <c r="D41" s="224"/>
      <c r="E41" s="224"/>
      <c r="F41" s="224"/>
      <c r="G41" s="224"/>
      <c r="K41" s="224" t="s">
        <v>199</v>
      </c>
      <c r="L41" s="224"/>
      <c r="M41" s="224"/>
      <c r="N41" s="224"/>
      <c r="O41" s="224"/>
      <c r="Q41" s="182">
        <v>125</v>
      </c>
      <c r="R41" s="182">
        <f t="shared" si="12"/>
        <v>10380</v>
      </c>
      <c r="S41" s="182">
        <f t="shared" si="12"/>
        <v>17707</v>
      </c>
    </row>
    <row r="42" spans="2:22" x14ac:dyDescent="0.2">
      <c r="B42" s="134" t="s">
        <v>176</v>
      </c>
      <c r="C42" s="135">
        <f>D42-0.5%</f>
        <v>2.5000000000000001E-2</v>
      </c>
      <c r="D42" s="135">
        <f>E42-0.5%</f>
        <v>3.0000000000000002E-2</v>
      </c>
      <c r="E42" s="136">
        <v>3.5000000000000003E-2</v>
      </c>
      <c r="F42" s="135">
        <f>E42+0.5%</f>
        <v>0.04</v>
      </c>
      <c r="G42" s="135">
        <f>F42+0.5%</f>
        <v>4.4999999999999998E-2</v>
      </c>
      <c r="I42" s="137"/>
      <c r="J42" s="138" t="s">
        <v>176</v>
      </c>
      <c r="K42" s="135">
        <f>L42-0.5%</f>
        <v>2.5000000000000001E-2</v>
      </c>
      <c r="L42" s="135">
        <f>M42-0.5%</f>
        <v>3.0000000000000002E-2</v>
      </c>
      <c r="M42" s="136">
        <v>3.5000000000000003E-2</v>
      </c>
      <c r="N42" s="135">
        <f>M42+0.5%</f>
        <v>0.04</v>
      </c>
      <c r="O42" s="135">
        <f>N42+0.5%</f>
        <v>4.4999999999999998E-2</v>
      </c>
      <c r="Q42" s="182">
        <v>125</v>
      </c>
      <c r="R42" s="182">
        <f t="shared" si="12"/>
        <v>10380</v>
      </c>
      <c r="S42" s="182">
        <f t="shared" si="12"/>
        <v>17707</v>
      </c>
    </row>
    <row r="43" spans="2:22" x14ac:dyDescent="0.2">
      <c r="B43" s="133">
        <f>B44-1%</f>
        <v>9.8210994362489076E-2</v>
      </c>
      <c r="C43" s="139">
        <f>$O$25*(1+C$42)/($B43-C$42)/(1+$B43)^$O$29</f>
        <v>98163.626258909135</v>
      </c>
      <c r="D43" s="139">
        <f t="shared" ref="C43:G47" si="13">$O$25*(1+D$42)/($B43-D$42)/(1+$B43)^$O$29</f>
        <v>105873.16044918557</v>
      </c>
      <c r="E43" s="139">
        <f t="shared" si="13"/>
        <v>114802.34547204744</v>
      </c>
      <c r="F43" s="139">
        <f t="shared" si="13"/>
        <v>125265.46495534106</v>
      </c>
      <c r="G43" s="139">
        <f t="shared" si="13"/>
        <v>137694.92985439886</v>
      </c>
      <c r="I43" s="137"/>
      <c r="J43" s="140">
        <f>B43</f>
        <v>9.8210994362489076E-2</v>
      </c>
      <c r="K43" s="139">
        <f t="shared" ref="K43:O47" si="14">C43+$H30</f>
        <v>140780.88861576811</v>
      </c>
      <c r="L43" s="139">
        <f t="shared" si="14"/>
        <v>148490.42280604455</v>
      </c>
      <c r="M43" s="139">
        <f t="shared" si="14"/>
        <v>157419.60782890642</v>
      </c>
      <c r="N43" s="139">
        <f t="shared" si="14"/>
        <v>167882.72731220003</v>
      </c>
      <c r="O43" s="139">
        <f t="shared" si="14"/>
        <v>180312.19221125782</v>
      </c>
      <c r="Q43" s="182">
        <v>125</v>
      </c>
      <c r="R43" s="182">
        <f t="shared" si="12"/>
        <v>10380</v>
      </c>
      <c r="S43" s="182">
        <f t="shared" si="12"/>
        <v>17707</v>
      </c>
      <c r="V43" s="167"/>
    </row>
    <row r="44" spans="2:22" x14ac:dyDescent="0.2">
      <c r="B44" s="133">
        <f>B45-1%</f>
        <v>0.10821099436248907</v>
      </c>
      <c r="C44" s="139">
        <f t="shared" si="13"/>
        <v>83291.276522018627</v>
      </c>
      <c r="D44" s="139">
        <f t="shared" si="13"/>
        <v>89048.330534416978</v>
      </c>
      <c r="E44" s="139">
        <f t="shared" si="13"/>
        <v>95591.749226400658</v>
      </c>
      <c r="F44" s="139">
        <f t="shared" si="13"/>
        <v>103094.45882934958</v>
      </c>
      <c r="G44" s="139">
        <f t="shared" si="13"/>
        <v>111784.09954746554</v>
      </c>
      <c r="I44" s="137"/>
      <c r="J44" s="140">
        <f>B44</f>
        <v>0.10821099436248907</v>
      </c>
      <c r="K44" s="139">
        <f t="shared" si="14"/>
        <v>125177.03597568063</v>
      </c>
      <c r="L44" s="139">
        <f t="shared" si="14"/>
        <v>130934.08998807898</v>
      </c>
      <c r="M44" s="139">
        <f t="shared" si="14"/>
        <v>137477.50868006266</v>
      </c>
      <c r="N44" s="139">
        <f t="shared" si="14"/>
        <v>144980.21828301158</v>
      </c>
      <c r="O44" s="139">
        <f t="shared" si="14"/>
        <v>153669.85900112754</v>
      </c>
    </row>
    <row r="45" spans="2:22" x14ac:dyDescent="0.2">
      <c r="B45" s="133">
        <f>S14</f>
        <v>0.11821099436248907</v>
      </c>
      <c r="C45" s="139">
        <f t="shared" si="13"/>
        <v>71731.163402138074</v>
      </c>
      <c r="D45" s="139">
        <f t="shared" si="13"/>
        <v>76166.790764628517</v>
      </c>
      <c r="E45" s="139">
        <f t="shared" si="13"/>
        <v>81135.475975600813</v>
      </c>
      <c r="F45" s="139">
        <f t="shared" si="13"/>
        <v>86739.453609521166</v>
      </c>
      <c r="G45" s="139">
        <f t="shared" si="13"/>
        <v>93108.886989906779</v>
      </c>
      <c r="I45" s="137"/>
      <c r="J45" s="140">
        <f>B45</f>
        <v>0.11821099436248907</v>
      </c>
      <c r="K45" s="139">
        <f t="shared" si="14"/>
        <v>112910.54183568718</v>
      </c>
      <c r="L45" s="139">
        <f t="shared" si="14"/>
        <v>117346.16919817762</v>
      </c>
      <c r="M45" s="139">
        <f t="shared" si="14"/>
        <v>122314.85440914992</v>
      </c>
      <c r="N45" s="139">
        <f t="shared" si="14"/>
        <v>127918.83204307027</v>
      </c>
      <c r="O45" s="139">
        <f t="shared" si="14"/>
        <v>134288.26542345589</v>
      </c>
      <c r="V45" s="77"/>
    </row>
    <row r="46" spans="2:22" x14ac:dyDescent="0.2">
      <c r="B46" s="133">
        <f>B45+1%</f>
        <v>0.12821099436248906</v>
      </c>
      <c r="C46" s="139">
        <f t="shared" si="13"/>
        <v>62514.789767996415</v>
      </c>
      <c r="D46" s="139">
        <f t="shared" si="13"/>
        <v>66017.942992602766</v>
      </c>
      <c r="E46" s="139">
        <f t="shared" si="13"/>
        <v>69896.926691775516</v>
      </c>
      <c r="F46" s="139">
        <f t="shared" si="13"/>
        <v>74215.649646491947</v>
      </c>
      <c r="G46" s="139">
        <f t="shared" si="13"/>
        <v>79053.381295648767</v>
      </c>
      <c r="I46" s="137"/>
      <c r="J46" s="140">
        <f>B46</f>
        <v>0.12821099436248906</v>
      </c>
      <c r="K46" s="139">
        <f t="shared" si="14"/>
        <v>103011.77670417988</v>
      </c>
      <c r="L46" s="139">
        <f t="shared" si="14"/>
        <v>106514.92992878622</v>
      </c>
      <c r="M46" s="139">
        <f t="shared" si="14"/>
        <v>110393.91362795897</v>
      </c>
      <c r="N46" s="139">
        <f t="shared" si="14"/>
        <v>114712.6365826754</v>
      </c>
      <c r="O46" s="139">
        <f t="shared" si="14"/>
        <v>119550.36823183222</v>
      </c>
    </row>
    <row r="47" spans="2:22" x14ac:dyDescent="0.2">
      <c r="B47" s="133">
        <f>B46+1%</f>
        <v>0.13821099436248907</v>
      </c>
      <c r="C47" s="139">
        <f t="shared" si="13"/>
        <v>55016.167993371855</v>
      </c>
      <c r="D47" s="139">
        <f t="shared" si="13"/>
        <v>57839.018406446456</v>
      </c>
      <c r="E47" s="139">
        <f t="shared" si="13"/>
        <v>60935.371698793795</v>
      </c>
      <c r="F47" s="139">
        <f t="shared" si="13"/>
        <v>64347.000619134378</v>
      </c>
      <c r="G47" s="139">
        <f t="shared" si="13"/>
        <v>68124.640968027365</v>
      </c>
      <c r="I47" s="137"/>
      <c r="J47" s="140">
        <f>B47</f>
        <v>0.13821099436248907</v>
      </c>
      <c r="K47" s="139">
        <f t="shared" si="14"/>
        <v>94853.682592299738</v>
      </c>
      <c r="L47" s="139">
        <f t="shared" si="14"/>
        <v>97676.533005374338</v>
      </c>
      <c r="M47" s="139">
        <f t="shared" si="14"/>
        <v>100772.88629772168</v>
      </c>
      <c r="N47" s="139">
        <f t="shared" si="14"/>
        <v>104184.51521806227</v>
      </c>
      <c r="O47" s="139">
        <f t="shared" si="14"/>
        <v>107962.15556695525</v>
      </c>
    </row>
    <row r="48" spans="2:22" x14ac:dyDescent="0.2">
      <c r="C48" s="137"/>
      <c r="D48" s="137"/>
      <c r="E48" s="137"/>
      <c r="F48" s="137"/>
      <c r="G48" s="137"/>
      <c r="I48" s="137"/>
      <c r="J48" s="137"/>
      <c r="K48" s="137"/>
      <c r="L48" s="137"/>
      <c r="M48" s="137"/>
      <c r="N48" s="137"/>
      <c r="O48" s="137"/>
    </row>
    <row r="49" spans="2:15" x14ac:dyDescent="0.2">
      <c r="C49" s="225" t="s">
        <v>200</v>
      </c>
      <c r="D49" s="225"/>
      <c r="E49" s="225"/>
      <c r="F49" s="225"/>
      <c r="G49" s="225"/>
      <c r="I49" s="137"/>
      <c r="J49" s="137"/>
      <c r="K49" s="225" t="s">
        <v>201</v>
      </c>
      <c r="L49" s="225"/>
      <c r="M49" s="225"/>
      <c r="N49" s="225"/>
      <c r="O49" s="225"/>
    </row>
    <row r="50" spans="2:15" x14ac:dyDescent="0.2">
      <c r="C50" s="224" t="s">
        <v>199</v>
      </c>
      <c r="D50" s="224"/>
      <c r="E50" s="224"/>
      <c r="F50" s="224"/>
      <c r="G50" s="224"/>
      <c r="I50" s="137"/>
      <c r="J50" s="137"/>
      <c r="K50" s="224" t="s">
        <v>199</v>
      </c>
      <c r="L50" s="224"/>
      <c r="M50" s="224"/>
      <c r="N50" s="224"/>
      <c r="O50" s="224"/>
    </row>
    <row r="51" spans="2:15" x14ac:dyDescent="0.2">
      <c r="B51" s="134" t="s">
        <v>176</v>
      </c>
      <c r="C51" s="135">
        <f>D51-0.5%</f>
        <v>2.5000000000000001E-2</v>
      </c>
      <c r="D51" s="135">
        <f>E51-0.5%</f>
        <v>3.0000000000000002E-2</v>
      </c>
      <c r="E51" s="136">
        <v>3.5000000000000003E-2</v>
      </c>
      <c r="F51" s="135">
        <f>E51+0.5%</f>
        <v>0.04</v>
      </c>
      <c r="G51" s="135">
        <f>F51+0.5%</f>
        <v>4.4999999999999998E-2</v>
      </c>
      <c r="I51" s="137"/>
      <c r="J51" s="138" t="s">
        <v>176</v>
      </c>
      <c r="K51" s="135">
        <f>L51-0.5%</f>
        <v>2.5000000000000001E-2</v>
      </c>
      <c r="L51" s="135">
        <f>M51-0.5%</f>
        <v>3.0000000000000002E-2</v>
      </c>
      <c r="M51" s="136">
        <v>3.5000000000000003E-2</v>
      </c>
      <c r="N51" s="135">
        <f>M51+0.5%</f>
        <v>0.04</v>
      </c>
      <c r="O51" s="135">
        <f>N51+0.5%</f>
        <v>4.4999999999999998E-2</v>
      </c>
    </row>
    <row r="52" spans="2:15" x14ac:dyDescent="0.2">
      <c r="B52" s="133">
        <f>B43</f>
        <v>9.8210994362489076E-2</v>
      </c>
      <c r="C52" s="139">
        <f>K43-$R39+$S39-$Q39</f>
        <v>147982.88861576811</v>
      </c>
      <c r="D52" s="139">
        <f t="shared" ref="D52:G52" si="15">L43-$R39+$S39-$Q39</f>
        <v>155692.42280604455</v>
      </c>
      <c r="E52" s="139">
        <f t="shared" si="15"/>
        <v>164621.60782890642</v>
      </c>
      <c r="F52" s="139">
        <f t="shared" si="15"/>
        <v>175084.72731220003</v>
      </c>
      <c r="G52" s="139">
        <f t="shared" si="15"/>
        <v>187514.19221125782</v>
      </c>
      <c r="I52" s="137"/>
      <c r="J52" s="140">
        <f>J43</f>
        <v>9.8210994362489076E-2</v>
      </c>
      <c r="K52" s="139">
        <f t="shared" ref="K52:O56" si="16">C52/$S$18</f>
        <v>131.07430346835085</v>
      </c>
      <c r="L52" s="139">
        <f t="shared" si="16"/>
        <v>137.90294314087205</v>
      </c>
      <c r="M52" s="139">
        <f t="shared" si="16"/>
        <v>145.81187584491269</v>
      </c>
      <c r="N52" s="139">
        <f t="shared" si="16"/>
        <v>155.07947503294955</v>
      </c>
      <c r="O52" s="139">
        <f t="shared" si="16"/>
        <v>166.08874420837716</v>
      </c>
    </row>
    <row r="53" spans="2:15" x14ac:dyDescent="0.2">
      <c r="B53" s="133">
        <f>B44</f>
        <v>0.10821099436248907</v>
      </c>
      <c r="C53" s="139">
        <f t="shared" ref="C53:C56" si="17">K44-$R40+$S40-$Q40</f>
        <v>132379.03597568063</v>
      </c>
      <c r="D53" s="139">
        <f t="shared" ref="D53:D56" si="18">L44-$R40+$S40-$Q40</f>
        <v>138136.08998807898</v>
      </c>
      <c r="E53" s="139">
        <f t="shared" ref="E53:E56" si="19">M44-$R40+$S40-$Q40</f>
        <v>144679.50868006266</v>
      </c>
      <c r="F53" s="139">
        <f t="shared" ref="F53:F56" si="20">N44-$R40+$S40-$Q40</f>
        <v>152182.21828301158</v>
      </c>
      <c r="G53" s="139">
        <f t="shared" ref="G53:G56" si="21">O44-$R40+$S40-$Q40</f>
        <v>160871.85900112754</v>
      </c>
      <c r="I53" s="137"/>
      <c r="J53" s="140">
        <f>J44</f>
        <v>0.10821099436248907</v>
      </c>
      <c r="K53" s="139">
        <f t="shared" si="16"/>
        <v>117.2533533885568</v>
      </c>
      <c r="L53" s="141">
        <f t="shared" si="16"/>
        <v>122.3526040638432</v>
      </c>
      <c r="M53" s="142">
        <f t="shared" si="16"/>
        <v>128.14836907002893</v>
      </c>
      <c r="N53" s="143">
        <f t="shared" si="16"/>
        <v>134.79381601683932</v>
      </c>
      <c r="O53" s="139">
        <f t="shared" si="16"/>
        <v>142.49057484599427</v>
      </c>
    </row>
    <row r="54" spans="2:15" x14ac:dyDescent="0.2">
      <c r="B54" s="133">
        <f>B45</f>
        <v>0.11821099436248907</v>
      </c>
      <c r="C54" s="139">
        <f t="shared" si="17"/>
        <v>120112.54183568718</v>
      </c>
      <c r="D54" s="139">
        <f t="shared" si="18"/>
        <v>124548.16919817762</v>
      </c>
      <c r="E54" s="139">
        <f t="shared" si="19"/>
        <v>129516.85440914992</v>
      </c>
      <c r="F54" s="139">
        <f t="shared" si="20"/>
        <v>135120.83204307029</v>
      </c>
      <c r="G54" s="139">
        <f t="shared" si="21"/>
        <v>141490.26542345589</v>
      </c>
      <c r="I54" s="137"/>
      <c r="J54" s="140">
        <f>J45</f>
        <v>0.11821099436248907</v>
      </c>
      <c r="K54" s="139">
        <f t="shared" si="16"/>
        <v>106.38843386686199</v>
      </c>
      <c r="L54" s="144">
        <f t="shared" si="16"/>
        <v>110.31724463966131</v>
      </c>
      <c r="M54" s="139">
        <f t="shared" si="16"/>
        <v>114.71820585398576</v>
      </c>
      <c r="N54" s="145">
        <f t="shared" si="16"/>
        <v>119.68187072016855</v>
      </c>
      <c r="O54" s="139">
        <f t="shared" si="16"/>
        <v>125.323530047348</v>
      </c>
    </row>
    <row r="55" spans="2:15" x14ac:dyDescent="0.2">
      <c r="B55" s="133">
        <f>B46</f>
        <v>0.12821099436248906</v>
      </c>
      <c r="C55" s="139">
        <f t="shared" si="17"/>
        <v>110213.77670417988</v>
      </c>
      <c r="D55" s="139">
        <f t="shared" si="18"/>
        <v>113716.92992878622</v>
      </c>
      <c r="E55" s="139">
        <f t="shared" si="19"/>
        <v>117595.91362795897</v>
      </c>
      <c r="F55" s="139">
        <f t="shared" si="20"/>
        <v>121914.6365826754</v>
      </c>
      <c r="G55" s="139">
        <f t="shared" si="21"/>
        <v>126752.36823183222</v>
      </c>
      <c r="I55" s="137"/>
      <c r="J55" s="140">
        <f>J46</f>
        <v>0.12821099436248906</v>
      </c>
      <c r="K55" s="139">
        <f t="shared" si="16"/>
        <v>97.620705672435676</v>
      </c>
      <c r="L55" s="146">
        <f t="shared" si="16"/>
        <v>100.72358718227301</v>
      </c>
      <c r="M55" s="147">
        <f t="shared" si="16"/>
        <v>104.15935662352433</v>
      </c>
      <c r="N55" s="148">
        <f t="shared" si="16"/>
        <v>107.98462053381347</v>
      </c>
      <c r="O55" s="139">
        <f t="shared" si="16"/>
        <v>112.26959099365122</v>
      </c>
    </row>
    <row r="56" spans="2:15" x14ac:dyDescent="0.2">
      <c r="B56" s="133">
        <f>B47</f>
        <v>0.13821099436248907</v>
      </c>
      <c r="C56" s="139">
        <f t="shared" si="17"/>
        <v>102055.68259229974</v>
      </c>
      <c r="D56" s="139">
        <f t="shared" si="18"/>
        <v>104878.53300537434</v>
      </c>
      <c r="E56" s="139">
        <f t="shared" si="19"/>
        <v>107974.88629772168</v>
      </c>
      <c r="F56" s="139">
        <f t="shared" si="20"/>
        <v>111386.51521806227</v>
      </c>
      <c r="G56" s="139">
        <f t="shared" si="21"/>
        <v>115164.15556695525</v>
      </c>
      <c r="I56" s="137"/>
      <c r="J56" s="140">
        <f>J47</f>
        <v>0.13821099436248907</v>
      </c>
      <c r="K56" s="139">
        <f t="shared" si="16"/>
        <v>90.394758717714566</v>
      </c>
      <c r="L56" s="139">
        <f t="shared" si="16"/>
        <v>92.89506909244848</v>
      </c>
      <c r="M56" s="139">
        <f t="shared" si="16"/>
        <v>95.637631796033375</v>
      </c>
      <c r="N56" s="139">
        <f t="shared" si="16"/>
        <v>98.659446605901039</v>
      </c>
      <c r="O56" s="139">
        <f t="shared" si="16"/>
        <v>102.00545222936691</v>
      </c>
    </row>
    <row r="57" spans="2:15" ht="16" customHeight="1" x14ac:dyDescent="0.2"/>
    <row r="58" spans="2:15" ht="16" customHeight="1" x14ac:dyDescent="0.2"/>
    <row r="59" spans="2:15" ht="16" customHeight="1" x14ac:dyDescent="0.2"/>
    <row r="60" spans="2:15" x14ac:dyDescent="0.2">
      <c r="B60" s="226" t="s">
        <v>203</v>
      </c>
      <c r="C60" s="226"/>
      <c r="D60" s="226"/>
      <c r="E60" s="226"/>
      <c r="F60" s="226"/>
      <c r="G60" s="226"/>
      <c r="H60" s="226"/>
      <c r="I60" s="226"/>
      <c r="J60" s="226"/>
      <c r="K60" s="226"/>
      <c r="L60" s="226"/>
      <c r="M60" s="226"/>
      <c r="N60" s="226"/>
      <c r="O60" s="226"/>
    </row>
    <row r="62" spans="2:15" x14ac:dyDescent="0.2">
      <c r="C62" s="225" t="s">
        <v>197</v>
      </c>
      <c r="D62" s="225"/>
      <c r="E62" s="225"/>
      <c r="F62" s="225"/>
      <c r="G62" s="225"/>
      <c r="K62" s="225" t="s">
        <v>198</v>
      </c>
      <c r="L62" s="225"/>
      <c r="M62" s="225"/>
      <c r="N62" s="225"/>
      <c r="O62" s="225"/>
    </row>
    <row r="63" spans="2:15" x14ac:dyDescent="0.2">
      <c r="C63" s="224" t="s">
        <v>204</v>
      </c>
      <c r="D63" s="224"/>
      <c r="E63" s="224"/>
      <c r="F63" s="224"/>
      <c r="G63" s="224"/>
      <c r="K63" s="224" t="s">
        <v>204</v>
      </c>
      <c r="L63" s="224"/>
      <c r="M63" s="224"/>
      <c r="N63" s="224"/>
      <c r="O63" s="224"/>
    </row>
    <row r="64" spans="2:15" x14ac:dyDescent="0.2">
      <c r="B64" s="134" t="s">
        <v>176</v>
      </c>
      <c r="C64" s="149">
        <f>D64-1</f>
        <v>33</v>
      </c>
      <c r="D64" s="149">
        <f>E64-1</f>
        <v>34</v>
      </c>
      <c r="E64" s="150">
        <v>35</v>
      </c>
      <c r="F64" s="149">
        <f>E64+1</f>
        <v>36</v>
      </c>
      <c r="G64" s="149">
        <f>F64+1</f>
        <v>37</v>
      </c>
      <c r="I64" s="137"/>
      <c r="J64" s="138" t="s">
        <v>176</v>
      </c>
      <c r="K64" s="149">
        <f>L64-1</f>
        <v>43</v>
      </c>
      <c r="L64" s="149">
        <f>M64-1</f>
        <v>44</v>
      </c>
      <c r="M64" s="150">
        <v>45</v>
      </c>
      <c r="N64" s="149">
        <f>M64+1</f>
        <v>46</v>
      </c>
      <c r="O64" s="149">
        <f>N64+1</f>
        <v>47</v>
      </c>
    </row>
    <row r="65" spans="2:15" x14ac:dyDescent="0.2">
      <c r="B65" s="133">
        <f t="shared" ref="B65" si="22">B66-1%</f>
        <v>9.8210994362489076E-2</v>
      </c>
      <c r="C65" s="139">
        <f t="shared" ref="C65:G69" si="23">$O$8*C$64/(1+$B65)^$O$29</f>
        <v>644986.51277198747</v>
      </c>
      <c r="D65" s="139">
        <f t="shared" si="23"/>
        <v>664531.55861356296</v>
      </c>
      <c r="E65" s="139">
        <f t="shared" si="23"/>
        <v>684076.60445513832</v>
      </c>
      <c r="F65" s="139">
        <f t="shared" si="23"/>
        <v>703621.65029671369</v>
      </c>
      <c r="G65" s="139">
        <f t="shared" si="23"/>
        <v>723166.69613828906</v>
      </c>
      <c r="I65" s="137"/>
      <c r="J65" s="140">
        <f>B65</f>
        <v>9.8210994362489076E-2</v>
      </c>
      <c r="K65" s="139">
        <f t="shared" ref="K65:O69" si="24">C65+$H30</f>
        <v>687603.77512884641</v>
      </c>
      <c r="L65" s="139">
        <f t="shared" si="24"/>
        <v>707148.82097042189</v>
      </c>
      <c r="M65" s="139">
        <f t="shared" si="24"/>
        <v>726693.86681199726</v>
      </c>
      <c r="N65" s="139">
        <f t="shared" si="24"/>
        <v>746238.91265357262</v>
      </c>
      <c r="O65" s="139">
        <f t="shared" si="24"/>
        <v>765783.95849514799</v>
      </c>
    </row>
    <row r="66" spans="2:15" x14ac:dyDescent="0.2">
      <c r="B66" s="133">
        <f>B67-1%</f>
        <v>0.10821099436248907</v>
      </c>
      <c r="C66" s="139">
        <f t="shared" si="23"/>
        <v>622019.44924975908</v>
      </c>
      <c r="D66" s="139">
        <f t="shared" si="23"/>
        <v>640868.52346944879</v>
      </c>
      <c r="E66" s="139">
        <f t="shared" si="23"/>
        <v>659717.59768913849</v>
      </c>
      <c r="F66" s="139">
        <f t="shared" si="23"/>
        <v>678566.67190882808</v>
      </c>
      <c r="G66" s="139">
        <f t="shared" si="23"/>
        <v>697415.74612851779</v>
      </c>
      <c r="I66" s="137"/>
      <c r="J66" s="140">
        <f>B66</f>
        <v>0.10821099436248907</v>
      </c>
      <c r="K66" s="139">
        <f t="shared" si="24"/>
        <v>663905.20870342106</v>
      </c>
      <c r="L66" s="139">
        <f t="shared" si="24"/>
        <v>682754.28292311076</v>
      </c>
      <c r="M66" s="139">
        <f t="shared" si="24"/>
        <v>701603.35714280047</v>
      </c>
      <c r="N66" s="139">
        <f t="shared" si="24"/>
        <v>720452.43136249005</v>
      </c>
      <c r="O66" s="139">
        <f t="shared" si="24"/>
        <v>739301.50558217976</v>
      </c>
    </row>
    <row r="67" spans="2:15" x14ac:dyDescent="0.2">
      <c r="B67" s="133">
        <f>S14</f>
        <v>0.11821099436248907</v>
      </c>
      <c r="C67" s="139">
        <f t="shared" si="23"/>
        <v>600065.62689241231</v>
      </c>
      <c r="D67" s="139">
        <f t="shared" si="23"/>
        <v>618249.43376793992</v>
      </c>
      <c r="E67" s="139">
        <f t="shared" si="23"/>
        <v>636433.24064346752</v>
      </c>
      <c r="F67" s="139">
        <f t="shared" si="23"/>
        <v>654617.04751899524</v>
      </c>
      <c r="G67" s="139">
        <f t="shared" si="23"/>
        <v>672800.85439452284</v>
      </c>
      <c r="I67" s="137"/>
      <c r="J67" s="140">
        <f>B67</f>
        <v>0.11821099436248907</v>
      </c>
      <c r="K67" s="139">
        <f t="shared" si="24"/>
        <v>641245.00532596139</v>
      </c>
      <c r="L67" s="139">
        <f t="shared" si="24"/>
        <v>659428.812201489</v>
      </c>
      <c r="M67" s="139">
        <f t="shared" si="24"/>
        <v>677612.6190770166</v>
      </c>
      <c r="N67" s="139">
        <f t="shared" si="24"/>
        <v>695796.42595254432</v>
      </c>
      <c r="O67" s="139">
        <f t="shared" si="24"/>
        <v>713980.23282807192</v>
      </c>
    </row>
    <row r="68" spans="2:15" x14ac:dyDescent="0.2">
      <c r="B68" s="133">
        <f>B67+1%</f>
        <v>0.12821099436248906</v>
      </c>
      <c r="C68" s="139">
        <f t="shared" si="23"/>
        <v>579071.87431604997</v>
      </c>
      <c r="D68" s="139">
        <f t="shared" si="23"/>
        <v>596619.50687108177</v>
      </c>
      <c r="E68" s="139">
        <f t="shared" si="23"/>
        <v>614167.13942611369</v>
      </c>
      <c r="F68" s="139">
        <f t="shared" si="23"/>
        <v>631714.77198114549</v>
      </c>
      <c r="G68" s="139">
        <f t="shared" si="23"/>
        <v>649262.40453617729</v>
      </c>
      <c r="I68" s="137"/>
      <c r="J68" s="140">
        <f>B68</f>
        <v>0.12821099436248906</v>
      </c>
      <c r="K68" s="139">
        <f t="shared" si="24"/>
        <v>619568.86125223339</v>
      </c>
      <c r="L68" s="139">
        <f t="shared" si="24"/>
        <v>637116.49380726519</v>
      </c>
      <c r="M68" s="139">
        <f t="shared" si="24"/>
        <v>654664.1263622971</v>
      </c>
      <c r="N68" s="139">
        <f t="shared" si="24"/>
        <v>672211.7589173289</v>
      </c>
      <c r="O68" s="139">
        <f t="shared" si="24"/>
        <v>689759.3914723607</v>
      </c>
    </row>
    <row r="69" spans="2:15" x14ac:dyDescent="0.2">
      <c r="B69" s="133">
        <f>B68+1%</f>
        <v>0.13821099436248907</v>
      </c>
      <c r="C69" s="139">
        <f t="shared" si="23"/>
        <v>558988.24714349443</v>
      </c>
      <c r="D69" s="139">
        <f t="shared" si="23"/>
        <v>575927.28493572155</v>
      </c>
      <c r="E69" s="139">
        <f t="shared" si="23"/>
        <v>592866.32272794866</v>
      </c>
      <c r="F69" s="139">
        <f t="shared" si="23"/>
        <v>609805.36052017577</v>
      </c>
      <c r="G69" s="139">
        <f t="shared" si="23"/>
        <v>626744.39831240277</v>
      </c>
      <c r="I69" s="137"/>
      <c r="J69" s="140">
        <f>B69</f>
        <v>0.13821099436248907</v>
      </c>
      <c r="K69" s="139">
        <f t="shared" si="24"/>
        <v>598825.76174242236</v>
      </c>
      <c r="L69" s="139">
        <f t="shared" si="24"/>
        <v>615764.79953464947</v>
      </c>
      <c r="M69" s="139">
        <f t="shared" si="24"/>
        <v>632703.83732687659</v>
      </c>
      <c r="N69" s="139">
        <f t="shared" si="24"/>
        <v>649642.8751191037</v>
      </c>
      <c r="O69" s="139">
        <f t="shared" si="24"/>
        <v>666581.9129113307</v>
      </c>
    </row>
    <row r="70" spans="2:15" x14ac:dyDescent="0.2">
      <c r="C70" s="137"/>
      <c r="D70" s="137"/>
      <c r="E70" s="137"/>
      <c r="F70" s="137"/>
      <c r="G70" s="137"/>
      <c r="I70" s="137"/>
      <c r="J70" s="137"/>
      <c r="K70" s="137"/>
      <c r="L70" s="137"/>
      <c r="M70" s="137"/>
      <c r="N70" s="137"/>
      <c r="O70" s="137"/>
    </row>
    <row r="71" spans="2:15" x14ac:dyDescent="0.2">
      <c r="C71" s="225" t="s">
        <v>200</v>
      </c>
      <c r="D71" s="225"/>
      <c r="E71" s="225"/>
      <c r="F71" s="225"/>
      <c r="G71" s="225"/>
      <c r="I71" s="137"/>
      <c r="J71" s="137"/>
      <c r="K71" s="225" t="s">
        <v>201</v>
      </c>
      <c r="L71" s="225"/>
      <c r="M71" s="225"/>
      <c r="N71" s="225"/>
      <c r="O71" s="225"/>
    </row>
    <row r="72" spans="2:15" x14ac:dyDescent="0.2">
      <c r="C72" s="224" t="s">
        <v>204</v>
      </c>
      <c r="D72" s="224"/>
      <c r="E72" s="224"/>
      <c r="F72" s="224"/>
      <c r="G72" s="224"/>
      <c r="I72" s="137"/>
      <c r="J72" s="137"/>
      <c r="K72" s="224" t="s">
        <v>204</v>
      </c>
      <c r="L72" s="224"/>
      <c r="M72" s="224"/>
      <c r="N72" s="224"/>
      <c r="O72" s="224"/>
    </row>
    <row r="73" spans="2:15" x14ac:dyDescent="0.2">
      <c r="B73" s="134" t="s">
        <v>176</v>
      </c>
      <c r="C73" s="149">
        <f>D73-1</f>
        <v>43</v>
      </c>
      <c r="D73" s="149">
        <f>E73-1</f>
        <v>44</v>
      </c>
      <c r="E73" s="150">
        <v>45</v>
      </c>
      <c r="F73" s="149">
        <f>E73+1</f>
        <v>46</v>
      </c>
      <c r="G73" s="149">
        <f>F73+1</f>
        <v>47</v>
      </c>
      <c r="I73" s="137"/>
      <c r="J73" s="138" t="s">
        <v>176</v>
      </c>
      <c r="K73" s="149">
        <f>L73-1</f>
        <v>43</v>
      </c>
      <c r="L73" s="149">
        <f>M73-1</f>
        <v>44</v>
      </c>
      <c r="M73" s="150">
        <v>45</v>
      </c>
      <c r="N73" s="149">
        <f>M73+1</f>
        <v>46</v>
      </c>
      <c r="O73" s="149">
        <f>N73+1</f>
        <v>47</v>
      </c>
    </row>
    <row r="74" spans="2:15" x14ac:dyDescent="0.2">
      <c r="B74" s="133">
        <f>B65</f>
        <v>9.8210994362489076E-2</v>
      </c>
      <c r="C74" s="139">
        <f>K65-$R39+$S39-$Q39</f>
        <v>694805.77512884641</v>
      </c>
      <c r="D74" s="139">
        <f t="shared" ref="D74:G78" si="25">L65-$R39+$S39-$Q39</f>
        <v>714350.82097042189</v>
      </c>
      <c r="E74" s="139">
        <f t="shared" si="25"/>
        <v>733895.86681199726</v>
      </c>
      <c r="F74" s="139">
        <f t="shared" si="25"/>
        <v>753440.91265357262</v>
      </c>
      <c r="G74" s="139">
        <f t="shared" si="25"/>
        <v>772985.95849514799</v>
      </c>
      <c r="I74" s="137"/>
      <c r="J74" s="140">
        <f>J65</f>
        <v>9.8210994362489076E-2</v>
      </c>
      <c r="K74" s="139">
        <f t="shared" ref="K74:O78" si="26">C74/$S$18</f>
        <v>615.4169841708117</v>
      </c>
      <c r="L74" s="139">
        <f t="shared" si="26"/>
        <v>632.72880511109111</v>
      </c>
      <c r="M74" s="139">
        <f t="shared" si="26"/>
        <v>650.04062605137051</v>
      </c>
      <c r="N74" s="139">
        <f t="shared" si="26"/>
        <v>667.3524469916498</v>
      </c>
      <c r="O74" s="139">
        <f t="shared" si="26"/>
        <v>684.66426793192909</v>
      </c>
    </row>
    <row r="75" spans="2:15" x14ac:dyDescent="0.2">
      <c r="B75" s="133">
        <f t="shared" ref="B75:B78" si="27">B66</f>
        <v>0.10821099436248907</v>
      </c>
      <c r="C75" s="139">
        <f t="shared" ref="C75:C78" si="28">K66-$R40+$S40-$Q40</f>
        <v>671107.20870342106</v>
      </c>
      <c r="D75" s="139">
        <f t="shared" si="25"/>
        <v>689956.28292311076</v>
      </c>
      <c r="E75" s="139">
        <f t="shared" si="25"/>
        <v>708805.35714280047</v>
      </c>
      <c r="F75" s="139">
        <f t="shared" si="25"/>
        <v>727654.43136249005</v>
      </c>
      <c r="G75" s="139">
        <f t="shared" si="25"/>
        <v>746503.50558217976</v>
      </c>
      <c r="I75" s="137"/>
      <c r="J75" s="140">
        <f t="shared" ref="J75:J78" si="29">J66</f>
        <v>0.10821099436248907</v>
      </c>
      <c r="K75" s="139">
        <f t="shared" si="26"/>
        <v>594.42622560090444</v>
      </c>
      <c r="L75" s="141">
        <f t="shared" si="26"/>
        <v>611.12159692038153</v>
      </c>
      <c r="M75" s="142">
        <f t="shared" si="26"/>
        <v>627.81696823985874</v>
      </c>
      <c r="N75" s="143">
        <f t="shared" si="26"/>
        <v>644.51233955933571</v>
      </c>
      <c r="O75" s="139">
        <f t="shared" si="26"/>
        <v>661.20771087881292</v>
      </c>
    </row>
    <row r="76" spans="2:15" x14ac:dyDescent="0.2">
      <c r="B76" s="133">
        <f>B67</f>
        <v>0.11821099436248907</v>
      </c>
      <c r="C76" s="139">
        <f t="shared" si="28"/>
        <v>648447.00532596139</v>
      </c>
      <c r="D76" s="139">
        <f t="shared" si="25"/>
        <v>666630.812201489</v>
      </c>
      <c r="E76" s="139">
        <f>M67-$R41+$S41-$Q41</f>
        <v>684814.6190770166</v>
      </c>
      <c r="F76" s="139">
        <f t="shared" si="25"/>
        <v>702998.42595254432</v>
      </c>
      <c r="G76" s="139">
        <f t="shared" si="25"/>
        <v>721182.23282807192</v>
      </c>
      <c r="I76" s="137"/>
      <c r="J76" s="140">
        <f t="shared" si="29"/>
        <v>0.11821099436248907</v>
      </c>
      <c r="K76" s="139">
        <f t="shared" si="26"/>
        <v>574.35518629403134</v>
      </c>
      <c r="L76" s="144">
        <f t="shared" si="26"/>
        <v>590.46130398714706</v>
      </c>
      <c r="M76" s="139">
        <f t="shared" si="26"/>
        <v>606.56742168026267</v>
      </c>
      <c r="N76" s="145">
        <f t="shared" si="26"/>
        <v>622.6735393733785</v>
      </c>
      <c r="O76" s="139">
        <f t="shared" si="26"/>
        <v>638.77965706649422</v>
      </c>
    </row>
    <row r="77" spans="2:15" x14ac:dyDescent="0.2">
      <c r="B77" s="133">
        <f>B68</f>
        <v>0.12821099436248906</v>
      </c>
      <c r="C77" s="139">
        <f t="shared" si="28"/>
        <v>626770.86125223339</v>
      </c>
      <c r="D77" s="139">
        <f t="shared" si="25"/>
        <v>644318.49380726519</v>
      </c>
      <c r="E77" s="139">
        <f t="shared" si="25"/>
        <v>661866.1263622971</v>
      </c>
      <c r="F77" s="139">
        <f t="shared" si="25"/>
        <v>679413.7589173289</v>
      </c>
      <c r="G77" s="139">
        <f t="shared" si="25"/>
        <v>696961.3914723607</v>
      </c>
      <c r="I77" s="137"/>
      <c r="J77" s="140">
        <f t="shared" si="29"/>
        <v>0.12821099436248906</v>
      </c>
      <c r="K77" s="139">
        <f t="shared" si="26"/>
        <v>555.15576727390021</v>
      </c>
      <c r="L77" s="146">
        <f t="shared" si="26"/>
        <v>570.69840018358298</v>
      </c>
      <c r="M77" s="147">
        <f t="shared" si="26"/>
        <v>586.24103309326586</v>
      </c>
      <c r="N77" s="148">
        <f t="shared" si="26"/>
        <v>601.78366600294851</v>
      </c>
      <c r="O77" s="139">
        <f t="shared" si="26"/>
        <v>617.32629891263127</v>
      </c>
    </row>
    <row r="78" spans="2:15" x14ac:dyDescent="0.2">
      <c r="B78" s="133">
        <f t="shared" si="27"/>
        <v>0.13821099436248907</v>
      </c>
      <c r="C78" s="139">
        <f t="shared" si="28"/>
        <v>606027.76174242236</v>
      </c>
      <c r="D78" s="139">
        <f t="shared" si="25"/>
        <v>622966.79953464947</v>
      </c>
      <c r="E78" s="139">
        <f t="shared" si="25"/>
        <v>639905.83732687659</v>
      </c>
      <c r="F78" s="139">
        <f t="shared" si="25"/>
        <v>656844.8751191037</v>
      </c>
      <c r="G78" s="139">
        <f t="shared" si="25"/>
        <v>673783.9129113307</v>
      </c>
      <c r="I78" s="137"/>
      <c r="J78" s="140">
        <f t="shared" si="29"/>
        <v>0.13821099436248907</v>
      </c>
      <c r="K78" s="139">
        <f t="shared" si="26"/>
        <v>536.78278276565311</v>
      </c>
      <c r="L78" s="139">
        <f t="shared" si="26"/>
        <v>551.78635919809517</v>
      </c>
      <c r="M78" s="139">
        <f t="shared" si="26"/>
        <v>566.78993563053723</v>
      </c>
      <c r="N78" s="139">
        <f t="shared" si="26"/>
        <v>581.7935120629794</v>
      </c>
      <c r="O78" s="139">
        <f t="shared" si="26"/>
        <v>596.79708849542135</v>
      </c>
    </row>
  </sheetData>
  <mergeCells count="20">
    <mergeCell ref="C63:G63"/>
    <mergeCell ref="K63:O63"/>
    <mergeCell ref="C71:G71"/>
    <mergeCell ref="K71:O71"/>
    <mergeCell ref="C72:G72"/>
    <mergeCell ref="K72:O72"/>
    <mergeCell ref="C49:G49"/>
    <mergeCell ref="K49:O49"/>
    <mergeCell ref="C50:G50"/>
    <mergeCell ref="K50:O50"/>
    <mergeCell ref="C62:G62"/>
    <mergeCell ref="K62:O62"/>
    <mergeCell ref="B60:O60"/>
    <mergeCell ref="Q4:S4"/>
    <mergeCell ref="S26:W26"/>
    <mergeCell ref="C40:G40"/>
    <mergeCell ref="K40:O40"/>
    <mergeCell ref="C41:G41"/>
    <mergeCell ref="K41:O41"/>
    <mergeCell ref="B38:O38"/>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1"/>
  <sheetViews>
    <sheetView zoomScale="130" zoomScaleNormal="130" workbookViewId="0">
      <selection activeCell="H10" sqref="H10"/>
    </sheetView>
  </sheetViews>
  <sheetFormatPr baseColWidth="10" defaultRowHeight="16" x14ac:dyDescent="0.2"/>
  <cols>
    <col min="1" max="1" width="10.83203125" style="14"/>
    <col min="2" max="2" width="32.83203125" style="14" customWidth="1"/>
    <col min="3" max="4" width="10.83203125" style="14"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227"/>
      <c r="R3" s="227"/>
      <c r="S3" s="227"/>
      <c r="T3" s="227"/>
      <c r="U3" s="227"/>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223" t="s">
        <v>2</v>
      </c>
      <c r="S4" s="223"/>
      <c r="T4" s="223"/>
    </row>
    <row r="5" spans="2:21" x14ac:dyDescent="0.2">
      <c r="B5" s="14" t="s">
        <v>3</v>
      </c>
      <c r="C5" s="14">
        <v>50.9</v>
      </c>
      <c r="D5" s="14">
        <v>54.8</v>
      </c>
      <c r="E5" s="24">
        <v>50.7</v>
      </c>
      <c r="F5" s="24">
        <v>34.299999999999997</v>
      </c>
      <c r="G5" s="42">
        <v>28.535499999999999</v>
      </c>
      <c r="H5" s="42">
        <v>22.940999999999999</v>
      </c>
      <c r="I5" s="43">
        <v>30</v>
      </c>
      <c r="J5" s="43">
        <v>40</v>
      </c>
      <c r="K5" s="43">
        <v>40</v>
      </c>
      <c r="L5" s="43">
        <v>40</v>
      </c>
      <c r="M5" s="43">
        <v>40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20</v>
      </c>
      <c r="K6" s="43">
        <v>35</v>
      </c>
      <c r="L6" s="43">
        <v>35</v>
      </c>
      <c r="M6" s="43">
        <v>35</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1000</v>
      </c>
      <c r="N7" s="43">
        <f>M7+$I$32</f>
        <v>988.92674999999997</v>
      </c>
      <c r="O7" s="43">
        <f>N7+$I$32</f>
        <v>977.85349999999994</v>
      </c>
      <c r="R7" s="14" t="s">
        <v>8</v>
      </c>
      <c r="T7" s="14">
        <v>500</v>
      </c>
    </row>
    <row r="8" spans="2:21" x14ac:dyDescent="0.2">
      <c r="B8" s="14" t="s">
        <v>9</v>
      </c>
      <c r="C8" s="44"/>
      <c r="D8" s="44"/>
      <c r="E8" s="15"/>
      <c r="F8" s="15"/>
      <c r="G8" s="45">
        <v>80</v>
      </c>
      <c r="H8" s="45">
        <v>434.06599999999997</v>
      </c>
      <c r="I8" s="46">
        <v>787.2</v>
      </c>
      <c r="J8" s="46">
        <v>1150</v>
      </c>
      <c r="K8" s="46">
        <v>1400</v>
      </c>
      <c r="L8" s="46">
        <v>1600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1487.2</v>
      </c>
      <c r="J9" s="24">
        <f t="shared" si="0"/>
        <v>2110</v>
      </c>
      <c r="K9" s="24">
        <f t="shared" si="0"/>
        <v>2675</v>
      </c>
      <c r="L9" s="24">
        <f t="shared" si="0"/>
        <v>3075</v>
      </c>
      <c r="M9" s="24">
        <f>SUM(M5:M8)</f>
        <v>3000</v>
      </c>
      <c r="N9" s="24"/>
      <c r="O9" s="24"/>
      <c r="P9" s="90" t="s">
        <v>230</v>
      </c>
      <c r="R9" s="14" t="s">
        <v>12</v>
      </c>
      <c r="T9" s="14">
        <f>SUM(T5:T8)</f>
        <v>2500</v>
      </c>
    </row>
    <row r="10" spans="2:21" x14ac:dyDescent="0.2">
      <c r="B10" s="10" t="s">
        <v>179</v>
      </c>
      <c r="E10" s="24"/>
      <c r="F10" s="59">
        <f t="shared" ref="F10:M10" si="1">F9/E9-1</f>
        <v>0.49735234215885926</v>
      </c>
      <c r="G10" s="59">
        <f t="shared" si="1"/>
        <v>0.36145402611534294</v>
      </c>
      <c r="H10" s="59">
        <f t="shared" si="1"/>
        <v>0.89213949673357362</v>
      </c>
      <c r="I10" s="59">
        <f t="shared" si="1"/>
        <v>0.57049928191264687</v>
      </c>
      <c r="J10" s="59">
        <f t="shared" si="1"/>
        <v>0.41877353415814955</v>
      </c>
      <c r="K10" s="59">
        <f t="shared" si="1"/>
        <v>0.26777251184834117</v>
      </c>
      <c r="L10" s="59">
        <f t="shared" si="1"/>
        <v>0.14953271028037385</v>
      </c>
      <c r="M10" s="59">
        <f t="shared" si="1"/>
        <v>-2.4390243902439046E-2</v>
      </c>
      <c r="N10" s="12">
        <f>AVERAGE(E28:M28)</f>
        <v>0.39123209728951824</v>
      </c>
      <c r="O10" s="10"/>
      <c r="P10" s="93">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v>110</v>
      </c>
      <c r="J12" s="43">
        <v>115</v>
      </c>
      <c r="K12" s="43">
        <v>110</v>
      </c>
      <c r="L12" s="43">
        <v>110</v>
      </c>
      <c r="M12" s="50">
        <v>110</v>
      </c>
      <c r="N12" s="24"/>
      <c r="O12" s="24"/>
    </row>
    <row r="13" spans="2:21" x14ac:dyDescent="0.2">
      <c r="B13" s="47" t="s">
        <v>14</v>
      </c>
      <c r="C13" s="48">
        <v>100</v>
      </c>
      <c r="E13" s="24">
        <v>107</v>
      </c>
      <c r="F13" s="49">
        <f>(G13+E13)/2</f>
        <v>102.5</v>
      </c>
      <c r="G13" s="42">
        <v>98</v>
      </c>
      <c r="H13" s="42">
        <v>153</v>
      </c>
      <c r="I13" s="43">
        <f>H13*(1+8%)</f>
        <v>165.24</v>
      </c>
      <c r="J13" s="43">
        <v>120</v>
      </c>
      <c r="K13" s="43">
        <v>100</v>
      </c>
      <c r="L13" s="43">
        <v>100</v>
      </c>
      <c r="M13" s="50">
        <v>100</v>
      </c>
      <c r="N13" s="24"/>
      <c r="O13" s="24"/>
    </row>
    <row r="14" spans="2:21" x14ac:dyDescent="0.2">
      <c r="B14" s="47" t="s">
        <v>15</v>
      </c>
      <c r="C14" s="48">
        <v>43</v>
      </c>
      <c r="E14" s="24">
        <v>57</v>
      </c>
      <c r="F14" s="24">
        <v>49</v>
      </c>
      <c r="G14" s="42">
        <v>46.784500000000001</v>
      </c>
      <c r="H14" s="42">
        <v>43</v>
      </c>
      <c r="I14" s="43">
        <v>47.815300000000001</v>
      </c>
      <c r="J14" s="43">
        <v>45.333300000000001</v>
      </c>
      <c r="K14" s="43">
        <v>44.25</v>
      </c>
      <c r="L14" s="43">
        <v>43</v>
      </c>
      <c r="M14" s="50">
        <v>43</v>
      </c>
      <c r="N14" s="24"/>
      <c r="O14" s="24"/>
    </row>
    <row r="15" spans="2:21" x14ac:dyDescent="0.2">
      <c r="B15" s="14" t="s">
        <v>16</v>
      </c>
      <c r="E15" s="24"/>
      <c r="F15" s="24"/>
      <c r="G15" s="42">
        <v>62</v>
      </c>
      <c r="H15" s="42">
        <v>54</v>
      </c>
      <c r="I15" s="43">
        <v>54.2333</v>
      </c>
      <c r="J15" s="43">
        <v>54.5</v>
      </c>
      <c r="K15" s="43">
        <v>53</v>
      </c>
      <c r="L15" s="43">
        <v>51</v>
      </c>
      <c r="M15" s="50">
        <v>51</v>
      </c>
      <c r="N15" s="24"/>
      <c r="O15" s="24"/>
    </row>
    <row r="16" spans="2:21" x14ac:dyDescent="0.2">
      <c r="E16" s="24"/>
      <c r="F16" s="24"/>
      <c r="G16" s="42"/>
      <c r="H16" s="42"/>
      <c r="I16" s="42"/>
      <c r="J16" s="42"/>
      <c r="K16" s="42"/>
      <c r="L16" s="42"/>
      <c r="M16" s="24"/>
      <c r="N16" s="24"/>
      <c r="O16" s="24"/>
    </row>
    <row r="17" spans="2:16" x14ac:dyDescent="0.2">
      <c r="B17" s="14" t="s">
        <v>17</v>
      </c>
      <c r="E17" s="24">
        <f t="shared" ref="E17:M17" si="2">E5*E12</f>
        <v>4816.5</v>
      </c>
      <c r="F17" s="24">
        <f t="shared" si="2"/>
        <v>3163.3089249999998</v>
      </c>
      <c r="G17" s="24">
        <f t="shared" si="2"/>
        <v>2552.48620725</v>
      </c>
      <c r="H17" s="24">
        <f t="shared" si="2"/>
        <v>2500.569</v>
      </c>
      <c r="I17" s="24">
        <f t="shared" si="2"/>
        <v>3300</v>
      </c>
      <c r="J17" s="24">
        <f t="shared" si="2"/>
        <v>4600</v>
      </c>
      <c r="K17" s="24">
        <f t="shared" si="2"/>
        <v>4400</v>
      </c>
      <c r="L17" s="24">
        <f t="shared" si="2"/>
        <v>4400</v>
      </c>
      <c r="M17" s="24">
        <f t="shared" si="2"/>
        <v>4400</v>
      </c>
      <c r="N17" s="24"/>
      <c r="O17" s="24"/>
    </row>
    <row r="18" spans="2:16" x14ac:dyDescent="0.2">
      <c r="B18" s="14" t="s">
        <v>18</v>
      </c>
      <c r="E18" s="24">
        <f t="shared" ref="E18:M18" si="3">E6*E13</f>
        <v>5210.9000000000005</v>
      </c>
      <c r="F18" s="24">
        <f t="shared" si="3"/>
        <v>3321</v>
      </c>
      <c r="G18" s="24">
        <f t="shared" si="3"/>
        <v>2696.3719999999998</v>
      </c>
      <c r="H18" s="24">
        <f t="shared" si="3"/>
        <v>352.971</v>
      </c>
      <c r="I18" s="24">
        <f t="shared" si="3"/>
        <v>3304.8</v>
      </c>
      <c r="J18" s="24">
        <f t="shared" si="3"/>
        <v>2400</v>
      </c>
      <c r="K18" s="24">
        <f t="shared" si="3"/>
        <v>3500</v>
      </c>
      <c r="L18" s="24">
        <f t="shared" si="3"/>
        <v>3500</v>
      </c>
      <c r="M18" s="24">
        <f t="shared" si="3"/>
        <v>3500</v>
      </c>
      <c r="N18" s="24"/>
      <c r="O18" s="24"/>
    </row>
    <row r="19" spans="2:16" x14ac:dyDescent="0.2">
      <c r="B19" s="14" t="s">
        <v>19</v>
      </c>
      <c r="E19" s="24">
        <f t="shared" ref="E19:M19" si="4">E7*E14</f>
        <v>8327.6999999999989</v>
      </c>
      <c r="F19" s="24">
        <f t="shared" si="4"/>
        <v>14744.099999999999</v>
      </c>
      <c r="G19" s="24">
        <f t="shared" si="4"/>
        <v>17049.254274499999</v>
      </c>
      <c r="H19" s="24">
        <f t="shared" si="4"/>
        <v>20968.778000000002</v>
      </c>
      <c r="I19" s="24">
        <f t="shared" si="4"/>
        <v>31079.945</v>
      </c>
      <c r="J19" s="24">
        <f t="shared" si="4"/>
        <v>40799.97</v>
      </c>
      <c r="K19" s="24">
        <f t="shared" si="4"/>
        <v>53100</v>
      </c>
      <c r="L19" s="24">
        <f t="shared" si="4"/>
        <v>60200</v>
      </c>
      <c r="M19" s="24">
        <f t="shared" si="4"/>
        <v>43000</v>
      </c>
      <c r="N19" s="24"/>
      <c r="O19" s="24"/>
    </row>
    <row r="20" spans="2:16" x14ac:dyDescent="0.2">
      <c r="B20" s="14" t="s">
        <v>20</v>
      </c>
      <c r="C20" s="44"/>
      <c r="D20" s="44"/>
      <c r="E20" s="15"/>
      <c r="F20" s="15"/>
      <c r="G20" s="15">
        <f t="shared" ref="G20:M20" si="5">G8*G15</f>
        <v>4960</v>
      </c>
      <c r="H20" s="15">
        <f t="shared" si="5"/>
        <v>23439.563999999998</v>
      </c>
      <c r="I20" s="15">
        <f t="shared" si="5"/>
        <v>42692.453760000004</v>
      </c>
      <c r="J20" s="15">
        <f t="shared" si="5"/>
        <v>62675</v>
      </c>
      <c r="K20" s="15">
        <f t="shared" si="5"/>
        <v>74200</v>
      </c>
      <c r="L20" s="15">
        <f t="shared" si="5"/>
        <v>81600</v>
      </c>
      <c r="M20" s="15">
        <f t="shared" si="5"/>
        <v>98175</v>
      </c>
      <c r="N20" s="24"/>
      <c r="O20" s="24"/>
    </row>
    <row r="21" spans="2:16" x14ac:dyDescent="0.2">
      <c r="B21" s="51" t="s">
        <v>21</v>
      </c>
      <c r="E21" s="52">
        <f>SUM(E17:E20)</f>
        <v>18355.099999999999</v>
      </c>
      <c r="F21" s="52">
        <f t="shared" ref="F21:M21" si="6">SUM(F17:F20)</f>
        <v>21228.408924999996</v>
      </c>
      <c r="G21" s="52">
        <f t="shared" si="6"/>
        <v>27258.112481749999</v>
      </c>
      <c r="H21" s="52">
        <f t="shared" si="6"/>
        <v>47261.881999999998</v>
      </c>
      <c r="I21" s="52">
        <f t="shared" si="6"/>
        <v>80377.198759999999</v>
      </c>
      <c r="J21" s="52">
        <f t="shared" si="6"/>
        <v>110474.97</v>
      </c>
      <c r="K21" s="52">
        <f t="shared" si="6"/>
        <v>135200</v>
      </c>
      <c r="L21" s="52">
        <f t="shared" si="6"/>
        <v>149700</v>
      </c>
      <c r="M21" s="52">
        <f t="shared" si="6"/>
        <v>149075</v>
      </c>
      <c r="N21" s="24"/>
      <c r="O21" s="24"/>
    </row>
    <row r="22" spans="2:16" x14ac:dyDescent="0.2">
      <c r="B22" s="14" t="s">
        <v>22</v>
      </c>
      <c r="C22" s="24">
        <v>761.75900000000001</v>
      </c>
      <c r="D22" s="24">
        <v>1106.548</v>
      </c>
      <c r="E22" s="24">
        <v>883.46100000000001</v>
      </c>
      <c r="F22" s="24">
        <v>869</v>
      </c>
      <c r="G22" s="24">
        <v>1052</v>
      </c>
      <c r="H22" s="24">
        <v>1642</v>
      </c>
      <c r="I22" s="24">
        <f t="shared" ref="I22:O22" si="7">H22*(1+I37)</f>
        <v>1869.1906294162668</v>
      </c>
      <c r="J22" s="24">
        <f t="shared" si="7"/>
        <v>2127.8158398889036</v>
      </c>
      <c r="K22" s="24">
        <f t="shared" si="7"/>
        <v>2422.2249872374191</v>
      </c>
      <c r="L22" s="24">
        <f t="shared" si="7"/>
        <v>2757.3692134483072</v>
      </c>
      <c r="M22" s="24">
        <f t="shared" si="7"/>
        <v>3138.884711095297</v>
      </c>
      <c r="N22" s="24">
        <f t="shared" si="7"/>
        <v>3138.884711095297</v>
      </c>
      <c r="O22" s="24">
        <f t="shared" si="7"/>
        <v>3138.884711095297</v>
      </c>
    </row>
    <row r="23" spans="2:16" x14ac:dyDescent="0.2">
      <c r="B23" s="14" t="s">
        <v>23</v>
      </c>
      <c r="C23" s="15"/>
      <c r="D23" s="15"/>
      <c r="E23" s="15"/>
      <c r="F23" s="15">
        <v>594</v>
      </c>
      <c r="G23" s="15">
        <v>1580</v>
      </c>
      <c r="H23" s="15">
        <v>1465</v>
      </c>
      <c r="I23" s="15">
        <f t="shared" ref="I23:O23" si="8">H23*(1+I36)</f>
        <v>2197.5</v>
      </c>
      <c r="J23" s="15">
        <f t="shared" si="8"/>
        <v>3296.25</v>
      </c>
      <c r="K23" s="15">
        <f t="shared" si="8"/>
        <v>4944.375</v>
      </c>
      <c r="L23" s="15">
        <f t="shared" si="8"/>
        <v>7416.5625</v>
      </c>
      <c r="M23" s="15">
        <f t="shared" si="8"/>
        <v>11124.84375</v>
      </c>
      <c r="N23" s="15">
        <f t="shared" si="8"/>
        <v>11124.84375</v>
      </c>
      <c r="O23" s="15">
        <f t="shared" si="8"/>
        <v>11124.84375</v>
      </c>
    </row>
    <row r="24" spans="2:16" s="13" customFormat="1" x14ac:dyDescent="0.2">
      <c r="B24" s="13" t="s">
        <v>24</v>
      </c>
      <c r="E24" s="52">
        <f>SUM(E21:E23)</f>
        <v>19238.560999999998</v>
      </c>
      <c r="F24" s="52">
        <f t="shared" ref="F24:J24" si="9">SUM(F21:F23)</f>
        <v>22691.408924999996</v>
      </c>
      <c r="G24" s="52">
        <f t="shared" si="9"/>
        <v>29890.112481749999</v>
      </c>
      <c r="H24" s="52">
        <f>SUM(H21:H23)</f>
        <v>50368.881999999998</v>
      </c>
      <c r="I24" s="52">
        <f>SUM(I21:I23)</f>
        <v>84443.889389416261</v>
      </c>
      <c r="J24" s="52">
        <f t="shared" si="9"/>
        <v>115899.03583988891</v>
      </c>
      <c r="K24" s="52">
        <f>SUM(K21:K23)</f>
        <v>142566.59998723742</v>
      </c>
      <c r="L24" s="52">
        <f>SUM(L21:L23)</f>
        <v>159873.93171344831</v>
      </c>
      <c r="M24" s="52">
        <f>SUM(M21:M23)</f>
        <v>163338.72846109531</v>
      </c>
      <c r="N24" s="52"/>
      <c r="O24" s="52"/>
    </row>
    <row r="25" spans="2:16" x14ac:dyDescent="0.2">
      <c r="B25" s="14" t="s">
        <v>25</v>
      </c>
      <c r="C25" s="24">
        <v>181.39400000000001</v>
      </c>
      <c r="D25" s="24">
        <v>1116.2660000000001</v>
      </c>
      <c r="E25" s="24">
        <v>1555.2439999999999</v>
      </c>
      <c r="F25" s="24">
        <v>1531</v>
      </c>
      <c r="G25" s="24">
        <v>1994</v>
      </c>
      <c r="H25" s="24">
        <v>2789</v>
      </c>
      <c r="I25" s="24">
        <f t="shared" ref="I25:M26" si="10">H25*(1+I38)</f>
        <v>3541.1793466300951</v>
      </c>
      <c r="J25" s="24">
        <f t="shared" si="10"/>
        <v>4496.2176998922723</v>
      </c>
      <c r="K25" s="24">
        <f t="shared" si="10"/>
        <v>5708.8251189713819</v>
      </c>
      <c r="L25" s="24">
        <f t="shared" si="10"/>
        <v>7248.4666922999468</v>
      </c>
      <c r="M25" s="24">
        <f t="shared" si="10"/>
        <v>9203.3418951268304</v>
      </c>
      <c r="N25" s="24"/>
      <c r="O25" s="24"/>
    </row>
    <row r="26" spans="2:16" ht="17" thickBot="1" x14ac:dyDescent="0.25">
      <c r="B26" s="14" t="s">
        <v>26</v>
      </c>
      <c r="C26" s="15">
        <v>467.97200000000004</v>
      </c>
      <c r="D26" s="15">
        <v>1001.1850000000001</v>
      </c>
      <c r="E26" s="118">
        <v>1391.0409999999999</v>
      </c>
      <c r="F26" s="118">
        <v>2226</v>
      </c>
      <c r="G26" s="118">
        <v>2306</v>
      </c>
      <c r="H26" s="118">
        <v>3802</v>
      </c>
      <c r="I26" s="118">
        <f t="shared" si="10"/>
        <v>5393.4376221485636</v>
      </c>
      <c r="J26" s="118">
        <f t="shared" si="10"/>
        <v>7651.017723305511</v>
      </c>
      <c r="K26" s="118">
        <f t="shared" si="10"/>
        <v>10853.573602472748</v>
      </c>
      <c r="L26" s="118">
        <f t="shared" si="10"/>
        <v>15396.652341487386</v>
      </c>
      <c r="M26" s="118">
        <f t="shared" si="10"/>
        <v>21841.368751635939</v>
      </c>
      <c r="N26" s="24"/>
      <c r="O26" s="24"/>
    </row>
    <row r="27" spans="2:16" s="13" customFormat="1" ht="17" thickTop="1" x14ac:dyDescent="0.2">
      <c r="B27" s="13" t="s">
        <v>27</v>
      </c>
      <c r="C27" s="52">
        <v>7000.1320000000005</v>
      </c>
      <c r="D27" s="52">
        <v>11758.751</v>
      </c>
      <c r="E27" s="52">
        <v>21461.268</v>
      </c>
      <c r="F27" s="52">
        <v>24578</v>
      </c>
      <c r="G27" s="52">
        <v>31536</v>
      </c>
      <c r="H27" s="52">
        <v>53823</v>
      </c>
      <c r="I27" s="52">
        <f t="shared" ref="I27:O27" si="11">SUM(I24:I26)</f>
        <v>93378.506358194907</v>
      </c>
      <c r="J27" s="52">
        <f>SUM(J24:J26)</f>
        <v>128046.27126308669</v>
      </c>
      <c r="K27" s="52">
        <f>SUM(K24:K26)</f>
        <v>159128.99870868155</v>
      </c>
      <c r="L27" s="52">
        <f t="shared" si="11"/>
        <v>182519.05074723565</v>
      </c>
      <c r="M27" s="52">
        <f t="shared" si="11"/>
        <v>194383.43910785808</v>
      </c>
      <c r="N27" s="52">
        <f t="shared" si="11"/>
        <v>0</v>
      </c>
      <c r="O27" s="52">
        <f t="shared" si="11"/>
        <v>0</v>
      </c>
    </row>
    <row r="28" spans="2:16" s="13" customFormat="1" x14ac:dyDescent="0.2">
      <c r="B28" s="10" t="s">
        <v>179</v>
      </c>
      <c r="C28" s="56"/>
      <c r="D28" s="57"/>
      <c r="E28" s="58">
        <f t="shared" ref="E28:M28" si="12">E27/D27-1</f>
        <v>0.82513159773516764</v>
      </c>
      <c r="F28" s="59">
        <f t="shared" si="12"/>
        <v>0.14522590184326489</v>
      </c>
      <c r="G28" s="59">
        <f t="shared" si="12"/>
        <v>0.28309870615998056</v>
      </c>
      <c r="H28" s="59">
        <f t="shared" si="12"/>
        <v>0.70671613394216126</v>
      </c>
      <c r="I28" s="59">
        <f t="shared" si="12"/>
        <v>0.73491827579649782</v>
      </c>
      <c r="J28" s="59">
        <f t="shared" si="12"/>
        <v>0.37126064933945413</v>
      </c>
      <c r="K28" s="59">
        <f t="shared" si="12"/>
        <v>0.24274605686667439</v>
      </c>
      <c r="L28" s="59">
        <f t="shared" si="12"/>
        <v>0.14698799231040471</v>
      </c>
      <c r="M28" s="59">
        <f t="shared" si="12"/>
        <v>6.500356161205878E-2</v>
      </c>
      <c r="N28" s="10"/>
      <c r="O28" s="10"/>
      <c r="P28" s="93">
        <f>AVERAGE(E28:H28)</f>
        <v>0.49004308492014359</v>
      </c>
    </row>
    <row r="29" spans="2:16" x14ac:dyDescent="0.2">
      <c r="E29" s="24"/>
      <c r="F29" s="24"/>
      <c r="G29" s="24"/>
      <c r="H29" s="24"/>
      <c r="I29" s="24"/>
      <c r="J29" s="24"/>
      <c r="K29" s="24"/>
      <c r="L29" s="24"/>
      <c r="M29" s="24"/>
      <c r="N29" s="24"/>
      <c r="O29" s="24"/>
    </row>
    <row r="30" spans="2:16" x14ac:dyDescent="0.2">
      <c r="B30" s="10" t="s">
        <v>28</v>
      </c>
      <c r="C30" s="10"/>
      <c r="D30" s="10"/>
      <c r="E30" s="10"/>
      <c r="F30" s="10"/>
      <c r="G30" s="10"/>
      <c r="H30" s="10"/>
      <c r="I30" s="90" t="s">
        <v>29</v>
      </c>
      <c r="J30" s="131" t="s">
        <v>30</v>
      </c>
      <c r="K30" s="90" t="s">
        <v>31</v>
      </c>
      <c r="L30" s="10"/>
      <c r="M30" s="10"/>
    </row>
    <row r="31" spans="2:16" x14ac:dyDescent="0.2">
      <c r="B31" s="10" t="s">
        <v>3</v>
      </c>
      <c r="C31" s="10"/>
      <c r="D31" s="10"/>
      <c r="E31" s="21">
        <f t="shared" ref="E31:H33" si="13">E5-D5</f>
        <v>-4.0999999999999943</v>
      </c>
      <c r="F31" s="21">
        <f t="shared" si="13"/>
        <v>-16.400000000000006</v>
      </c>
      <c r="G31" s="21">
        <f t="shared" si="13"/>
        <v>-5.7644999999999982</v>
      </c>
      <c r="H31" s="21">
        <f t="shared" si="13"/>
        <v>-5.5945</v>
      </c>
      <c r="I31" s="53">
        <f>AVERAGE(E31:H31)</f>
        <v>-7.9647499999999996</v>
      </c>
      <c r="J31" s="54">
        <f>AVERAGE(C5:H5)</f>
        <v>40.362749999999998</v>
      </c>
      <c r="K31" s="54">
        <f>AVERAGE(E12:M12)</f>
        <v>104.51936111111111</v>
      </c>
      <c r="L31" s="10"/>
      <c r="M31" s="10"/>
    </row>
    <row r="32" spans="2:16" x14ac:dyDescent="0.2">
      <c r="B32" s="10" t="s">
        <v>5</v>
      </c>
      <c r="C32" s="10"/>
      <c r="D32" s="10"/>
      <c r="E32" s="21">
        <f t="shared" si="13"/>
        <v>2.1000000000000014</v>
      </c>
      <c r="F32" s="21">
        <f t="shared" si="13"/>
        <v>-16.300000000000004</v>
      </c>
      <c r="G32" s="21">
        <f t="shared" si="13"/>
        <v>-4.8859999999999992</v>
      </c>
      <c r="H32" s="21">
        <f t="shared" si="13"/>
        <v>-25.207000000000001</v>
      </c>
      <c r="I32" s="53">
        <f t="shared" ref="I32:I34" si="14">AVERAGE(E32:H32)</f>
        <v>-11.073250000000002</v>
      </c>
      <c r="J32" s="54">
        <f>AVERAGE(C6:H6)</f>
        <v>30.470166666666668</v>
      </c>
      <c r="K32" s="54">
        <f t="shared" ref="K32:K34" si="15">AVERAGE(E13:M13)</f>
        <v>116.19333333333333</v>
      </c>
      <c r="L32" s="10"/>
      <c r="M32" s="10"/>
    </row>
    <row r="33" spans="2:15" x14ac:dyDescent="0.2">
      <c r="B33" s="10" t="s">
        <v>7</v>
      </c>
      <c r="C33" s="10"/>
      <c r="D33" s="10"/>
      <c r="E33" s="21">
        <f t="shared" si="13"/>
        <v>144.29999999999998</v>
      </c>
      <c r="F33" s="21">
        <f t="shared" si="13"/>
        <v>154.79999999999998</v>
      </c>
      <c r="G33" s="21">
        <f t="shared" si="13"/>
        <v>63.521000000000015</v>
      </c>
      <c r="H33" s="21">
        <f t="shared" si="13"/>
        <v>123.22500000000002</v>
      </c>
      <c r="I33" s="53">
        <f t="shared" si="14"/>
        <v>121.4615</v>
      </c>
      <c r="J33" s="54">
        <f>AVERAGE(C7:H7)</f>
        <v>260.17340000000002</v>
      </c>
      <c r="K33" s="54">
        <f t="shared" si="15"/>
        <v>46.575900000000004</v>
      </c>
      <c r="L33" s="10"/>
      <c r="M33" s="10"/>
    </row>
    <row r="34" spans="2:15" x14ac:dyDescent="0.2">
      <c r="B34" s="10" t="s">
        <v>9</v>
      </c>
      <c r="C34" s="10"/>
      <c r="D34" s="10"/>
      <c r="E34" s="21"/>
      <c r="F34" s="21"/>
      <c r="G34" s="21">
        <f>G8-F8</f>
        <v>80</v>
      </c>
      <c r="H34" s="21">
        <f>H8-G8</f>
        <v>354.06599999999997</v>
      </c>
      <c r="I34" s="53">
        <f t="shared" si="14"/>
        <v>217.03299999999999</v>
      </c>
      <c r="J34" s="54">
        <f>AVERAGE(C8:H8)</f>
        <v>257.03300000000002</v>
      </c>
      <c r="K34" s="54">
        <f t="shared" si="15"/>
        <v>54.247614285714285</v>
      </c>
      <c r="L34" s="10"/>
      <c r="M34" s="10"/>
    </row>
    <row r="35" spans="2:15" x14ac:dyDescent="0.2">
      <c r="B35" s="10"/>
      <c r="C35" s="10"/>
      <c r="D35" s="10"/>
      <c r="E35" s="10"/>
      <c r="F35" s="59"/>
      <c r="G35" s="59"/>
      <c r="H35" s="59"/>
      <c r="I35" s="59"/>
      <c r="J35" s="59"/>
      <c r="K35" s="59"/>
      <c r="L35" s="59"/>
      <c r="M35" s="59"/>
      <c r="N35" s="12"/>
      <c r="O35" s="10"/>
    </row>
    <row r="36" spans="2:15" x14ac:dyDescent="0.2">
      <c r="B36" s="55" t="s">
        <v>23</v>
      </c>
      <c r="C36" s="56"/>
      <c r="D36" s="57"/>
      <c r="E36" s="58"/>
      <c r="F36" s="59"/>
      <c r="G36" s="59">
        <f>G23/F23-1</f>
        <v>1.65993265993266</v>
      </c>
      <c r="H36" s="59">
        <f>H23/G23-1</f>
        <v>-7.2784810126582333E-2</v>
      </c>
      <c r="I36" s="60">
        <v>0.5</v>
      </c>
      <c r="J36" s="61">
        <f>I36</f>
        <v>0.5</v>
      </c>
      <c r="K36" s="61">
        <f t="shared" ref="K36:M36" si="16">J36</f>
        <v>0.5</v>
      </c>
      <c r="L36" s="61">
        <f t="shared" si="16"/>
        <v>0.5</v>
      </c>
      <c r="M36" s="61">
        <f t="shared" si="16"/>
        <v>0.5</v>
      </c>
    </row>
    <row r="37" spans="2:15" x14ac:dyDescent="0.2">
      <c r="B37" s="55" t="s">
        <v>22</v>
      </c>
      <c r="C37" s="56"/>
      <c r="D37" s="58">
        <f>D22/C22-1</f>
        <v>0.45262215477598566</v>
      </c>
      <c r="E37" s="58">
        <f>E22/D22-1</f>
        <v>-0.20160625657450015</v>
      </c>
      <c r="F37" s="59">
        <f>F22/E22-1</f>
        <v>-1.636857767349098E-2</v>
      </c>
      <c r="G37" s="59">
        <f>G22/F22-1</f>
        <v>0.21058688147295745</v>
      </c>
      <c r="H37" s="59">
        <f>H22/G22-1</f>
        <v>0.56083650190114076</v>
      </c>
      <c r="I37" s="61">
        <f>AVERAGE(E37:H37)</f>
        <v>0.13836213728152677</v>
      </c>
      <c r="J37" s="61">
        <f t="shared" ref="J37:M39" si="17">I37</f>
        <v>0.13836213728152677</v>
      </c>
      <c r="K37" s="61">
        <f t="shared" si="17"/>
        <v>0.13836213728152677</v>
      </c>
      <c r="L37" s="61">
        <f t="shared" si="17"/>
        <v>0.13836213728152677</v>
      </c>
      <c r="M37" s="61">
        <f t="shared" si="17"/>
        <v>0.13836213728152677</v>
      </c>
    </row>
    <row r="38" spans="2:15" s="9" customFormat="1" x14ac:dyDescent="0.2">
      <c r="B38" s="9" t="s">
        <v>25</v>
      </c>
      <c r="C38" s="62"/>
      <c r="D38" s="58">
        <f t="shared" ref="D38:H39" si="18">D25/C25-1</f>
        <v>5.1538198617374338</v>
      </c>
      <c r="E38" s="58">
        <f t="shared" si="18"/>
        <v>0.39325572936916453</v>
      </c>
      <c r="F38" s="59">
        <f t="shared" si="18"/>
        <v>-1.5588550735447293E-2</v>
      </c>
      <c r="G38" s="59">
        <f t="shared" si="18"/>
        <v>0.30241672109732209</v>
      </c>
      <c r="H38" s="59">
        <f t="shared" si="18"/>
        <v>0.3986960882647943</v>
      </c>
      <c r="I38" s="61">
        <f>AVERAGE(E38:H38)</f>
        <v>0.26969499699895838</v>
      </c>
      <c r="J38" s="61">
        <f t="shared" si="17"/>
        <v>0.26969499699895838</v>
      </c>
      <c r="K38" s="61">
        <f t="shared" si="17"/>
        <v>0.26969499699895838</v>
      </c>
      <c r="L38" s="61">
        <f t="shared" si="17"/>
        <v>0.26969499699895838</v>
      </c>
      <c r="M38" s="61">
        <f t="shared" si="17"/>
        <v>0.26969499699895838</v>
      </c>
    </row>
    <row r="39" spans="2:15" s="9" customFormat="1" x14ac:dyDescent="0.2">
      <c r="B39" s="9" t="s">
        <v>26</v>
      </c>
      <c r="C39" s="62"/>
      <c r="D39" s="58">
        <f t="shared" si="18"/>
        <v>1.1394121870539262</v>
      </c>
      <c r="E39" s="58">
        <f t="shared" si="18"/>
        <v>0.38939456743758627</v>
      </c>
      <c r="F39" s="59">
        <f t="shared" si="18"/>
        <v>0.60024039550236119</v>
      </c>
      <c r="G39" s="59">
        <f t="shared" si="18"/>
        <v>3.5938903863432126E-2</v>
      </c>
      <c r="H39" s="59">
        <f t="shared" si="18"/>
        <v>0.64874241110147435</v>
      </c>
      <c r="I39" s="61">
        <f>AVERAGE(E39:H39)</f>
        <v>0.41857906947621348</v>
      </c>
      <c r="J39" s="61">
        <f t="shared" si="17"/>
        <v>0.41857906947621348</v>
      </c>
      <c r="K39" s="61">
        <f t="shared" si="17"/>
        <v>0.41857906947621348</v>
      </c>
      <c r="L39" s="61">
        <f t="shared" si="17"/>
        <v>0.41857906947621348</v>
      </c>
      <c r="M39" s="61">
        <f t="shared" si="17"/>
        <v>0.41857906947621348</v>
      </c>
    </row>
    <row r="41" spans="2:15" x14ac:dyDescent="0.2">
      <c r="B41" s="10"/>
      <c r="C41" s="10"/>
      <c r="D41" s="10"/>
      <c r="E41" s="10"/>
      <c r="F41" s="10"/>
      <c r="G41" s="10"/>
      <c r="H41" s="10"/>
      <c r="I41" s="10"/>
      <c r="J41" s="10"/>
      <c r="K41" s="10"/>
      <c r="L41" s="10"/>
      <c r="M41" s="10"/>
      <c r="N41" s="10"/>
      <c r="O41" s="10"/>
    </row>
  </sheetData>
  <mergeCells count="2">
    <mergeCell ref="Q3:U3"/>
    <mergeCell ref="R4:T4"/>
  </mergeCells>
  <pageMargins left="0.7" right="0.7" top="0.75" bottom="0.75" header="0.3" footer="0.3"/>
  <pageSetup orientation="portrait" horizontalDpi="0" verticalDpi="0"/>
  <ignoredErrors>
    <ignoredError sqref="E9:H9 J9:M9" formulaRange="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tabSelected="1" topLeftCell="A45" zoomScale="150" zoomScaleNormal="150" workbookViewId="0">
      <selection activeCell="O58" sqref="O58"/>
    </sheetView>
  </sheetViews>
  <sheetFormatPr baseColWidth="10" defaultColWidth="8.83203125" defaultRowHeight="16" x14ac:dyDescent="0.2"/>
  <cols>
    <col min="1" max="1" width="8.83203125" style="14"/>
    <col min="2" max="2" width="68" style="14" customWidth="1"/>
    <col min="3" max="3" width="11.6640625" style="74" hidden="1" customWidth="1"/>
    <col min="4" max="4" width="11.6640625" style="88" hidden="1" customWidth="1"/>
    <col min="5" max="5" width="11.1640625" style="89" customWidth="1"/>
    <col min="6" max="13" width="11.1640625" style="14" customWidth="1"/>
    <col min="14" max="17" width="8.83203125" style="14"/>
    <col min="18" max="18" width="24.83203125" style="14" customWidth="1"/>
    <col min="19"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3">
        <v>2017</v>
      </c>
      <c r="E2" s="64">
        <v>2018</v>
      </c>
      <c r="F2" s="40">
        <v>2019</v>
      </c>
      <c r="G2" s="40">
        <v>2020</v>
      </c>
      <c r="H2" s="64">
        <v>2021</v>
      </c>
      <c r="I2" s="41">
        <v>2022</v>
      </c>
      <c r="J2" s="41">
        <v>2023</v>
      </c>
      <c r="K2" s="41">
        <v>2024</v>
      </c>
      <c r="L2" s="41">
        <v>2025</v>
      </c>
      <c r="M2" s="41">
        <v>2025</v>
      </c>
      <c r="R2" s="64" t="s">
        <v>211</v>
      </c>
      <c r="S2" s="64">
        <v>2018</v>
      </c>
      <c r="T2" s="40">
        <v>2019</v>
      </c>
      <c r="U2" s="40">
        <v>2020</v>
      </c>
      <c r="V2" s="208">
        <v>2021</v>
      </c>
      <c r="W2" s="41">
        <v>2022</v>
      </c>
      <c r="X2" s="41">
        <v>2023</v>
      </c>
      <c r="Y2" s="41">
        <v>2024</v>
      </c>
      <c r="Z2" s="41">
        <v>2025</v>
      </c>
      <c r="AA2" s="41">
        <v>2025</v>
      </c>
      <c r="AB2" s="41" t="s">
        <v>262</v>
      </c>
    </row>
    <row r="3" spans="1:35" x14ac:dyDescent="0.2">
      <c r="A3" s="24"/>
      <c r="B3" s="13" t="s">
        <v>32</v>
      </c>
      <c r="C3" s="65">
        <v>7000.1320000000005</v>
      </c>
      <c r="D3" s="66">
        <v>11758.751</v>
      </c>
      <c r="E3" s="170">
        <f>Revenue!E27</f>
        <v>21461.268</v>
      </c>
      <c r="F3" s="170">
        <f>Revenue!F27</f>
        <v>24578</v>
      </c>
      <c r="G3" s="170">
        <f>Revenue!G27</f>
        <v>31536</v>
      </c>
      <c r="H3" s="170">
        <f>Revenue!H27</f>
        <v>53823</v>
      </c>
      <c r="I3" s="170">
        <f>Revenue!I27</f>
        <v>93378.506358194907</v>
      </c>
      <c r="J3" s="170">
        <f>Revenue!J27</f>
        <v>128046.27126308669</v>
      </c>
      <c r="K3" s="170">
        <f>Revenue!K27</f>
        <v>159128.99870868155</v>
      </c>
      <c r="L3" s="170">
        <f>Revenue!L27</f>
        <v>182519.05074723565</v>
      </c>
      <c r="M3" s="170">
        <f>Revenue!M27</f>
        <v>194383.43910785808</v>
      </c>
      <c r="N3" s="24"/>
      <c r="R3" s="153" t="s">
        <v>212</v>
      </c>
      <c r="V3" s="209"/>
    </row>
    <row r="4" spans="1:35" x14ac:dyDescent="0.2">
      <c r="B4" s="47" t="s">
        <v>34</v>
      </c>
      <c r="C4" s="69">
        <v>5400.875</v>
      </c>
      <c r="D4" s="69">
        <v>9536.2639999999992</v>
      </c>
      <c r="E4" s="2">
        <v>17419.246999999999</v>
      </c>
      <c r="F4" s="2">
        <v>20509</v>
      </c>
      <c r="G4" s="2">
        <v>24906</v>
      </c>
      <c r="H4" s="2">
        <v>40217</v>
      </c>
      <c r="I4" s="15">
        <f>I3-I5</f>
        <v>74307.760104153771</v>
      </c>
      <c r="J4" s="15">
        <f>J3-J5</f>
        <v>101895.30737138227</v>
      </c>
      <c r="K4" s="15">
        <f>K3-K5</f>
        <v>126629.99144900311</v>
      </c>
      <c r="L4" s="15">
        <f>L3-L5</f>
        <v>145243.07965837582</v>
      </c>
      <c r="M4" s="15">
        <f>M3-M5</f>
        <v>154684.3971356742</v>
      </c>
      <c r="R4" s="155" t="s">
        <v>213</v>
      </c>
      <c r="S4" s="193">
        <f t="shared" ref="S4:AA4" si="0">E53/E75</f>
        <v>0.83128452214821746</v>
      </c>
      <c r="T4" s="193">
        <f t="shared" si="0"/>
        <v>1.1346207931002157</v>
      </c>
      <c r="U4" s="193">
        <f t="shared" si="0"/>
        <v>1.8751403705783267</v>
      </c>
      <c r="V4" s="210">
        <f t="shared" si="0"/>
        <v>1.3752854605430094</v>
      </c>
      <c r="W4" s="193">
        <f t="shared" si="0"/>
        <v>0.81100914277243719</v>
      </c>
      <c r="X4" s="193">
        <f t="shared" si="0"/>
        <v>0.71619712230324961</v>
      </c>
      <c r="Y4" s="193">
        <f t="shared" si="0"/>
        <v>0.72369613658949583</v>
      </c>
      <c r="Z4" s="193">
        <f t="shared" si="0"/>
        <v>0.77431227507979006</v>
      </c>
      <c r="AA4" s="193">
        <f t="shared" si="0"/>
        <v>0.84430010653148513</v>
      </c>
      <c r="AB4" s="193">
        <f>AVERAGE(S4:V4)</f>
        <v>1.3040827865924425</v>
      </c>
      <c r="AD4" s="219" t="s">
        <v>257</v>
      </c>
      <c r="AE4" s="192"/>
      <c r="AF4" s="192"/>
      <c r="AG4" s="192"/>
    </row>
    <row r="5" spans="1:35" x14ac:dyDescent="0.2">
      <c r="B5" s="13" t="s">
        <v>35</v>
      </c>
      <c r="C5" s="65">
        <v>1599.2570000000001</v>
      </c>
      <c r="D5" s="66">
        <v>2222.4870000000001</v>
      </c>
      <c r="E5" s="67">
        <v>4042.0209999999997</v>
      </c>
      <c r="F5" s="68">
        <v>4069</v>
      </c>
      <c r="G5" s="68">
        <v>6630</v>
      </c>
      <c r="H5" s="68">
        <v>13606</v>
      </c>
      <c r="I5" s="52">
        <f>I3*$I$25</f>
        <v>19070.74625404114</v>
      </c>
      <c r="J5" s="52">
        <f>J3*$I$25</f>
        <v>26150.963891704418</v>
      </c>
      <c r="K5" s="52">
        <f>K3*$I$25</f>
        <v>32499.007259678448</v>
      </c>
      <c r="L5" s="52">
        <f>L3*$I$25</f>
        <v>37275.971088859849</v>
      </c>
      <c r="M5" s="52">
        <f>M3*$I$25</f>
        <v>39699.041972183877</v>
      </c>
      <c r="R5" s="155" t="s">
        <v>214</v>
      </c>
      <c r="S5" s="193">
        <f>(E53-E51)/E75</f>
        <v>0.51969488805997044</v>
      </c>
      <c r="T5" s="193">
        <f t="shared" ref="T5:AA5" si="1">(F53-F51)/F75</f>
        <v>0.80163119902503044</v>
      </c>
      <c r="U5" s="193">
        <f t="shared" si="1"/>
        <v>1.5873104997192589</v>
      </c>
      <c r="V5" s="210">
        <f t="shared" si="1"/>
        <v>1.0831261101243339</v>
      </c>
      <c r="W5" s="193">
        <f t="shared" si="1"/>
        <v>0.46224002885942134</v>
      </c>
      <c r="X5" s="193">
        <f t="shared" si="1"/>
        <v>0.36742800839023376</v>
      </c>
      <c r="Y5" s="193">
        <f t="shared" si="1"/>
        <v>0.37492702267647987</v>
      </c>
      <c r="Z5" s="193">
        <f t="shared" si="1"/>
        <v>0.42554316116677415</v>
      </c>
      <c r="AA5" s="193">
        <f t="shared" si="1"/>
        <v>0.49553099261846928</v>
      </c>
      <c r="AB5" s="193">
        <f t="shared" ref="AB5:AB7" si="2">AVERAGE(S5:V5)</f>
        <v>0.99794067423214838</v>
      </c>
      <c r="AD5" s="192"/>
      <c r="AE5" s="192"/>
      <c r="AF5" s="192"/>
      <c r="AG5" s="192"/>
    </row>
    <row r="6" spans="1:35" x14ac:dyDescent="0.2">
      <c r="B6" s="25" t="s">
        <v>36</v>
      </c>
      <c r="C6" s="70">
        <v>834.40800000000002</v>
      </c>
      <c r="D6" s="71">
        <v>1378.0729999999999</v>
      </c>
      <c r="E6" s="8">
        <v>1460.3700000000001</v>
      </c>
      <c r="F6" s="1">
        <v>1343</v>
      </c>
      <c r="G6" s="1">
        <v>1491</v>
      </c>
      <c r="H6" s="1">
        <v>2593</v>
      </c>
      <c r="I6" s="24">
        <f>$I$26*I$3</f>
        <v>4671.9785799053207</v>
      </c>
      <c r="J6" s="24">
        <f>$I$26*J$3</f>
        <v>6406.5003811809911</v>
      </c>
      <c r="K6" s="24">
        <f>$I$26*K$3</f>
        <v>7961.6530870275228</v>
      </c>
      <c r="L6" s="24">
        <f>$I$26*L$3</f>
        <v>9131.9204897616346</v>
      </c>
      <c r="M6" s="24">
        <f>$I$26*M$3</f>
        <v>9725.5278459542787</v>
      </c>
      <c r="R6" s="155" t="s">
        <v>215</v>
      </c>
      <c r="S6" s="193">
        <f>E47/E75</f>
        <v>0.36885186510671991</v>
      </c>
      <c r="T6" s="193">
        <f t="shared" ref="T6:AA6" si="3">F47/F75</f>
        <v>0.58760663729258455</v>
      </c>
      <c r="U6" s="193">
        <f t="shared" si="3"/>
        <v>1.360471645143178</v>
      </c>
      <c r="V6" s="210">
        <f t="shared" si="3"/>
        <v>0.89195635625475767</v>
      </c>
      <c r="W6" s="193">
        <f t="shared" si="3"/>
        <v>0.25415669462195228</v>
      </c>
      <c r="X6" s="193">
        <f t="shared" si="3"/>
        <v>0.15934467415276468</v>
      </c>
      <c r="Y6" s="193">
        <f t="shared" si="3"/>
        <v>0.16684368843901076</v>
      </c>
      <c r="Z6" s="193">
        <f t="shared" si="3"/>
        <v>0.21745982692930504</v>
      </c>
      <c r="AA6" s="193">
        <f t="shared" si="3"/>
        <v>0.28744765838100017</v>
      </c>
      <c r="AB6" s="193">
        <f t="shared" si="2"/>
        <v>0.80222162594931001</v>
      </c>
      <c r="AD6" s="192"/>
      <c r="AE6" s="192"/>
      <c r="AF6" s="192"/>
      <c r="AG6" s="192"/>
    </row>
    <row r="7" spans="1:35" x14ac:dyDescent="0.2">
      <c r="B7" s="25" t="s">
        <v>37</v>
      </c>
      <c r="C7" s="70">
        <v>1432.1889999999999</v>
      </c>
      <c r="D7" s="71">
        <v>2476.5</v>
      </c>
      <c r="E7" s="8">
        <v>2834.491</v>
      </c>
      <c r="F7" s="1">
        <v>2646</v>
      </c>
      <c r="G7" s="1">
        <v>3145</v>
      </c>
      <c r="H7" s="1">
        <v>4517</v>
      </c>
      <c r="I7" s="24">
        <f>$I$27*I$3</f>
        <v>7836.6258517727811</v>
      </c>
      <c r="J7" s="24">
        <f>$I$27*J$3</f>
        <v>10746.056654132295</v>
      </c>
      <c r="K7" s="24">
        <f>$I$27*K$3</f>
        <v>13354.6195337888</v>
      </c>
      <c r="L7" s="24">
        <f>$I$27*L$3</f>
        <v>15317.58824712973</v>
      </c>
      <c r="M7" s="24">
        <f>$I$27*M$3</f>
        <v>16313.286038500175</v>
      </c>
      <c r="R7" s="157" t="s">
        <v>216</v>
      </c>
      <c r="S7" s="193">
        <f t="shared" ref="S7:Z7" si="4">E153/E75</f>
        <v>0.20994530098469436</v>
      </c>
      <c r="T7" s="193">
        <f t="shared" si="4"/>
        <v>0.22546170432173995</v>
      </c>
      <c r="U7" s="193">
        <f t="shared" si="4"/>
        <v>0.41711117349803484</v>
      </c>
      <c r="V7" s="210">
        <f t="shared" si="4"/>
        <v>0.58345597564070029</v>
      </c>
      <c r="W7" s="193">
        <f t="shared" si="4"/>
        <v>0.49535923947995125</v>
      </c>
      <c r="X7" s="193">
        <f t="shared" si="4"/>
        <v>0.46102475576182628</v>
      </c>
      <c r="Y7" s="193">
        <f t="shared" si="4"/>
        <v>0.42770210595096619</v>
      </c>
      <c r="Z7" s="193">
        <f t="shared" si="4"/>
        <v>0.39879184789991645</v>
      </c>
      <c r="AA7" s="193">
        <f>M153/M75</f>
        <v>0.36856369827931917</v>
      </c>
      <c r="AB7" s="193">
        <f t="shared" si="2"/>
        <v>0.35899353861129235</v>
      </c>
      <c r="AD7" s="192"/>
      <c r="AE7" s="192"/>
      <c r="AF7" s="192"/>
      <c r="AG7" s="192"/>
    </row>
    <row r="8" spans="1:35" x14ac:dyDescent="0.2">
      <c r="B8" s="25" t="s">
        <v>38</v>
      </c>
      <c r="C8" s="70"/>
      <c r="D8" s="71"/>
      <c r="E8" s="8">
        <v>135.233</v>
      </c>
      <c r="F8" s="1">
        <v>149</v>
      </c>
      <c r="G8" s="1"/>
      <c r="H8" s="1">
        <v>-27</v>
      </c>
      <c r="I8" s="24"/>
      <c r="J8" s="24"/>
      <c r="K8" s="24"/>
      <c r="L8" s="24"/>
      <c r="M8" s="24"/>
      <c r="R8" s="152"/>
      <c r="S8" s="193"/>
      <c r="T8" s="193"/>
      <c r="U8" s="193"/>
      <c r="V8" s="210"/>
      <c r="W8" s="193"/>
      <c r="X8" s="193"/>
      <c r="Y8" s="193"/>
      <c r="Z8" s="193"/>
      <c r="AA8" s="193"/>
      <c r="AB8" s="193"/>
    </row>
    <row r="9" spans="1:35" x14ac:dyDescent="0.2">
      <c r="B9" s="47" t="s">
        <v>39</v>
      </c>
      <c r="C9" s="69">
        <v>2266.5970000000002</v>
      </c>
      <c r="D9" s="69">
        <v>3854.5730000000003</v>
      </c>
      <c r="E9" s="2">
        <v>4430.0940000000001</v>
      </c>
      <c r="F9" s="2">
        <v>4138</v>
      </c>
      <c r="G9" s="2">
        <v>4636</v>
      </c>
      <c r="H9" s="2">
        <v>7083</v>
      </c>
      <c r="I9" s="15">
        <f>SUM(I6:I8)</f>
        <v>12508.604431678101</v>
      </c>
      <c r="J9" s="15">
        <f t="shared" ref="J9:M9" si="5">SUM(J6:J8)</f>
        <v>17152.557035313286</v>
      </c>
      <c r="K9" s="15">
        <f t="shared" si="5"/>
        <v>21316.272620816322</v>
      </c>
      <c r="L9" s="15">
        <f t="shared" si="5"/>
        <v>24449.508736891366</v>
      </c>
      <c r="M9" s="15">
        <f t="shared" si="5"/>
        <v>26038.813884454452</v>
      </c>
      <c r="R9" s="154" t="s">
        <v>217</v>
      </c>
      <c r="S9" s="194"/>
      <c r="T9" s="193"/>
      <c r="U9" s="194"/>
      <c r="V9" s="210"/>
      <c r="W9" s="194"/>
      <c r="X9" s="193"/>
      <c r="Y9" s="194"/>
      <c r="Z9" s="193"/>
      <c r="AA9" s="194"/>
      <c r="AB9" s="193"/>
    </row>
    <row r="10" spans="1:35" s="13" customFormat="1" x14ac:dyDescent="0.2">
      <c r="B10" s="13" t="s">
        <v>232</v>
      </c>
      <c r="C10" s="66">
        <v>-667.34</v>
      </c>
      <c r="D10" s="66">
        <v>-1632.086</v>
      </c>
      <c r="E10" s="67">
        <v>-388.07299999999998</v>
      </c>
      <c r="F10" s="67">
        <v>-69</v>
      </c>
      <c r="G10" s="67">
        <v>1994</v>
      </c>
      <c r="H10" s="67">
        <v>6523</v>
      </c>
      <c r="I10" s="52">
        <f>I5-I9</f>
        <v>6562.141822363039</v>
      </c>
      <c r="J10" s="52">
        <f>J5-J9</f>
        <v>8998.4068563911314</v>
      </c>
      <c r="K10" s="52">
        <f>K5-K9</f>
        <v>11182.734638862126</v>
      </c>
      <c r="L10" s="52">
        <f t="shared" ref="L10:M10" si="6">L5-L9</f>
        <v>12826.462351968483</v>
      </c>
      <c r="M10" s="52">
        <f t="shared" si="6"/>
        <v>13660.228087729425</v>
      </c>
      <c r="R10" s="156" t="s">
        <v>218</v>
      </c>
      <c r="S10" s="193">
        <f>E82/E66</f>
        <v>0.78770390227660647</v>
      </c>
      <c r="T10" s="193">
        <f t="shared" ref="T10:AA10" si="7">F82/F66</f>
        <v>0.76361887551371366</v>
      </c>
      <c r="U10" s="193">
        <f t="shared" si="7"/>
        <v>0.54494899133236174</v>
      </c>
      <c r="V10" s="210">
        <f t="shared" si="7"/>
        <v>0.49167082454813216</v>
      </c>
      <c r="W10" s="193">
        <f t="shared" si="7"/>
        <v>0.56785228339353877</v>
      </c>
      <c r="X10" s="193">
        <f t="shared" si="7"/>
        <v>0.58888523743980614</v>
      </c>
      <c r="Y10" s="193">
        <f t="shared" si="7"/>
        <v>0.58750968830809591</v>
      </c>
      <c r="Z10" s="193">
        <f t="shared" si="7"/>
        <v>0.57658875019471623</v>
      </c>
      <c r="AA10" s="193">
        <f t="shared" si="7"/>
        <v>0.56200011635657643</v>
      </c>
      <c r="AB10" s="193">
        <f>AVERAGE(S10:V10)</f>
        <v>0.64698564841770345</v>
      </c>
      <c r="AD10" s="219" t="s">
        <v>258</v>
      </c>
      <c r="AE10" s="192"/>
      <c r="AF10" s="192"/>
      <c r="AG10" s="192"/>
      <c r="AH10" s="192"/>
      <c r="AI10" s="192"/>
    </row>
    <row r="11" spans="1:35" x14ac:dyDescent="0.2">
      <c r="B11" s="47" t="s">
        <v>42</v>
      </c>
      <c r="C11" s="70">
        <v>8.5299999999999994</v>
      </c>
      <c r="D11" s="71">
        <v>19.686</v>
      </c>
      <c r="E11" s="8">
        <v>24.533000000000001</v>
      </c>
      <c r="F11" s="1">
        <v>44</v>
      </c>
      <c r="G11" s="1">
        <v>30</v>
      </c>
      <c r="H11" s="1">
        <v>56</v>
      </c>
      <c r="I11" s="3"/>
      <c r="J11" s="24"/>
      <c r="K11" s="24"/>
      <c r="L11" s="24"/>
      <c r="M11" s="24"/>
      <c r="R11" s="156" t="s">
        <v>219</v>
      </c>
      <c r="S11" s="193">
        <f>E82/E89</f>
        <v>4.758247764735561</v>
      </c>
      <c r="T11" s="193">
        <f t="shared" ref="T11:AA11" si="8">F82/F89</f>
        <v>3.9587488667271078</v>
      </c>
      <c r="U11" s="193">
        <f t="shared" si="8"/>
        <v>1.2786501687289089</v>
      </c>
      <c r="V11" s="210">
        <f t="shared" si="8"/>
        <v>1.0118917486501706</v>
      </c>
      <c r="W11" s="193">
        <f t="shared" si="8"/>
        <v>1.5534845960055299</v>
      </c>
      <c r="X11" s="193">
        <f t="shared" si="8"/>
        <v>1.7857265150803385</v>
      </c>
      <c r="Y11" s="193">
        <f t="shared" si="8"/>
        <v>1.8478909060863697</v>
      </c>
      <c r="Z11" s="193">
        <f t="shared" si="8"/>
        <v>1.7767142790151813</v>
      </c>
      <c r="AA11" s="193">
        <f t="shared" si="8"/>
        <v>1.6151781183940492</v>
      </c>
      <c r="AB11" s="193">
        <f t="shared" ref="AB11:AB12" si="9">AVERAGE(S11:V11)</f>
        <v>2.7518846372104369</v>
      </c>
      <c r="AD11" s="192"/>
      <c r="AE11" s="192"/>
      <c r="AF11" s="192"/>
      <c r="AG11" s="192"/>
      <c r="AH11" s="192"/>
      <c r="AI11" s="192"/>
    </row>
    <row r="12" spans="1:35" x14ac:dyDescent="0.2">
      <c r="B12" s="47" t="s">
        <v>43</v>
      </c>
      <c r="C12" s="70">
        <v>-198.81</v>
      </c>
      <c r="D12" s="71">
        <v>-471.25900000000001</v>
      </c>
      <c r="E12" s="8">
        <v>-663.07100000000003</v>
      </c>
      <c r="F12" s="1">
        <v>-685</v>
      </c>
      <c r="G12" s="1">
        <v>-748</v>
      </c>
      <c r="H12" s="1">
        <v>-371</v>
      </c>
      <c r="I12" s="1">
        <f>(I74+I77+I80)*I22</f>
        <v>-780.33763648791012</v>
      </c>
      <c r="J12" s="1">
        <f>(J74+J77+J80)*J22</f>
        <v>-1058.7417362725425</v>
      </c>
      <c r="K12" s="1">
        <f>(K74+K77+K80)*K22</f>
        <v>-1317.7308431445349</v>
      </c>
      <c r="L12" s="1">
        <f>(L74+L77+L80)*L22</f>
        <v>-1450.9811675661101</v>
      </c>
      <c r="M12" s="1">
        <f>(M74+M77+M80)*M22</f>
        <v>-1596.6556283595039</v>
      </c>
      <c r="R12" s="25" t="s">
        <v>220</v>
      </c>
      <c r="S12" s="193">
        <f>E10/E15</f>
        <v>6.709770562096927</v>
      </c>
      <c r="T12" s="193">
        <f>F10/F15</f>
        <v>0.62727272727272732</v>
      </c>
      <c r="U12" s="193">
        <f t="shared" ref="U12:AA12" si="10">G10/-G15</f>
        <v>6.8287671232876717</v>
      </c>
      <c r="V12" s="210">
        <f t="shared" si="10"/>
        <v>9.3319027181688128</v>
      </c>
      <c r="W12" s="193">
        <f t="shared" si="10"/>
        <v>7.7444146777829168</v>
      </c>
      <c r="X12" s="193">
        <f t="shared" si="10"/>
        <v>7.7333881190613543</v>
      </c>
      <c r="Y12" s="193">
        <f t="shared" si="10"/>
        <v>7.7349432037665373</v>
      </c>
      <c r="Z12" s="193">
        <f t="shared" si="10"/>
        <v>7.6938458491466211</v>
      </c>
      <c r="AA12" s="193">
        <f t="shared" si="10"/>
        <v>7.7265991179786591</v>
      </c>
      <c r="AB12" s="193">
        <f t="shared" si="9"/>
        <v>5.8744282827065346</v>
      </c>
      <c r="AD12" s="192"/>
      <c r="AE12" s="192"/>
      <c r="AF12" s="192"/>
      <c r="AG12" s="192"/>
      <c r="AH12" s="192"/>
      <c r="AI12" s="192"/>
    </row>
    <row r="13" spans="1:35" x14ac:dyDescent="0.2">
      <c r="B13" s="47" t="s">
        <v>44</v>
      </c>
      <c r="C13" s="69">
        <v>111.27200000000001</v>
      </c>
      <c r="D13" s="69">
        <v>-125.373</v>
      </c>
      <c r="E13" s="2">
        <v>21.866</v>
      </c>
      <c r="F13" s="2">
        <v>45</v>
      </c>
      <c r="G13" s="2">
        <v>-122</v>
      </c>
      <c r="H13" s="2">
        <v>135</v>
      </c>
      <c r="I13" s="15"/>
      <c r="J13" s="15"/>
      <c r="K13" s="15"/>
      <c r="L13" s="15"/>
      <c r="M13" s="15"/>
      <c r="S13" s="193"/>
      <c r="T13" s="193"/>
      <c r="U13" s="193"/>
      <c r="V13" s="210"/>
      <c r="W13" s="193"/>
      <c r="X13" s="193"/>
      <c r="Y13" s="193"/>
      <c r="Z13" s="193"/>
      <c r="AA13" s="193"/>
      <c r="AB13" s="193"/>
      <c r="AD13" s="192"/>
      <c r="AE13" s="192"/>
      <c r="AF13" s="192"/>
      <c r="AG13" s="192"/>
      <c r="AH13" s="192"/>
      <c r="AI13" s="192"/>
    </row>
    <row r="14" spans="1:35" x14ac:dyDescent="0.2">
      <c r="B14" s="72" t="s">
        <v>45</v>
      </c>
      <c r="C14" s="66">
        <v>-746.34799999999996</v>
      </c>
      <c r="D14" s="66">
        <v>-2209.0320000000002</v>
      </c>
      <c r="E14" s="67">
        <v>-1004.745</v>
      </c>
      <c r="F14" s="67">
        <v>-665</v>
      </c>
      <c r="G14" s="67">
        <v>1154</v>
      </c>
      <c r="H14" s="67">
        <v>6343</v>
      </c>
      <c r="I14" s="52">
        <f>I10+I12+I13+I11</f>
        <v>5781.8041858751285</v>
      </c>
      <c r="J14" s="52">
        <f>J10+J12+J13+J11</f>
        <v>7939.6651201185887</v>
      </c>
      <c r="K14" s="52">
        <f>K10+K12+K13+K11</f>
        <v>9865.0037957175919</v>
      </c>
      <c r="L14" s="52">
        <f>L10+L12+L13+L11</f>
        <v>11375.481184402373</v>
      </c>
      <c r="M14" s="52">
        <f>M10+M12+M13+M11</f>
        <v>12063.572459369921</v>
      </c>
      <c r="R14" s="154" t="s">
        <v>226</v>
      </c>
      <c r="S14" s="193"/>
      <c r="T14" s="193"/>
      <c r="U14" s="193"/>
      <c r="V14" s="210"/>
      <c r="W14" s="193"/>
      <c r="X14" s="193"/>
      <c r="Y14" s="193"/>
      <c r="Z14" s="193"/>
      <c r="AA14" s="193"/>
      <c r="AB14" s="193"/>
      <c r="AD14" s="192"/>
      <c r="AE14" s="192"/>
      <c r="AF14" s="192"/>
      <c r="AG14" s="192"/>
      <c r="AH14" s="192"/>
      <c r="AI14" s="192"/>
    </row>
    <row r="15" spans="1:35" ht="17" thickBot="1" x14ac:dyDescent="0.25">
      <c r="B15" s="47" t="s">
        <v>46</v>
      </c>
      <c r="C15" s="69">
        <v>26.698</v>
      </c>
      <c r="D15" s="69">
        <v>31.545999999999999</v>
      </c>
      <c r="E15" s="29">
        <v>-57.837000000000003</v>
      </c>
      <c r="F15" s="29">
        <v>-110</v>
      </c>
      <c r="G15" s="29">
        <v>-292</v>
      </c>
      <c r="H15" s="29">
        <v>-699</v>
      </c>
      <c r="I15" s="118">
        <f>-I14*$I$21</f>
        <v>-847.33864280129933</v>
      </c>
      <c r="J15" s="118">
        <f>-J14*$I$21</f>
        <v>-1163.5788502857813</v>
      </c>
      <c r="K15" s="118">
        <f>-K14*$I$21</f>
        <v>-1445.7423078965446</v>
      </c>
      <c r="L15" s="118">
        <f>-L14*$I$21</f>
        <v>-1667.1067504414787</v>
      </c>
      <c r="M15" s="118">
        <f>-M14*$I$21</f>
        <v>-1767.9483404210896</v>
      </c>
      <c r="R15" s="25" t="s">
        <v>221</v>
      </c>
      <c r="S15" s="193">
        <f t="shared" ref="S15:AA15" si="11">E3/E66</f>
        <v>0.72163909054098685</v>
      </c>
      <c r="T15" s="193">
        <f t="shared" si="11"/>
        <v>0.71637179748753976</v>
      </c>
      <c r="U15" s="193">
        <f t="shared" si="11"/>
        <v>0.60474035437600671</v>
      </c>
      <c r="V15" s="210">
        <f t="shared" si="11"/>
        <v>0.86628253206933736</v>
      </c>
      <c r="W15" s="193">
        <f t="shared" si="11"/>
        <v>0.97180244637536151</v>
      </c>
      <c r="X15" s="193">
        <f t="shared" si="11"/>
        <v>1.0077975049397341</v>
      </c>
      <c r="Y15" s="193">
        <f t="shared" si="11"/>
        <v>1.0054434384854851</v>
      </c>
      <c r="Z15" s="193">
        <f t="shared" si="11"/>
        <v>0.98675372870414524</v>
      </c>
      <c r="AA15" s="193">
        <f t="shared" si="11"/>
        <v>0.96178725332351656</v>
      </c>
      <c r="AB15" s="193">
        <f>AVERAGE(S15:V15)</f>
        <v>0.7272584436184677</v>
      </c>
      <c r="AD15" s="219" t="s">
        <v>259</v>
      </c>
      <c r="AE15" s="192"/>
      <c r="AF15" s="192"/>
      <c r="AG15" s="192"/>
      <c r="AH15" s="192"/>
      <c r="AI15" s="192"/>
    </row>
    <row r="16" spans="1:35" s="13" customFormat="1" ht="17" thickTop="1" x14ac:dyDescent="0.2">
      <c r="A16" s="52"/>
      <c r="B16" s="13" t="s">
        <v>47</v>
      </c>
      <c r="C16" s="65">
        <v>-773.04600000000005</v>
      </c>
      <c r="D16" s="66">
        <v>-2240.578</v>
      </c>
      <c r="E16" s="67">
        <v>-1062.5820000000001</v>
      </c>
      <c r="F16" s="68">
        <v>-775</v>
      </c>
      <c r="G16" s="68">
        <v>862</v>
      </c>
      <c r="H16" s="68">
        <v>5644</v>
      </c>
      <c r="I16" s="52">
        <f>SUM(I14:I15)</f>
        <v>4934.4655430738294</v>
      </c>
      <c r="J16" s="52">
        <f t="shared" ref="J16:M16" si="12">SUM(J14:J15)</f>
        <v>6776.0862698328074</v>
      </c>
      <c r="K16" s="52">
        <f t="shared" si="12"/>
        <v>8419.2614878210479</v>
      </c>
      <c r="L16" s="52">
        <f t="shared" si="12"/>
        <v>9708.3744339608947</v>
      </c>
      <c r="M16" s="52">
        <f t="shared" si="12"/>
        <v>10295.624118948832</v>
      </c>
      <c r="N16" s="52"/>
      <c r="R16" s="156" t="s">
        <v>222</v>
      </c>
      <c r="S16" s="193">
        <f t="shared" ref="S16:AA16" si="13">E4/((D51+E51)/2)</f>
        <v>6.4791899100294712</v>
      </c>
      <c r="T16" s="193">
        <f t="shared" si="13"/>
        <v>6.1538267656807966</v>
      </c>
      <c r="U16" s="193">
        <f t="shared" si="13"/>
        <v>6.5088200705605646</v>
      </c>
      <c r="V16" s="210">
        <f t="shared" si="13"/>
        <v>8.1592615134915807</v>
      </c>
      <c r="W16" s="193">
        <f t="shared" si="13"/>
        <v>8.233463210777062</v>
      </c>
      <c r="X16" s="193">
        <f t="shared" si="13"/>
        <v>6.9910197252400526</v>
      </c>
      <c r="Y16" s="193">
        <f t="shared" si="13"/>
        <v>6.6988784936946848</v>
      </c>
      <c r="Z16" s="193">
        <f t="shared" si="13"/>
        <v>6.4584613402577542</v>
      </c>
      <c r="AA16" s="193">
        <f t="shared" si="13"/>
        <v>6.2349082008448606</v>
      </c>
      <c r="AB16" s="193">
        <f t="shared" ref="AB16:AB17" si="14">AVERAGE(S16:V16)</f>
        <v>6.825274564940603</v>
      </c>
      <c r="AD16" s="192"/>
      <c r="AE16" s="192"/>
      <c r="AF16" s="192"/>
      <c r="AG16" s="192"/>
      <c r="AH16" s="192"/>
      <c r="AI16" s="192"/>
    </row>
    <row r="17" spans="2:35" x14ac:dyDescent="0.2">
      <c r="B17" s="13" t="s">
        <v>233</v>
      </c>
      <c r="C17" s="65"/>
      <c r="D17" s="66">
        <v>-279</v>
      </c>
      <c r="E17" s="67">
        <v>-87</v>
      </c>
      <c r="F17" s="68">
        <v>87</v>
      </c>
      <c r="G17" s="68">
        <v>141</v>
      </c>
      <c r="H17" s="68">
        <v>125</v>
      </c>
      <c r="I17" s="52">
        <f>I3*I28</f>
        <v>146.59128363461431</v>
      </c>
      <c r="J17" s="52">
        <f>J3*J28</f>
        <v>201.01485878430532</v>
      </c>
      <c r="K17" s="52">
        <f>K3*K28</f>
        <v>249.81042312580684</v>
      </c>
      <c r="L17" s="52">
        <f>L3*L28</f>
        <v>286.52955567928188</v>
      </c>
      <c r="M17" s="52">
        <f>M3*M28</f>
        <v>305.15499730555592</v>
      </c>
      <c r="R17" s="156" t="s">
        <v>246</v>
      </c>
      <c r="S17" s="193">
        <f>E137/((D50+E50/2))</f>
        <v>-0.43806900146682654</v>
      </c>
      <c r="T17" s="193">
        <f>F137/((E50+F50/2))</f>
        <v>-0.23275783943360182</v>
      </c>
      <c r="U17" s="193">
        <f t="shared" ref="U17:AA17" si="15">G137/((F50+G50/2))</f>
        <v>-0.24790471989413321</v>
      </c>
      <c r="V17" s="210">
        <f t="shared" si="15"/>
        <v>-9.4986807387862793E-3</v>
      </c>
      <c r="W17" s="193">
        <f t="shared" si="15"/>
        <v>-0.62402244789612882</v>
      </c>
      <c r="X17" s="193">
        <f t="shared" si="15"/>
        <v>-0.22025033834876973</v>
      </c>
      <c r="Y17" s="193">
        <f t="shared" si="15"/>
        <v>-0.1497163531215451</v>
      </c>
      <c r="Z17" s="193">
        <f t="shared" si="15"/>
        <v>-9.3415032195589456E-2</v>
      </c>
      <c r="AA17" s="193">
        <f t="shared" si="15"/>
        <v>-4.2416630392344147E-2</v>
      </c>
      <c r="AB17" s="193">
        <f t="shared" si="14"/>
        <v>-0.23205756038333694</v>
      </c>
      <c r="AD17" s="192"/>
      <c r="AE17" s="192"/>
      <c r="AF17" s="192"/>
      <c r="AG17" s="192"/>
      <c r="AH17" s="192"/>
      <c r="AI17" s="192"/>
    </row>
    <row r="18" spans="2:35" x14ac:dyDescent="0.2">
      <c r="B18" s="13" t="s">
        <v>208</v>
      </c>
      <c r="C18" s="65"/>
      <c r="D18" s="66">
        <v>-1962</v>
      </c>
      <c r="E18" s="67">
        <v>-976</v>
      </c>
      <c r="F18" s="68">
        <v>-862</v>
      </c>
      <c r="G18" s="52">
        <v>721</v>
      </c>
      <c r="H18" s="68">
        <v>5519</v>
      </c>
      <c r="I18" s="52">
        <f>I16-I17</f>
        <v>4787.8742594392152</v>
      </c>
      <c r="J18" s="52">
        <f t="shared" ref="J18:M18" si="16">J16-J17</f>
        <v>6575.0714110485023</v>
      </c>
      <c r="K18" s="52">
        <f t="shared" si="16"/>
        <v>8169.4510646952413</v>
      </c>
      <c r="L18" s="52">
        <f t="shared" si="16"/>
        <v>9421.8448782816122</v>
      </c>
      <c r="M18" s="52">
        <f t="shared" si="16"/>
        <v>9990.4691216432766</v>
      </c>
      <c r="R18" s="156"/>
      <c r="S18" s="193"/>
      <c r="T18" s="193"/>
      <c r="U18" s="193"/>
      <c r="V18" s="210"/>
      <c r="W18" s="193"/>
      <c r="X18" s="193"/>
      <c r="Y18" s="193"/>
      <c r="Z18" s="193"/>
      <c r="AA18" s="193"/>
      <c r="AB18" s="193"/>
      <c r="AD18" s="192"/>
      <c r="AE18" s="192"/>
      <c r="AF18" s="192"/>
      <c r="AG18" s="192"/>
      <c r="AH18" s="192"/>
      <c r="AI18" s="192"/>
    </row>
    <row r="19" spans="2:35" x14ac:dyDescent="0.2">
      <c r="B19" s="205"/>
      <c r="C19" s="205"/>
      <c r="D19" s="206">
        <v>171</v>
      </c>
      <c r="E19" s="207"/>
      <c r="F19" s="205"/>
      <c r="G19" s="205"/>
      <c r="H19" s="205"/>
      <c r="I19" s="205"/>
      <c r="J19" s="205"/>
      <c r="K19" s="205"/>
      <c r="L19" s="205"/>
      <c r="M19" s="205"/>
      <c r="R19" s="172" t="s">
        <v>241</v>
      </c>
      <c r="S19" s="193"/>
      <c r="T19" s="193"/>
      <c r="U19" s="193"/>
      <c r="V19" s="210"/>
      <c r="W19" s="193"/>
      <c r="X19" s="193"/>
      <c r="Y19" s="193"/>
      <c r="Z19" s="193"/>
      <c r="AA19" s="193"/>
      <c r="AB19" s="193"/>
      <c r="AD19" s="192"/>
      <c r="AE19" s="192"/>
      <c r="AF19" s="192"/>
      <c r="AG19" s="192"/>
      <c r="AH19" s="192"/>
      <c r="AI19" s="192"/>
    </row>
    <row r="20" spans="2:35" s="13" customFormat="1" x14ac:dyDescent="0.2">
      <c r="B20" s="205"/>
      <c r="C20" s="205"/>
      <c r="D20" s="206">
        <v>171</v>
      </c>
      <c r="E20" s="207"/>
      <c r="F20" s="205"/>
      <c r="G20" s="205"/>
      <c r="H20" s="205"/>
      <c r="I20" s="205"/>
      <c r="J20" s="205"/>
      <c r="K20" s="205"/>
      <c r="L20" s="205"/>
      <c r="M20" s="205"/>
      <c r="R20" s="156" t="s">
        <v>223</v>
      </c>
      <c r="S20" s="193">
        <f>E5/E3</f>
        <v>0.18834026954977681</v>
      </c>
      <c r="T20" s="193">
        <f t="shared" ref="T20:AA20" si="17">F5/F3</f>
        <v>0.1655545609895028</v>
      </c>
      <c r="U20" s="193">
        <f t="shared" si="17"/>
        <v>0.2102359208523592</v>
      </c>
      <c r="V20" s="210">
        <f t="shared" si="17"/>
        <v>0.25279155751258753</v>
      </c>
      <c r="W20" s="193">
        <f t="shared" si="17"/>
        <v>0.20423057722605659</v>
      </c>
      <c r="X20" s="193">
        <f t="shared" si="17"/>
        <v>0.20423057722605659</v>
      </c>
      <c r="Y20" s="193">
        <f t="shared" si="17"/>
        <v>0.20423057722605659</v>
      </c>
      <c r="Z20" s="193">
        <f t="shared" si="17"/>
        <v>0.20423057722605656</v>
      </c>
      <c r="AA20" s="193">
        <f t="shared" si="17"/>
        <v>0.20423057722605659</v>
      </c>
      <c r="AB20" s="193">
        <f>AVERAGE(S20:V20)</f>
        <v>0.20423057722605659</v>
      </c>
      <c r="AD20" s="219" t="s">
        <v>261</v>
      </c>
      <c r="AE20" s="192"/>
      <c r="AF20" s="192"/>
      <c r="AG20" s="192"/>
      <c r="AH20" s="192"/>
      <c r="AI20" s="192"/>
    </row>
    <row r="21" spans="2:35" x14ac:dyDescent="0.2">
      <c r="B21" s="78" t="s">
        <v>51</v>
      </c>
      <c r="C21" s="79">
        <f t="shared" ref="C21:H21" si="18">ABS(C15/C14)</f>
        <v>3.5771516772336767E-2</v>
      </c>
      <c r="D21" s="80">
        <f t="shared" si="18"/>
        <v>1.4280463116876531E-2</v>
      </c>
      <c r="E21" s="81">
        <f t="shared" si="18"/>
        <v>5.7563859486735446E-2</v>
      </c>
      <c r="F21" s="82">
        <f t="shared" si="18"/>
        <v>0.16541353383458646</v>
      </c>
      <c r="G21" s="82">
        <f t="shared" si="18"/>
        <v>0.2530329289428076</v>
      </c>
      <c r="H21" s="82">
        <f t="shared" si="18"/>
        <v>0.11020022071574964</v>
      </c>
      <c r="I21" s="83">
        <f>AVERAGE(E21:H21)</f>
        <v>0.14655263574496979</v>
      </c>
      <c r="J21" s="83">
        <f>AVERAGE(E21:H21)</f>
        <v>0.14655263574496979</v>
      </c>
      <c r="K21" s="83">
        <f>AVERAGE(E21:H21)</f>
        <v>0.14655263574496979</v>
      </c>
      <c r="L21" s="83">
        <f>AVERAGE(E21:H21)</f>
        <v>0.14655263574496979</v>
      </c>
      <c r="M21" s="83">
        <f>AVERAGE(E21:H21)</f>
        <v>0.14655263574496979</v>
      </c>
      <c r="R21" s="156" t="s">
        <v>224</v>
      </c>
      <c r="S21" s="193">
        <f>E10/E3</f>
        <v>-1.8082482358451512E-2</v>
      </c>
      <c r="T21" s="193">
        <f t="shared" ref="T21:AA21" si="19">F10/F3</f>
        <v>-2.8073887216209618E-3</v>
      </c>
      <c r="U21" s="193">
        <f t="shared" si="19"/>
        <v>6.3229325215626589E-2</v>
      </c>
      <c r="V21" s="210">
        <f t="shared" si="19"/>
        <v>0.12119354179440016</v>
      </c>
      <c r="W21" s="193">
        <f t="shared" si="19"/>
        <v>7.0274649684275492E-2</v>
      </c>
      <c r="X21" s="193">
        <f t="shared" si="19"/>
        <v>7.0274649684275506E-2</v>
      </c>
      <c r="Y21" s="193">
        <f t="shared" si="19"/>
        <v>7.0274649684275506E-2</v>
      </c>
      <c r="Z21" s="193">
        <f t="shared" si="19"/>
        <v>7.0274649684275478E-2</v>
      </c>
      <c r="AA21" s="193">
        <f t="shared" si="19"/>
        <v>7.0274649684275506E-2</v>
      </c>
      <c r="AB21" s="193">
        <f t="shared" ref="AB21" si="20">AVERAGE(S21:V21)</f>
        <v>4.0883248982488567E-2</v>
      </c>
      <c r="AD21" s="219"/>
      <c r="AE21" s="192"/>
      <c r="AF21" s="192"/>
      <c r="AG21" s="192"/>
      <c r="AH21" s="192"/>
      <c r="AI21" s="192"/>
    </row>
    <row r="22" spans="2:35" x14ac:dyDescent="0.2">
      <c r="B22" s="78" t="s">
        <v>52</v>
      </c>
      <c r="C22" s="70"/>
      <c r="D22" s="71"/>
      <c r="E22" s="58">
        <f>E12/(E74+E77+E80)</f>
        <v>-4.5162866558223817E-2</v>
      </c>
      <c r="F22" s="58">
        <f>F12/(F74+F77+F80)</f>
        <v>-4.2615403757621004E-2</v>
      </c>
      <c r="G22" s="58">
        <f>G12/(G74+G77+G80)</f>
        <v>-4.9806898388600349E-2</v>
      </c>
      <c r="H22" s="58">
        <f>H12/(H74+H77+H80)</f>
        <v>-3.5741811175337188E-2</v>
      </c>
      <c r="I22" s="83">
        <f>AVERAGE(E22:H22)</f>
        <v>-4.3331744969945588E-2</v>
      </c>
      <c r="J22" s="83">
        <f t="shared" ref="J22:M22" si="21">AVERAGE(F22:I22)</f>
        <v>-4.2873964572876025E-2</v>
      </c>
      <c r="K22" s="83">
        <f t="shared" si="21"/>
        <v>-4.2938604776689787E-2</v>
      </c>
      <c r="L22" s="83">
        <f t="shared" si="21"/>
        <v>-4.122153137371215E-2</v>
      </c>
      <c r="M22" s="83">
        <f t="shared" si="21"/>
        <v>-4.2591461423305887E-2</v>
      </c>
      <c r="R22" s="156" t="s">
        <v>225</v>
      </c>
      <c r="S22" s="95">
        <f>S29/S26</f>
        <v>-11.625874125874127</v>
      </c>
      <c r="T22" s="95">
        <f>T29/T26</f>
        <v>-85.306122448979593</v>
      </c>
      <c r="U22" s="95">
        <f>U29/U26</f>
        <v>1101.5625</v>
      </c>
      <c r="V22" s="211">
        <f>V29/V26</f>
        <v>215.51020408163265</v>
      </c>
      <c r="W22" s="95">
        <f>W29/W26</f>
        <v>217.26744455032778</v>
      </c>
      <c r="X22" s="95">
        <f>800/X26</f>
        <v>166.06660953341054</v>
      </c>
      <c r="Y22" s="95">
        <f>800/Y26</f>
        <v>146.95668592603039</v>
      </c>
      <c r="Z22" s="95">
        <f>800/Z26</f>
        <v>140.10244276325744</v>
      </c>
      <c r="AA22" s="95">
        <f>800/AA26</f>
        <v>145.2764462068827</v>
      </c>
      <c r="AB22" s="95">
        <f>AVERAGE(S22:V22)</f>
        <v>305.03517687669478</v>
      </c>
      <c r="AD22" s="219" t="s">
        <v>263</v>
      </c>
      <c r="AE22" s="192"/>
      <c r="AF22" s="192"/>
      <c r="AG22" s="192"/>
      <c r="AH22" s="192"/>
      <c r="AI22" s="192"/>
    </row>
    <row r="23" spans="2:35" x14ac:dyDescent="0.2">
      <c r="B23" s="10"/>
      <c r="C23" s="70"/>
      <c r="D23" s="71"/>
      <c r="E23" s="75"/>
      <c r="F23" s="76"/>
      <c r="G23" s="76"/>
      <c r="H23" s="76"/>
      <c r="I23" s="73"/>
      <c r="J23" s="73"/>
      <c r="K23" s="84"/>
      <c r="L23" s="84"/>
      <c r="M23" s="84"/>
      <c r="R23" s="25" t="s">
        <v>243</v>
      </c>
      <c r="S23" s="95">
        <f t="shared" ref="S23:AA23" si="22">S29/(E3/S28)</f>
        <v>0.54845314824827684</v>
      </c>
      <c r="T23" s="95">
        <f t="shared" si="22"/>
        <v>3.0170559036536737</v>
      </c>
      <c r="U23" s="95">
        <f t="shared" si="22"/>
        <v>24.210901826484019</v>
      </c>
      <c r="V23" s="211">
        <f t="shared" si="22"/>
        <v>22.150827713059474</v>
      </c>
      <c r="W23" s="95">
        <f t="shared" si="22"/>
        <v>11.140135409601774</v>
      </c>
      <c r="X23" s="95">
        <f t="shared" si="22"/>
        <v>10.659230896593632</v>
      </c>
      <c r="Y23" s="95">
        <f t="shared" si="22"/>
        <v>9.4306778152073125</v>
      </c>
      <c r="Z23" s="95">
        <f t="shared" si="22"/>
        <v>9.0403130343075464</v>
      </c>
      <c r="AA23" s="95">
        <f t="shared" si="22"/>
        <v>9.3332272581526414</v>
      </c>
      <c r="AB23" s="95">
        <f>AVERAGE(S23:V23)</f>
        <v>12.481809647861361</v>
      </c>
      <c r="AD23" s="218" t="s">
        <v>272</v>
      </c>
      <c r="AE23" s="192"/>
      <c r="AF23" s="192"/>
      <c r="AG23" s="192"/>
      <c r="AH23" s="222"/>
      <c r="AI23" s="192"/>
    </row>
    <row r="24" spans="2:35" x14ac:dyDescent="0.2">
      <c r="B24" s="85" t="s">
        <v>53</v>
      </c>
      <c r="C24" s="70"/>
      <c r="D24" s="71"/>
      <c r="E24" s="75"/>
      <c r="F24" s="76"/>
      <c r="G24" s="76"/>
      <c r="H24" s="76"/>
      <c r="I24" s="73"/>
      <c r="J24" s="73"/>
      <c r="K24" s="73"/>
      <c r="L24" s="84"/>
      <c r="M24" s="84"/>
      <c r="S24" s="193"/>
      <c r="T24" s="193"/>
      <c r="U24" s="193"/>
      <c r="V24" s="210"/>
      <c r="X24" s="193"/>
      <c r="Y24" s="193"/>
      <c r="Z24" s="193"/>
      <c r="AA24" s="193"/>
      <c r="AB24" s="193"/>
    </row>
    <row r="25" spans="2:35" x14ac:dyDescent="0.2">
      <c r="B25" s="86" t="s">
        <v>35</v>
      </c>
      <c r="C25" s="56">
        <f t="shared" ref="C25:H25" si="23">C5/C3</f>
        <v>0.22846097759299394</v>
      </c>
      <c r="D25" s="57">
        <f t="shared" si="23"/>
        <v>0.18900706376042831</v>
      </c>
      <c r="E25" s="58">
        <f t="shared" si="23"/>
        <v>0.18834026954977681</v>
      </c>
      <c r="F25" s="59">
        <f t="shared" si="23"/>
        <v>0.1655545609895028</v>
      </c>
      <c r="G25" s="59">
        <f t="shared" si="23"/>
        <v>0.2102359208523592</v>
      </c>
      <c r="H25" s="59">
        <f t="shared" si="23"/>
        <v>0.25279155751258753</v>
      </c>
      <c r="I25" s="7">
        <f>AVERAGE($E25:$H25)</f>
        <v>0.20423057722605659</v>
      </c>
      <c r="J25" s="7">
        <f t="shared" ref="J25:M28" si="24">AVERAGE($E25:$H25)</f>
        <v>0.20423057722605659</v>
      </c>
      <c r="K25" s="7">
        <f t="shared" si="24"/>
        <v>0.20423057722605659</v>
      </c>
      <c r="L25" s="7">
        <f t="shared" si="24"/>
        <v>0.20423057722605659</v>
      </c>
      <c r="M25" s="7">
        <f t="shared" si="24"/>
        <v>0.20423057722605659</v>
      </c>
      <c r="R25" s="204" t="s">
        <v>48</v>
      </c>
      <c r="S25" s="180">
        <v>-5.72</v>
      </c>
      <c r="T25" s="180">
        <v>-0.98</v>
      </c>
      <c r="U25" s="180">
        <v>0.74</v>
      </c>
      <c r="V25" s="184">
        <v>5.6</v>
      </c>
      <c r="W25" s="180">
        <f>I18/W27</f>
        <v>4.6338132980914581</v>
      </c>
      <c r="X25" s="180">
        <f>J18/X27</f>
        <v>6.0725203579265035</v>
      </c>
      <c r="Y25" s="180">
        <f>K18/Y27</f>
        <v>7.2000264406708308</v>
      </c>
      <c r="Z25" s="180">
        <f>L18/Z27</f>
        <v>7.9240986851680821</v>
      </c>
      <c r="AA25" s="180">
        <f>M18/AA27</f>
        <v>8.0181193753403228</v>
      </c>
      <c r="AB25" s="180">
        <f>AVERAGE(S25:AA25)</f>
        <v>3.7209531285774662</v>
      </c>
    </row>
    <row r="26" spans="2:35" x14ac:dyDescent="0.2">
      <c r="B26" s="86" t="s">
        <v>36</v>
      </c>
      <c r="C26" s="56">
        <f t="shared" ref="C26:H27" si="25">C6/C$3</f>
        <v>0.11919889510654941</v>
      </c>
      <c r="D26" s="57">
        <f t="shared" si="25"/>
        <v>0.11719552527304981</v>
      </c>
      <c r="E26" s="58">
        <f t="shared" si="25"/>
        <v>6.8046771514152851E-2</v>
      </c>
      <c r="F26" s="59">
        <f t="shared" si="25"/>
        <v>5.4642363088941333E-2</v>
      </c>
      <c r="G26" s="59">
        <f t="shared" si="25"/>
        <v>4.7279299847792999E-2</v>
      </c>
      <c r="H26" s="59">
        <f t="shared" si="25"/>
        <v>4.817643015067908E-2</v>
      </c>
      <c r="I26" s="7">
        <f>AVERAGE($F26:$H26)</f>
        <v>5.0032697695804464E-2</v>
      </c>
      <c r="J26" s="7">
        <f t="shared" ref="J26:K26" si="26">AVERAGE($F26:$H26)</f>
        <v>5.0032697695804464E-2</v>
      </c>
      <c r="K26" s="7">
        <f t="shared" si="26"/>
        <v>5.0032697695804464E-2</v>
      </c>
      <c r="L26" s="7">
        <f>AVERAGE($F26:$H26)</f>
        <v>5.0032697695804464E-2</v>
      </c>
      <c r="M26" s="7">
        <f>AVERAGE($F26:$H26)</f>
        <v>5.0032697695804464E-2</v>
      </c>
      <c r="R26" s="204" t="s">
        <v>49</v>
      </c>
      <c r="S26" s="180">
        <v>-5.72</v>
      </c>
      <c r="T26" s="180">
        <v>-0.98</v>
      </c>
      <c r="U26" s="180">
        <v>0.64</v>
      </c>
      <c r="V26" s="184">
        <v>4.9000000000000004</v>
      </c>
      <c r="W26" s="180">
        <f>I18/W28</f>
        <v>3.8569975438997988</v>
      </c>
      <c r="X26" s="180">
        <f>J18/X28</f>
        <v>4.81734409010771</v>
      </c>
      <c r="Y26" s="180">
        <f>K18/Y28</f>
        <v>5.4437809001944588</v>
      </c>
      <c r="Z26" s="180">
        <f>L18/Z28</f>
        <v>5.7101074343994513</v>
      </c>
      <c r="AA26" s="180">
        <f>M18/AA28</f>
        <v>5.5067426337009255</v>
      </c>
      <c r="AB26" s="180">
        <f>AVERAGE(S26:AA26)</f>
        <v>2.6861080669224831</v>
      </c>
      <c r="AD26" s="169" t="s">
        <v>271</v>
      </c>
      <c r="AG26" s="221">
        <f>V26/U26-1</f>
        <v>6.65625</v>
      </c>
    </row>
    <row r="27" spans="2:35" x14ac:dyDescent="0.2">
      <c r="B27" s="86" t="s">
        <v>54</v>
      </c>
      <c r="C27" s="56">
        <f t="shared" si="25"/>
        <v>0.20459457050238478</v>
      </c>
      <c r="D27" s="57">
        <f t="shared" si="25"/>
        <v>0.21060910295659802</v>
      </c>
      <c r="E27" s="58">
        <f t="shared" si="25"/>
        <v>0.13207472177319626</v>
      </c>
      <c r="F27" s="59">
        <f t="shared" si="25"/>
        <v>0.10765725445520384</v>
      </c>
      <c r="G27" s="59">
        <f t="shared" si="25"/>
        <v>9.9727295788939629E-2</v>
      </c>
      <c r="H27" s="59">
        <f t="shared" si="25"/>
        <v>8.3923229845976624E-2</v>
      </c>
      <c r="I27" s="7">
        <f>H27</f>
        <v>8.3923229845976624E-2</v>
      </c>
      <c r="J27" s="7">
        <f>I27-1%</f>
        <v>7.3923229845976629E-2</v>
      </c>
      <c r="K27" s="7">
        <f>I27-1%</f>
        <v>7.3923229845976629E-2</v>
      </c>
      <c r="L27" s="7">
        <f>K27-1%</f>
        <v>6.3923229845976634E-2</v>
      </c>
      <c r="M27" s="7">
        <f>K27-1%</f>
        <v>6.3923229845976634E-2</v>
      </c>
      <c r="P27" s="89"/>
      <c r="R27" s="204" t="s">
        <v>50</v>
      </c>
      <c r="S27" s="75">
        <v>177</v>
      </c>
      <c r="T27" s="76">
        <v>887</v>
      </c>
      <c r="U27" s="76">
        <v>933</v>
      </c>
      <c r="V27" s="212">
        <v>986</v>
      </c>
      <c r="W27" s="76">
        <f t="shared" ref="W27:AA28" si="27">V27*(1+I33)</f>
        <v>1033.2471231439581</v>
      </c>
      <c r="X27" s="76">
        <f t="shared" si="27"/>
        <v>1082.7582327436771</v>
      </c>
      <c r="Y27" s="76">
        <f t="shared" si="27"/>
        <v>1134.6418144450715</v>
      </c>
      <c r="Z27" s="76">
        <f t="shared" si="27"/>
        <v>1189.0115523065019</v>
      </c>
      <c r="AA27" s="76">
        <f t="shared" si="27"/>
        <v>1245.9865778961714</v>
      </c>
      <c r="AB27" s="95">
        <f>AVERAGE(S27:AA27)</f>
        <v>963.18281117059792</v>
      </c>
      <c r="AD27" s="89"/>
      <c r="AE27" s="89"/>
    </row>
    <row r="28" spans="2:35" x14ac:dyDescent="0.2">
      <c r="B28" s="10" t="s">
        <v>233</v>
      </c>
      <c r="C28" s="56"/>
      <c r="D28" s="57">
        <f>D17/D3</f>
        <v>-2.3727009781906259E-2</v>
      </c>
      <c r="E28" s="58">
        <f>E17/E3</f>
        <v>-4.0538145276411437E-3</v>
      </c>
      <c r="F28" s="58">
        <f>F17/F3</f>
        <v>3.5397509968264304E-3</v>
      </c>
      <c r="G28" s="58">
        <f>G17/G3</f>
        <v>4.4710806697108064E-3</v>
      </c>
      <c r="H28" s="58">
        <f>H17/H3</f>
        <v>2.3224272151310776E-3</v>
      </c>
      <c r="I28" s="7">
        <f>AVERAGE($E28:$H28)</f>
        <v>1.5698610885067927E-3</v>
      </c>
      <c r="J28" s="7">
        <f>AVERAGE($E28:$H28)</f>
        <v>1.5698610885067927E-3</v>
      </c>
      <c r="K28" s="7">
        <f t="shared" si="24"/>
        <v>1.5698610885067927E-3</v>
      </c>
      <c r="L28" s="7">
        <f t="shared" si="24"/>
        <v>1.5698610885067927E-3</v>
      </c>
      <c r="M28" s="7">
        <f t="shared" si="24"/>
        <v>1.5698610885067927E-3</v>
      </c>
      <c r="P28" s="89"/>
      <c r="R28" s="204" t="s">
        <v>260</v>
      </c>
      <c r="S28" s="75">
        <v>177</v>
      </c>
      <c r="T28" s="76">
        <v>887</v>
      </c>
      <c r="U28" s="76">
        <v>1083</v>
      </c>
      <c r="V28" s="212">
        <v>1129</v>
      </c>
      <c r="W28" s="76">
        <f t="shared" si="27"/>
        <v>1241.3475002108012</v>
      </c>
      <c r="X28" s="76">
        <f t="shared" si="27"/>
        <v>1364.8747708411029</v>
      </c>
      <c r="Y28" s="76">
        <f t="shared" si="27"/>
        <v>1500.6943178781162</v>
      </c>
      <c r="Z28" s="76">
        <f t="shared" si="27"/>
        <v>1650.0293534796749</v>
      </c>
      <c r="AA28" s="76">
        <f t="shared" si="27"/>
        <v>1814.224812414915</v>
      </c>
      <c r="AB28" s="95">
        <f t="shared" ref="AB28:AB29" si="28">AVERAGE(S28:AA28)</f>
        <v>1205.2411949805123</v>
      </c>
      <c r="AD28" s="89"/>
      <c r="AE28" s="89"/>
    </row>
    <row r="29" spans="2:35" x14ac:dyDescent="0.2">
      <c r="N29" s="90" t="s">
        <v>56</v>
      </c>
      <c r="P29" s="89"/>
      <c r="R29" s="175" t="s">
        <v>242</v>
      </c>
      <c r="S29" s="75">
        <v>66.5</v>
      </c>
      <c r="T29" s="75">
        <v>83.6</v>
      </c>
      <c r="U29" s="75">
        <v>705</v>
      </c>
      <c r="V29" s="212">
        <v>1056</v>
      </c>
      <c r="W29" s="75">
        <v>838</v>
      </c>
      <c r="X29" s="75">
        <v>1000</v>
      </c>
      <c r="Y29" s="75">
        <f>X29</f>
        <v>1000</v>
      </c>
      <c r="Z29" s="75">
        <f>Y29</f>
        <v>1000</v>
      </c>
      <c r="AA29" s="75">
        <f>Z29</f>
        <v>1000</v>
      </c>
      <c r="AB29" s="95">
        <f t="shared" si="28"/>
        <v>749.90000000000009</v>
      </c>
      <c r="AD29" s="89"/>
      <c r="AE29" s="89"/>
    </row>
    <row r="30" spans="2:35" x14ac:dyDescent="0.2">
      <c r="B30" s="86" t="s">
        <v>40</v>
      </c>
      <c r="C30" s="56">
        <f t="shared" ref="C30:H30" si="29">C10/C$3</f>
        <v>-9.533248801594027E-2</v>
      </c>
      <c r="D30" s="57">
        <f t="shared" si="29"/>
        <v>-0.13879756446921956</v>
      </c>
      <c r="E30" s="58">
        <f t="shared" si="29"/>
        <v>-1.8082482358451512E-2</v>
      </c>
      <c r="F30" s="59">
        <f t="shared" si="29"/>
        <v>-2.8073887216209618E-3</v>
      </c>
      <c r="G30" s="59">
        <f t="shared" si="29"/>
        <v>6.3229325215626589E-2</v>
      </c>
      <c r="H30" s="59">
        <f t="shared" si="29"/>
        <v>0.12119354179440016</v>
      </c>
      <c r="I30" s="91">
        <f>AVERAGE(E30:H30)</f>
        <v>4.0883248982488567E-2</v>
      </c>
      <c r="J30" s="91">
        <f>I30</f>
        <v>4.0883248982488567E-2</v>
      </c>
      <c r="K30" s="91">
        <f t="shared" ref="K30:M30" si="30">J30</f>
        <v>4.0883248982488567E-2</v>
      </c>
      <c r="L30" s="91">
        <f t="shared" si="30"/>
        <v>4.0883248982488567E-2</v>
      </c>
      <c r="M30" s="91">
        <f t="shared" si="30"/>
        <v>4.0883248982488567E-2</v>
      </c>
      <c r="N30" s="12">
        <f>AVERAGE(E30:M30)</f>
        <v>4.0883248982488567E-2</v>
      </c>
      <c r="P30" s="89"/>
      <c r="V30" s="209"/>
      <c r="AD30" s="89"/>
      <c r="AE30" s="89"/>
    </row>
    <row r="31" spans="2:35" x14ac:dyDescent="0.2">
      <c r="B31" s="86" t="s">
        <v>45</v>
      </c>
      <c r="C31" s="56">
        <f t="shared" ref="C31:H31" si="31">C14/C$3</f>
        <v>-0.10661913232493329</v>
      </c>
      <c r="D31" s="57">
        <f t="shared" si="31"/>
        <v>-0.18786280957901058</v>
      </c>
      <c r="E31" s="58">
        <f t="shared" si="31"/>
        <v>-4.6816665259480472E-2</v>
      </c>
      <c r="F31" s="59">
        <f t="shared" si="31"/>
        <v>-2.7056717389535356E-2</v>
      </c>
      <c r="G31" s="59">
        <f t="shared" si="31"/>
        <v>3.6593099949264331E-2</v>
      </c>
      <c r="H31" s="59">
        <f t="shared" si="31"/>
        <v>0.11784924660461141</v>
      </c>
      <c r="I31" s="91">
        <f>AVERAGE(E31:H31)</f>
        <v>2.0142240976214976E-2</v>
      </c>
      <c r="J31" s="91">
        <f t="shared" ref="J31:M32" si="32">I31</f>
        <v>2.0142240976214976E-2</v>
      </c>
      <c r="K31" s="91">
        <f t="shared" si="32"/>
        <v>2.0142240976214976E-2</v>
      </c>
      <c r="L31" s="91">
        <f t="shared" si="32"/>
        <v>2.0142240976214976E-2</v>
      </c>
      <c r="M31" s="91">
        <f t="shared" si="32"/>
        <v>2.0142240976214976E-2</v>
      </c>
      <c r="N31" s="12">
        <f>AVERAGE(E31:M31)</f>
        <v>2.0142240976214976E-2</v>
      </c>
      <c r="P31" s="89"/>
      <c r="R31" s="13" t="s">
        <v>244</v>
      </c>
      <c r="S31" s="193"/>
      <c r="T31" s="193"/>
      <c r="U31" s="193"/>
      <c r="V31" s="210"/>
      <c r="W31" s="193"/>
      <c r="X31" s="193"/>
      <c r="Y31" s="193"/>
      <c r="Z31" s="193"/>
      <c r="AA31" s="193"/>
      <c r="AB31" s="193"/>
      <c r="AD31" s="89"/>
      <c r="AE31" s="89"/>
    </row>
    <row r="32" spans="2:35" x14ac:dyDescent="0.2">
      <c r="B32" s="86" t="s">
        <v>47</v>
      </c>
      <c r="C32" s="56">
        <f t="shared" ref="C32:H32" si="33">C16/C$3</f>
        <v>-0.11043306040514664</v>
      </c>
      <c r="D32" s="57">
        <f t="shared" si="33"/>
        <v>-0.19054557750223641</v>
      </c>
      <c r="E32" s="58">
        <f t="shared" si="33"/>
        <v>-4.951161320011474E-2</v>
      </c>
      <c r="F32" s="59">
        <f t="shared" si="33"/>
        <v>-3.1532264626902111E-2</v>
      </c>
      <c r="G32" s="59">
        <f t="shared" si="33"/>
        <v>2.7333840690005072E-2</v>
      </c>
      <c r="H32" s="59">
        <f t="shared" si="33"/>
        <v>0.10486223361759843</v>
      </c>
      <c r="I32" s="91">
        <f>AVERAGE(E32:H32)</f>
        <v>1.2788049120146661E-2</v>
      </c>
      <c r="J32" s="91">
        <f t="shared" si="32"/>
        <v>1.2788049120146661E-2</v>
      </c>
      <c r="K32" s="91">
        <f t="shared" si="32"/>
        <v>1.2788049120146661E-2</v>
      </c>
      <c r="L32" s="91">
        <f t="shared" si="32"/>
        <v>1.2788049120146661E-2</v>
      </c>
      <c r="M32" s="91">
        <f t="shared" si="32"/>
        <v>1.2788049120146661E-2</v>
      </c>
      <c r="N32" s="12">
        <f>AVERAGE(E32:M32)</f>
        <v>1.2788049120146663E-2</v>
      </c>
      <c r="P32" s="89"/>
      <c r="Q32" s="89"/>
      <c r="R32" s="185" t="s">
        <v>256</v>
      </c>
      <c r="S32" s="195">
        <f t="shared" ref="S32:AA32" si="34">E18/((E89+D89)/2)</f>
        <v>-0.21308915412229809</v>
      </c>
      <c r="T32" s="195">
        <f t="shared" si="34"/>
        <v>-0.14937732443550492</v>
      </c>
      <c r="U32" s="195">
        <f t="shared" si="34"/>
        <v>4.9994799431404502E-2</v>
      </c>
      <c r="V32" s="210">
        <f t="shared" si="34"/>
        <v>0.21059258976609302</v>
      </c>
      <c r="W32" s="195">
        <f t="shared" si="34"/>
        <v>0.14661440873891349</v>
      </c>
      <c r="X32" s="195">
        <f t="shared" si="34"/>
        <v>0.17073003984406954</v>
      </c>
      <c r="Y32" s="195">
        <f t="shared" si="34"/>
        <v>0.17717622850130971</v>
      </c>
      <c r="Z32" s="195">
        <f t="shared" si="34"/>
        <v>0.17076912239452358</v>
      </c>
      <c r="AA32" s="195">
        <f t="shared" si="34"/>
        <v>0.15328683012190836</v>
      </c>
      <c r="AB32" s="195">
        <f t="shared" ref="AB32:AB39" si="35">AVERAGE(S32:V32)</f>
        <v>-2.5469772340076371E-2</v>
      </c>
      <c r="AC32" s="89"/>
      <c r="AD32" s="89"/>
      <c r="AE32" s="220" t="s">
        <v>270</v>
      </c>
    </row>
    <row r="33" spans="2:31" x14ac:dyDescent="0.2">
      <c r="B33" s="73" t="s">
        <v>50</v>
      </c>
      <c r="C33" s="56"/>
      <c r="D33" s="57"/>
      <c r="E33" s="178">
        <f>S27/D19-1</f>
        <v>3.5087719298245723E-2</v>
      </c>
      <c r="F33" s="178"/>
      <c r="G33" s="178">
        <f>U27/T27-1</f>
        <v>5.1860202931228949E-2</v>
      </c>
      <c r="H33" s="178">
        <f>V27/U27-1</f>
        <v>5.6806002143622747E-2</v>
      </c>
      <c r="I33" s="91">
        <f>AVERAGE(E33:H33)</f>
        <v>4.7917974791032471E-2</v>
      </c>
      <c r="J33" s="91">
        <f t="shared" ref="J33" si="36">I33</f>
        <v>4.7917974791032471E-2</v>
      </c>
      <c r="K33" s="91">
        <f t="shared" ref="K33" si="37">J33</f>
        <v>4.7917974791032471E-2</v>
      </c>
      <c r="L33" s="91">
        <f t="shared" ref="L33" si="38">K33</f>
        <v>4.7917974791032471E-2</v>
      </c>
      <c r="M33" s="91">
        <f t="shared" ref="M33" si="39">L33</f>
        <v>4.7917974791032471E-2</v>
      </c>
      <c r="N33" s="12">
        <f>AVERAGE(E33:M33)</f>
        <v>4.7917974791032478E-2</v>
      </c>
      <c r="P33" s="89"/>
      <c r="Q33" s="89"/>
      <c r="R33" s="186" t="s">
        <v>245</v>
      </c>
      <c r="S33" s="196">
        <f t="shared" ref="S33:AA33" si="40">((D66+E66)/2)/((E89+D89)/2)</f>
        <v>6.3746609486288106</v>
      </c>
      <c r="T33" s="196">
        <f t="shared" si="40"/>
        <v>5.5495421073795947</v>
      </c>
      <c r="U33" s="196">
        <f t="shared" si="40"/>
        <v>2.99750372707416</v>
      </c>
      <c r="V33" s="213">
        <f t="shared" si="40"/>
        <v>2.1803144198115008</v>
      </c>
      <c r="W33" s="196">
        <f t="shared" si="40"/>
        <v>2.4224924018467471</v>
      </c>
      <c r="X33" s="196">
        <f t="shared" si="40"/>
        <v>2.8971015954677366</v>
      </c>
      <c r="Y33" s="196">
        <f t="shared" si="40"/>
        <v>3.0939936314680634</v>
      </c>
      <c r="Z33" s="196">
        <f t="shared" si="40"/>
        <v>3.1105493555808978</v>
      </c>
      <c r="AA33" s="196">
        <f t="shared" si="40"/>
        <v>2.9695104499893521</v>
      </c>
      <c r="AB33" s="196">
        <f>AVERAGE(S33:V33)</f>
        <v>4.2755053007235171</v>
      </c>
      <c r="AC33" s="228" t="s">
        <v>247</v>
      </c>
      <c r="AD33" s="89"/>
      <c r="AE33" s="220" t="s">
        <v>264</v>
      </c>
    </row>
    <row r="34" spans="2:31" x14ac:dyDescent="0.2">
      <c r="B34" s="73" t="s">
        <v>207</v>
      </c>
      <c r="C34" s="70"/>
      <c r="D34" s="71"/>
      <c r="E34" s="178">
        <f>S28/D20-1</f>
        <v>3.5087719298245723E-2</v>
      </c>
      <c r="F34" s="178"/>
      <c r="G34" s="178">
        <f>U28/T28-1</f>
        <v>0.22096956031567072</v>
      </c>
      <c r="H34" s="178">
        <f>V28/U28-1</f>
        <v>4.2474607571560519E-2</v>
      </c>
      <c r="I34" s="179">
        <f>AVERAGE(E34:H34)</f>
        <v>9.9510629061825659E-2</v>
      </c>
      <c r="J34" s="91">
        <f>I34</f>
        <v>9.9510629061825659E-2</v>
      </c>
      <c r="K34" s="91">
        <f t="shared" ref="K34" si="41">J34</f>
        <v>9.9510629061825659E-2</v>
      </c>
      <c r="L34" s="91">
        <f t="shared" ref="L34" si="42">K34</f>
        <v>9.9510629061825659E-2</v>
      </c>
      <c r="M34" s="91">
        <f t="shared" ref="M34" si="43">L34</f>
        <v>9.9510629061825659E-2</v>
      </c>
      <c r="N34" s="12">
        <f>AVERAGE(E34:M34)</f>
        <v>9.9510629061825645E-2</v>
      </c>
      <c r="P34" s="89"/>
      <c r="Q34" s="230" t="s">
        <v>248</v>
      </c>
      <c r="R34" s="187" t="s">
        <v>254</v>
      </c>
      <c r="S34" s="197">
        <f t="shared" ref="S34:AA34" si="44">E16/((D66+E66)/2)</f>
        <v>-3.6392919076990625E-2</v>
      </c>
      <c r="T34" s="197">
        <f t="shared" si="44"/>
        <v>-2.4200367552059752E-2</v>
      </c>
      <c r="U34" s="197">
        <f t="shared" si="44"/>
        <v>1.9940548480747656E-2</v>
      </c>
      <c r="V34" s="214">
        <f t="shared" si="44"/>
        <v>9.8775803078430854E-2</v>
      </c>
      <c r="W34" s="197">
        <f t="shared" si="44"/>
        <v>6.2375151592710981E-2</v>
      </c>
      <c r="X34" s="197">
        <f t="shared" si="44"/>
        <v>6.073299086345036E-2</v>
      </c>
      <c r="Y34" s="197">
        <f t="shared" si="44"/>
        <v>5.901564524244992E-2</v>
      </c>
      <c r="Z34" s="197">
        <f t="shared" si="44"/>
        <v>5.6569562237626214E-2</v>
      </c>
      <c r="AA34" s="197">
        <f t="shared" si="44"/>
        <v>5.3196956011925062E-2</v>
      </c>
      <c r="AB34" s="198">
        <f t="shared" si="35"/>
        <v>1.4530766232532032E-2</v>
      </c>
      <c r="AC34" s="229"/>
      <c r="AD34" s="89"/>
      <c r="AE34" s="220" t="s">
        <v>265</v>
      </c>
    </row>
    <row r="35" spans="2:31" x14ac:dyDescent="0.2">
      <c r="C35" s="70"/>
      <c r="D35" s="71"/>
      <c r="E35" s="8"/>
      <c r="F35" s="1"/>
      <c r="G35" s="1"/>
      <c r="H35" s="1"/>
      <c r="I35" s="93"/>
      <c r="J35" s="93"/>
      <c r="K35" s="93"/>
      <c r="L35" s="93"/>
      <c r="M35" s="93"/>
      <c r="N35" s="12"/>
      <c r="P35" s="89"/>
      <c r="Q35" s="231"/>
      <c r="R35" s="188" t="s">
        <v>255</v>
      </c>
      <c r="S35" s="199">
        <f t="shared" ref="S35:AA35" si="45">E3/((E66+D66)/2)</f>
        <v>0.73503803905355847</v>
      </c>
      <c r="T35" s="199">
        <f t="shared" si="45"/>
        <v>0.76747952734777369</v>
      </c>
      <c r="U35" s="199">
        <f t="shared" si="45"/>
        <v>0.72951872028869846</v>
      </c>
      <c r="V35" s="215">
        <f t="shared" si="45"/>
        <v>0.94195784002310134</v>
      </c>
      <c r="W35" s="199">
        <f t="shared" si="45"/>
        <v>1.1803706883248546</v>
      </c>
      <c r="X35" s="199">
        <f t="shared" si="45"/>
        <v>1.1476585027173525</v>
      </c>
      <c r="Y35" s="199">
        <f t="shared" si="45"/>
        <v>1.1154304387816669</v>
      </c>
      <c r="Z35" s="199">
        <f t="shared" si="45"/>
        <v>1.0635171594412562</v>
      </c>
      <c r="AA35" s="199">
        <f t="shared" si="45"/>
        <v>1.0043691514180104</v>
      </c>
      <c r="AB35" s="200">
        <f t="shared" si="35"/>
        <v>0.79349853167828299</v>
      </c>
      <c r="AC35" s="233" t="s">
        <v>249</v>
      </c>
      <c r="AD35" s="89"/>
      <c r="AE35" s="220" t="s">
        <v>266</v>
      </c>
    </row>
    <row r="36" spans="2:31" x14ac:dyDescent="0.2">
      <c r="B36" s="92" t="s">
        <v>57</v>
      </c>
      <c r="C36" s="56"/>
      <c r="D36" s="57"/>
      <c r="E36" s="58"/>
      <c r="F36" s="59"/>
      <c r="G36" s="59"/>
      <c r="H36" s="59"/>
      <c r="I36" s="10"/>
      <c r="J36" s="10"/>
      <c r="K36" s="12"/>
      <c r="L36" s="12"/>
      <c r="M36" s="10"/>
      <c r="P36" s="89"/>
      <c r="Q36" s="232"/>
      <c r="R36" s="189" t="s">
        <v>250</v>
      </c>
      <c r="S36" s="201">
        <f t="shared" ref="S36:AA36" si="46">E16/E3</f>
        <v>-4.951161320011474E-2</v>
      </c>
      <c r="T36" s="201">
        <f t="shared" si="46"/>
        <v>-3.1532264626902111E-2</v>
      </c>
      <c r="U36" s="201">
        <f t="shared" si="46"/>
        <v>2.7333840690005072E-2</v>
      </c>
      <c r="V36" s="216">
        <f t="shared" si="46"/>
        <v>0.10486223361759843</v>
      </c>
      <c r="W36" s="201">
        <f t="shared" si="46"/>
        <v>5.2843697500851917E-2</v>
      </c>
      <c r="X36" s="201">
        <f t="shared" si="46"/>
        <v>5.2919044053305629E-2</v>
      </c>
      <c r="Y36" s="201">
        <f t="shared" si="46"/>
        <v>5.2908404854819971E-2</v>
      </c>
      <c r="Z36" s="201">
        <f t="shared" si="46"/>
        <v>5.3191019755004579E-2</v>
      </c>
      <c r="AA36" s="201">
        <f t="shared" si="46"/>
        <v>5.2965541540995531E-2</v>
      </c>
      <c r="AB36" s="202">
        <f t="shared" si="35"/>
        <v>1.2788049120146661E-2</v>
      </c>
      <c r="AC36" s="234"/>
      <c r="AD36" s="89"/>
      <c r="AE36" s="220" t="s">
        <v>267</v>
      </c>
    </row>
    <row r="37" spans="2:31" x14ac:dyDescent="0.2">
      <c r="B37" s="10" t="s">
        <v>32</v>
      </c>
      <c r="C37" s="56"/>
      <c r="D37" s="57"/>
      <c r="E37" s="58">
        <f t="shared" ref="E37:M37" si="47">E3/D3-1</f>
        <v>0.82513159773516764</v>
      </c>
      <c r="F37" s="59">
        <f t="shared" si="47"/>
        <v>0.14522590184326489</v>
      </c>
      <c r="G37" s="59">
        <f t="shared" si="47"/>
        <v>0.28309870615998056</v>
      </c>
      <c r="H37" s="59">
        <f t="shared" si="47"/>
        <v>0.70671613394216126</v>
      </c>
      <c r="I37" s="59">
        <f t="shared" si="47"/>
        <v>0.73491827579649782</v>
      </c>
      <c r="J37" s="59">
        <f t="shared" si="47"/>
        <v>0.37126064933945413</v>
      </c>
      <c r="K37" s="59">
        <f t="shared" si="47"/>
        <v>0.24274605686667439</v>
      </c>
      <c r="L37" s="59">
        <f t="shared" si="47"/>
        <v>0.14698799231040471</v>
      </c>
      <c r="M37" s="59">
        <f t="shared" si="47"/>
        <v>6.500356161205878E-2</v>
      </c>
      <c r="N37" s="12">
        <f t="shared" ref="N37:N43" si="48">AVERAGE(E37:M37)</f>
        <v>0.39123209728951824</v>
      </c>
      <c r="P37" s="89"/>
      <c r="Q37" s="89"/>
      <c r="R37" s="190" t="s">
        <v>251</v>
      </c>
      <c r="S37" s="195">
        <f t="shared" ref="S37:AA37" si="49">E10/E3</f>
        <v>-1.8082482358451512E-2</v>
      </c>
      <c r="T37" s="195">
        <f t="shared" si="49"/>
        <v>-2.8073887216209618E-3</v>
      </c>
      <c r="U37" s="195">
        <f t="shared" si="49"/>
        <v>6.3229325215626589E-2</v>
      </c>
      <c r="V37" s="210">
        <f t="shared" si="49"/>
        <v>0.12119354179440016</v>
      </c>
      <c r="W37" s="195">
        <f t="shared" si="49"/>
        <v>7.0274649684275492E-2</v>
      </c>
      <c r="X37" s="195">
        <f t="shared" si="49"/>
        <v>7.0274649684275506E-2</v>
      </c>
      <c r="Y37" s="195">
        <f t="shared" si="49"/>
        <v>7.0274649684275506E-2</v>
      </c>
      <c r="Z37" s="195">
        <f t="shared" si="49"/>
        <v>7.0274649684275478E-2</v>
      </c>
      <c r="AA37" s="195">
        <f t="shared" si="49"/>
        <v>7.0274649684275506E-2</v>
      </c>
      <c r="AB37" s="195">
        <f t="shared" si="35"/>
        <v>4.0883248982488567E-2</v>
      </c>
      <c r="AC37" s="234"/>
      <c r="AD37" s="89"/>
      <c r="AE37" s="220" t="s">
        <v>267</v>
      </c>
    </row>
    <row r="38" spans="2:31" ht="16" customHeight="1" x14ac:dyDescent="0.2">
      <c r="B38" s="10" t="s">
        <v>34</v>
      </c>
      <c r="C38" s="56"/>
      <c r="D38" s="57"/>
      <c r="E38" s="58">
        <f t="shared" ref="E38:M38" si="50">E4/D4-1</f>
        <v>0.82663221152434541</v>
      </c>
      <c r="F38" s="59">
        <f t="shared" si="50"/>
        <v>0.17737580734689629</v>
      </c>
      <c r="G38" s="59">
        <f t="shared" si="50"/>
        <v>0.21439368082305332</v>
      </c>
      <c r="H38" s="59">
        <f t="shared" si="50"/>
        <v>0.61475146551031878</v>
      </c>
      <c r="I38" s="59">
        <f t="shared" si="50"/>
        <v>0.84767039073411166</v>
      </c>
      <c r="J38" s="59">
        <f t="shared" si="50"/>
        <v>0.37126064933945391</v>
      </c>
      <c r="K38" s="59">
        <f t="shared" si="50"/>
        <v>0.24274605686667461</v>
      </c>
      <c r="L38" s="59">
        <f t="shared" si="50"/>
        <v>0.14698799231040494</v>
      </c>
      <c r="M38" s="59">
        <f t="shared" si="50"/>
        <v>6.5003561612058558E-2</v>
      </c>
      <c r="N38" s="12">
        <f t="shared" si="48"/>
        <v>0.38964686845192409</v>
      </c>
      <c r="P38" s="89"/>
      <c r="Q38" s="89"/>
      <c r="R38" s="190" t="s">
        <v>253</v>
      </c>
      <c r="S38" s="195">
        <f t="shared" ref="S38:AA38" si="51">E14/E10</f>
        <v>2.589061851765003</v>
      </c>
      <c r="T38" s="195">
        <f t="shared" si="51"/>
        <v>9.6376811594202891</v>
      </c>
      <c r="U38" s="195">
        <f t="shared" si="51"/>
        <v>0.5787362086258776</v>
      </c>
      <c r="V38" s="210">
        <f t="shared" si="51"/>
        <v>0.97240533496857273</v>
      </c>
      <c r="W38" s="195">
        <f t="shared" si="51"/>
        <v>0.88108491745353512</v>
      </c>
      <c r="X38" s="195">
        <f t="shared" si="51"/>
        <v>0.88234120181834519</v>
      </c>
      <c r="Y38" s="195">
        <f t="shared" si="51"/>
        <v>0.88216381004292366</v>
      </c>
      <c r="Z38" s="195">
        <f t="shared" si="51"/>
        <v>0.8868759656598979</v>
      </c>
      <c r="AA38" s="195">
        <f t="shared" si="51"/>
        <v>0.88311647374367552</v>
      </c>
      <c r="AB38" s="195">
        <f t="shared" si="35"/>
        <v>3.4444711386949352</v>
      </c>
      <c r="AC38" s="234"/>
      <c r="AD38" s="89"/>
      <c r="AE38" s="207" t="s">
        <v>269</v>
      </c>
    </row>
    <row r="39" spans="2:31" x14ac:dyDescent="0.2">
      <c r="B39" s="86" t="s">
        <v>35</v>
      </c>
      <c r="C39" s="56"/>
      <c r="D39" s="57">
        <f>D5/C5-1</f>
        <v>0.38969971680599169</v>
      </c>
      <c r="E39" s="58">
        <f t="shared" ref="E39:M39" si="52">E5/D5-1</f>
        <v>0.81869275275850861</v>
      </c>
      <c r="F39" s="59">
        <f t="shared" si="52"/>
        <v>6.6746313292287418E-3</v>
      </c>
      <c r="G39" s="59">
        <f t="shared" si="52"/>
        <v>0.62939297124600646</v>
      </c>
      <c r="H39" s="59">
        <f t="shared" si="52"/>
        <v>1.0521870286576167</v>
      </c>
      <c r="I39" s="93">
        <f t="shared" si="52"/>
        <v>0.40164238233434801</v>
      </c>
      <c r="J39" s="93">
        <f t="shared" si="52"/>
        <v>0.37126064933945413</v>
      </c>
      <c r="K39" s="93">
        <f t="shared" si="52"/>
        <v>0.24274605686667439</v>
      </c>
      <c r="L39" s="93">
        <f t="shared" si="52"/>
        <v>0.14698799231040471</v>
      </c>
      <c r="M39" s="93">
        <f t="shared" si="52"/>
        <v>6.5003561612059002E-2</v>
      </c>
      <c r="N39" s="12">
        <f t="shared" si="48"/>
        <v>0.41495422516158897</v>
      </c>
      <c r="P39" s="89"/>
      <c r="Q39" s="89"/>
      <c r="R39" s="191" t="s">
        <v>252</v>
      </c>
      <c r="S39" s="203">
        <f t="shared" ref="S39:AA39" si="53">E16/E14</f>
        <v>1.0575638594867356</v>
      </c>
      <c r="T39" s="203">
        <f t="shared" si="53"/>
        <v>1.1654135338345866</v>
      </c>
      <c r="U39" s="203">
        <f t="shared" si="53"/>
        <v>0.7469670710571924</v>
      </c>
      <c r="V39" s="217">
        <f t="shared" si="53"/>
        <v>0.88979977928425036</v>
      </c>
      <c r="W39" s="203">
        <f t="shared" si="53"/>
        <v>0.85344736425503021</v>
      </c>
      <c r="X39" s="203">
        <f t="shared" si="53"/>
        <v>0.85344736425503021</v>
      </c>
      <c r="Y39" s="203">
        <f t="shared" si="53"/>
        <v>0.85344736425503032</v>
      </c>
      <c r="Z39" s="203">
        <f t="shared" si="53"/>
        <v>0.85344736425503021</v>
      </c>
      <c r="AA39" s="203">
        <f t="shared" si="53"/>
        <v>0.85344736425503021</v>
      </c>
      <c r="AB39" s="203">
        <f t="shared" si="35"/>
        <v>0.96493606091569128</v>
      </c>
      <c r="AC39" s="235"/>
      <c r="AE39" s="205" t="s">
        <v>268</v>
      </c>
    </row>
    <row r="40" spans="2:31" x14ac:dyDescent="0.2">
      <c r="B40" s="86" t="s">
        <v>58</v>
      </c>
      <c r="C40" s="56"/>
      <c r="D40" s="57"/>
      <c r="E40" s="58"/>
      <c r="F40" s="59">
        <f t="shared" ref="F40:M40" si="54">F9/E9-1</f>
        <v>-6.5934041128698384E-2</v>
      </c>
      <c r="G40" s="59">
        <f t="shared" si="54"/>
        <v>0.12034799420009668</v>
      </c>
      <c r="H40" s="59">
        <f t="shared" si="54"/>
        <v>0.52782571182053495</v>
      </c>
      <c r="I40" s="59">
        <f t="shared" si="54"/>
        <v>0.76600373170663572</v>
      </c>
      <c r="J40" s="59">
        <f t="shared" si="54"/>
        <v>0.37126064933945413</v>
      </c>
      <c r="K40" s="59">
        <f t="shared" si="54"/>
        <v>0.24274605686667439</v>
      </c>
      <c r="L40" s="59">
        <f t="shared" si="54"/>
        <v>0.14698799231040494</v>
      </c>
      <c r="M40" s="59">
        <f t="shared" si="54"/>
        <v>6.500356161205878E-2</v>
      </c>
      <c r="N40" s="12">
        <f t="shared" si="48"/>
        <v>0.27178020709089512</v>
      </c>
      <c r="P40" s="89"/>
    </row>
    <row r="41" spans="2:31" x14ac:dyDescent="0.2">
      <c r="B41" s="86" t="s">
        <v>40</v>
      </c>
      <c r="C41" s="56"/>
      <c r="D41" s="57">
        <f>(D10-C10)/-C10</f>
        <v>-1.4456588845266281</v>
      </c>
      <c r="E41" s="58">
        <f>(E10-D10)/-D10</f>
        <v>0.76222270149979832</v>
      </c>
      <c r="F41" s="59">
        <f>(F10-E10)/-E10</f>
        <v>0.82219840081634121</v>
      </c>
      <c r="G41" s="94">
        <f>(G10-F10)/-F10</f>
        <v>29.89855072463768</v>
      </c>
      <c r="H41" s="59">
        <f t="shared" ref="H41:M41" si="55">H10/G10-1</f>
        <v>2.2713139418254764</v>
      </c>
      <c r="I41" s="93">
        <f t="shared" si="55"/>
        <v>6.0005859823759611E-3</v>
      </c>
      <c r="J41" s="93">
        <f t="shared" si="55"/>
        <v>0.37126064933945435</v>
      </c>
      <c r="K41" s="93">
        <f t="shared" si="55"/>
        <v>0.24274605686667439</v>
      </c>
      <c r="L41" s="93">
        <f t="shared" si="55"/>
        <v>0.14698799231040427</v>
      </c>
      <c r="M41" s="93">
        <f t="shared" si="55"/>
        <v>6.5003561612059224E-2</v>
      </c>
      <c r="N41" s="12">
        <f t="shared" si="48"/>
        <v>3.8429205127655854</v>
      </c>
      <c r="P41" s="89"/>
    </row>
    <row r="42" spans="2:31" x14ac:dyDescent="0.2">
      <c r="B42" s="86" t="s">
        <v>59</v>
      </c>
      <c r="C42" s="56"/>
      <c r="D42" s="57">
        <f>D14/C14-1</f>
        <v>1.9597881953190739</v>
      </c>
      <c r="E42" s="58">
        <f>(E14-D14)/-D14</f>
        <v>0.54516503156133556</v>
      </c>
      <c r="F42" s="59">
        <f>(F14-E14)/-E14</f>
        <v>0.33814052321733373</v>
      </c>
      <c r="G42" s="59">
        <f>(G14-F14)/-F14</f>
        <v>2.7353383458646618</v>
      </c>
      <c r="H42" s="59">
        <f t="shared" ref="H42:M42" si="56">H14/G14-1</f>
        <v>4.4965337954939342</v>
      </c>
      <c r="I42" s="93">
        <f t="shared" si="56"/>
        <v>-8.84748248659738E-2</v>
      </c>
      <c r="J42" s="93">
        <f t="shared" si="56"/>
        <v>0.37321584489407056</v>
      </c>
      <c r="K42" s="93">
        <f t="shared" si="56"/>
        <v>0.24249620688916984</v>
      </c>
      <c r="L42" s="93">
        <f t="shared" si="56"/>
        <v>0.15311472960005168</v>
      </c>
      <c r="M42" s="93">
        <f t="shared" si="56"/>
        <v>6.0488981856084756E-2</v>
      </c>
      <c r="N42" s="12">
        <f t="shared" si="48"/>
        <v>0.98400207050118538</v>
      </c>
      <c r="P42" s="89"/>
    </row>
    <row r="43" spans="2:31" x14ac:dyDescent="0.2">
      <c r="B43" s="86" t="s">
        <v>47</v>
      </c>
      <c r="C43" s="56"/>
      <c r="D43" s="57">
        <f>D16/C16-1</f>
        <v>1.8983760345438689</v>
      </c>
      <c r="E43" s="58">
        <f>(E16-D16)/-D16</f>
        <v>0.5257554077563914</v>
      </c>
      <c r="F43" s="59">
        <f>(F16-E16)/-E16</f>
        <v>0.2706445243755306</v>
      </c>
      <c r="G43" s="59">
        <f>(G16-F16)/-F16</f>
        <v>2.1122580645161291</v>
      </c>
      <c r="H43" s="59">
        <f t="shared" ref="H43:M43" si="57">H16/G16-1</f>
        <v>5.5475638051044083</v>
      </c>
      <c r="I43" s="93">
        <f t="shared" si="57"/>
        <v>-0.12571482227607556</v>
      </c>
      <c r="J43" s="93">
        <f t="shared" si="57"/>
        <v>0.37321584489407056</v>
      </c>
      <c r="K43" s="93">
        <f t="shared" si="57"/>
        <v>0.24249620688917006</v>
      </c>
      <c r="L43" s="93">
        <f t="shared" si="57"/>
        <v>0.15311472960005146</v>
      </c>
      <c r="M43" s="93">
        <f t="shared" si="57"/>
        <v>6.0488981856084756E-2</v>
      </c>
      <c r="N43" s="12">
        <f t="shared" si="48"/>
        <v>1.0177580825239734</v>
      </c>
    </row>
    <row r="45" spans="2:31" x14ac:dyDescent="0.2">
      <c r="B45" s="38" t="s">
        <v>61</v>
      </c>
      <c r="C45" s="39">
        <v>2016</v>
      </c>
      <c r="D45" s="63">
        <v>2017</v>
      </c>
      <c r="E45" s="64">
        <v>2018</v>
      </c>
      <c r="F45" s="40">
        <v>2019</v>
      </c>
      <c r="G45" s="40">
        <v>2020</v>
      </c>
      <c r="H45" s="40">
        <v>2021</v>
      </c>
      <c r="I45" s="41">
        <v>2022</v>
      </c>
      <c r="J45" s="41">
        <v>2023</v>
      </c>
      <c r="K45" s="41">
        <v>2024</v>
      </c>
      <c r="L45" s="41">
        <v>2025</v>
      </c>
      <c r="M45" s="41">
        <v>2025</v>
      </c>
    </row>
    <row r="46" spans="2:31" x14ac:dyDescent="0.2">
      <c r="B46" s="14" t="s">
        <v>62</v>
      </c>
      <c r="C46" s="95"/>
      <c r="D46" s="96"/>
      <c r="E46" s="96"/>
      <c r="F46" s="95"/>
      <c r="G46" s="95"/>
      <c r="H46" s="95"/>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7">
        <f>H47+I205</f>
        <v>8958.3472593286224</v>
      </c>
      <c r="J47" s="177">
        <f t="shared" ref="J47:M47" si="58">I47+J205</f>
        <v>7701.6522537636174</v>
      </c>
      <c r="K47" s="177">
        <f t="shared" si="58"/>
        <v>10021.633798175246</v>
      </c>
      <c r="L47" s="177">
        <f t="shared" si="58"/>
        <v>14981.891797866452</v>
      </c>
      <c r="M47" s="177">
        <f t="shared" si="58"/>
        <v>21091.013681916113</v>
      </c>
    </row>
    <row r="48" spans="2:31" x14ac:dyDescent="0.2">
      <c r="B48" s="25" t="s">
        <v>64</v>
      </c>
      <c r="C48" s="3">
        <v>105.51900000000001</v>
      </c>
      <c r="D48" s="5"/>
      <c r="E48" s="5"/>
      <c r="F48" s="3">
        <v>246</v>
      </c>
      <c r="G48" s="3"/>
      <c r="H48" s="3"/>
      <c r="I48" s="24"/>
      <c r="J48" s="24"/>
      <c r="K48" s="24"/>
      <c r="L48" s="24"/>
      <c r="M48" s="24"/>
    </row>
    <row r="49" spans="2:27" x14ac:dyDescent="0.2">
      <c r="B49" s="25" t="s">
        <v>65</v>
      </c>
      <c r="C49" s="3"/>
      <c r="D49" s="5">
        <v>155.32300000000001</v>
      </c>
      <c r="E49" s="5">
        <v>192.55099999999999</v>
      </c>
      <c r="F49" s="3"/>
      <c r="G49" s="3"/>
      <c r="H49" s="3">
        <v>131</v>
      </c>
      <c r="I49" s="24"/>
      <c r="J49" s="24"/>
      <c r="K49" s="24"/>
      <c r="L49" s="24"/>
      <c r="M49" s="24"/>
    </row>
    <row r="50" spans="2:27" x14ac:dyDescent="0.2">
      <c r="B50" s="25" t="s">
        <v>66</v>
      </c>
      <c r="C50" s="3">
        <v>499.142</v>
      </c>
      <c r="D50" s="5">
        <v>515.38100000000009</v>
      </c>
      <c r="E50" s="5">
        <v>949.02199999999993</v>
      </c>
      <c r="F50" s="3">
        <v>1324</v>
      </c>
      <c r="G50" s="3">
        <v>1886</v>
      </c>
      <c r="H50" s="3">
        <v>1913</v>
      </c>
      <c r="I50" s="24">
        <f>I3/365*I94</f>
        <v>4515.7058530134636</v>
      </c>
      <c r="J50" s="24">
        <f>J3/365*J94</f>
        <v>6192.2097402292147</v>
      </c>
      <c r="K50" s="24">
        <f>K3/365*K94</f>
        <v>7695.3442379612716</v>
      </c>
      <c r="L50" s="24">
        <f>L3/365*L94</f>
        <v>8826.467437636642</v>
      </c>
      <c r="M50" s="24">
        <f>M3/365*M94</f>
        <v>9400.219257535884</v>
      </c>
    </row>
    <row r="51" spans="2:27" x14ac:dyDescent="0.2">
      <c r="B51" s="25" t="s">
        <v>67</v>
      </c>
      <c r="C51" s="3">
        <v>2067.4540000000002</v>
      </c>
      <c r="D51" s="5">
        <v>2263.5369999999998</v>
      </c>
      <c r="E51" s="5">
        <v>3113.4459999999999</v>
      </c>
      <c r="F51" s="3">
        <v>3552</v>
      </c>
      <c r="G51" s="3">
        <v>4101</v>
      </c>
      <c r="H51" s="3">
        <v>5757</v>
      </c>
      <c r="I51" s="24">
        <f>I$3/365*I95</f>
        <v>12293.183307284304</v>
      </c>
      <c r="J51" s="24">
        <f>J3/365*J95</f>
        <v>16857.158524395611</v>
      </c>
      <c r="K51" s="24">
        <f>K3/365*K95</f>
        <v>20949.167286169097</v>
      </c>
      <c r="L51" s="24">
        <f>L3/365*L95</f>
        <v>24028.443326137902</v>
      </c>
      <c r="M51" s="24">
        <f>M3/365*M95</f>
        <v>25590.37772233037</v>
      </c>
    </row>
    <row r="52" spans="2:27" x14ac:dyDescent="0.2">
      <c r="B52" s="25" t="s">
        <v>68</v>
      </c>
      <c r="C52" s="4">
        <v>194.465</v>
      </c>
      <c r="D52" s="4">
        <v>268.36500000000001</v>
      </c>
      <c r="E52" s="4">
        <v>365.67099999999999</v>
      </c>
      <c r="F52" s="4">
        <v>713</v>
      </c>
      <c r="G52" s="4">
        <v>1346</v>
      </c>
      <c r="H52" s="4">
        <v>1723</v>
      </c>
      <c r="I52" s="15">
        <f>I3*I96</f>
        <v>2818.6780385890779</v>
      </c>
      <c r="J52" s="15">
        <f>J3*J96</f>
        <v>3865.1422774745174</v>
      </c>
      <c r="K52" s="15">
        <f>K3*K96</f>
        <v>4803.3903245601341</v>
      </c>
      <c r="L52" s="15">
        <f>L3*L96</f>
        <v>5509.4310246504519</v>
      </c>
      <c r="M52" s="15">
        <f>M3*M96</f>
        <v>5867.5636637087064</v>
      </c>
    </row>
    <row r="53" spans="2:27" x14ac:dyDescent="0.2">
      <c r="B53" s="13" t="s">
        <v>69</v>
      </c>
      <c r="C53" s="97">
        <v>6259.7960000000003</v>
      </c>
      <c r="D53" s="98">
        <v>6570.5199999999995</v>
      </c>
      <c r="E53" s="98">
        <v>8306.3080000000009</v>
      </c>
      <c r="F53" s="97">
        <v>12103</v>
      </c>
      <c r="G53" s="97">
        <v>26717</v>
      </c>
      <c r="H53" s="97">
        <v>27100</v>
      </c>
      <c r="I53" s="52">
        <f>SUM(I47:I52)</f>
        <v>28585.914458215466</v>
      </c>
      <c r="J53" s="52">
        <f>SUM(J47:J52)</f>
        <v>34616.162795862962</v>
      </c>
      <c r="K53" s="52">
        <f>SUM(K47:K52)</f>
        <v>43469.535646865748</v>
      </c>
      <c r="L53" s="52">
        <f>SUM(L47:L52)</f>
        <v>53346.233586291448</v>
      </c>
      <c r="M53" s="52">
        <f>SUM(M47:M52)</f>
        <v>61949.174325491076</v>
      </c>
    </row>
    <row r="54" spans="2:27" x14ac:dyDescent="0.2">
      <c r="B54" s="14" t="s">
        <v>70</v>
      </c>
      <c r="C54" s="3"/>
      <c r="D54" s="5"/>
      <c r="E54" s="5"/>
      <c r="F54" s="3"/>
      <c r="G54" s="3"/>
      <c r="H54" s="3"/>
      <c r="I54" s="24"/>
      <c r="J54" s="24"/>
      <c r="K54" s="24"/>
      <c r="L54" s="24"/>
      <c r="M54" s="24"/>
    </row>
    <row r="55" spans="2:27" x14ac:dyDescent="0.2">
      <c r="B55" s="25" t="s">
        <v>71</v>
      </c>
      <c r="C55" s="3">
        <v>3134.08</v>
      </c>
      <c r="D55" s="5">
        <v>4116.6040000000003</v>
      </c>
      <c r="E55" s="5">
        <v>2089.7580000000003</v>
      </c>
      <c r="F55" s="3">
        <v>2447</v>
      </c>
      <c r="G55" s="3">
        <v>3091</v>
      </c>
      <c r="H55" s="3">
        <v>4511</v>
      </c>
      <c r="I55" s="24">
        <f t="shared" ref="I55:M56" si="59">I$3*I97</f>
        <v>8842.0286646947334</v>
      </c>
      <c r="J55" s="24">
        <f t="shared" si="59"/>
        <v>12124.725968227367</v>
      </c>
      <c r="K55" s="24">
        <f t="shared" si="59"/>
        <v>15067.955387603532</v>
      </c>
      <c r="L55" s="24">
        <f t="shared" si="59"/>
        <v>17282.763898250123</v>
      </c>
      <c r="M55" s="24">
        <f t="shared" si="59"/>
        <v>18406.205106136691</v>
      </c>
    </row>
    <row r="56" spans="2:27" x14ac:dyDescent="0.2">
      <c r="B56" s="25" t="s">
        <v>72</v>
      </c>
      <c r="C56" s="3">
        <v>5919.88</v>
      </c>
      <c r="D56" s="5">
        <v>6347.49</v>
      </c>
      <c r="E56" s="5">
        <v>6271.3959999999997</v>
      </c>
      <c r="F56" s="3">
        <v>6138</v>
      </c>
      <c r="G56" s="3">
        <v>5979</v>
      </c>
      <c r="H56" s="3">
        <v>5765</v>
      </c>
      <c r="I56" s="24">
        <f>I$3*I98</f>
        <v>13852.850330472485</v>
      </c>
      <c r="J56" s="24">
        <f t="shared" si="59"/>
        <v>18995.868539365973</v>
      </c>
      <c r="K56" s="24">
        <f t="shared" si="59"/>
        <v>23607.040724054776</v>
      </c>
      <c r="L56" s="24">
        <f t="shared" si="59"/>
        <v>27076.992244473553</v>
      </c>
      <c r="M56" s="24">
        <f t="shared" si="59"/>
        <v>28837.093178106428</v>
      </c>
    </row>
    <row r="57" spans="2:27" x14ac:dyDescent="0.2">
      <c r="B57" s="25" t="s">
        <v>73</v>
      </c>
      <c r="C57" s="3">
        <v>5982.9570000000003</v>
      </c>
      <c r="D57" s="5">
        <v>10027.522000000001</v>
      </c>
      <c r="E57" s="5">
        <v>11330.077000000001</v>
      </c>
      <c r="F57" s="3">
        <v>10396</v>
      </c>
      <c r="G57" s="3">
        <v>12747</v>
      </c>
      <c r="H57" s="3">
        <v>18884</v>
      </c>
      <c r="I57" s="24">
        <f>I$3*I99</f>
        <v>36667.820312675125</v>
      </c>
      <c r="J57" s="24">
        <f t="shared" ref="J57:M58" si="60">J$3*J99</f>
        <v>50281.139091821315</v>
      </c>
      <c r="K57" s="24">
        <f t="shared" si="60"/>
        <v>62486.68734112574</v>
      </c>
      <c r="L57" s="24">
        <f t="shared" si="60"/>
        <v>71671.480059525798</v>
      </c>
      <c r="M57" s="24">
        <f t="shared" si="60"/>
        <v>76330.381529402628</v>
      </c>
    </row>
    <row r="58" spans="2:27" x14ac:dyDescent="0.2">
      <c r="B58" s="25" t="s">
        <v>74</v>
      </c>
      <c r="C58" s="3"/>
      <c r="D58" s="5">
        <v>361.50200000000001</v>
      </c>
      <c r="E58" s="5">
        <v>282.49200000000002</v>
      </c>
      <c r="F58" s="3">
        <v>1218</v>
      </c>
      <c r="G58" s="3">
        <v>1558</v>
      </c>
      <c r="H58" s="3">
        <v>2016</v>
      </c>
      <c r="I58" s="24">
        <f>I$3*I100</f>
        <v>3491.874107438503</v>
      </c>
      <c r="J58" s="24">
        <f t="shared" si="60"/>
        <v>4788.2695559777476</v>
      </c>
      <c r="K58" s="24">
        <f t="shared" si="60"/>
        <v>5950.6031099060883</v>
      </c>
      <c r="L58" s="24">
        <f t="shared" si="60"/>
        <v>6825.2703140672356</v>
      </c>
      <c r="M58" s="24">
        <f t="shared" si="60"/>
        <v>7268.9371934466608</v>
      </c>
    </row>
    <row r="59" spans="2:27" ht="16" customHeight="1" x14ac:dyDescent="0.2">
      <c r="B59" s="25" t="s">
        <v>75</v>
      </c>
      <c r="C59" s="3"/>
      <c r="D59" s="5">
        <v>60.237000000000002</v>
      </c>
      <c r="E59" s="5">
        <v>68.159000000000006</v>
      </c>
      <c r="F59" s="3"/>
      <c r="G59" s="3"/>
      <c r="H59" s="3">
        <v>1260</v>
      </c>
      <c r="I59" s="24"/>
      <c r="J59" s="24"/>
      <c r="K59" s="24"/>
      <c r="L59" s="24"/>
      <c r="M59" s="24"/>
    </row>
    <row r="60" spans="2:27"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27" x14ac:dyDescent="0.2">
      <c r="B61" s="25" t="s">
        <v>77</v>
      </c>
      <c r="C61" s="3"/>
      <c r="D61" s="5">
        <v>441.72200000000004</v>
      </c>
      <c r="E61" s="5">
        <v>398.21899999999999</v>
      </c>
      <c r="F61" s="3">
        <v>198</v>
      </c>
      <c r="G61" s="3">
        <v>207</v>
      </c>
      <c r="H61" s="3">
        <v>200</v>
      </c>
      <c r="I61" s="24">
        <f>I$3*I101</f>
        <v>861.20747197929325</v>
      </c>
      <c r="J61" s="24">
        <f>J$3*J101</f>
        <v>1180.9399172423155</v>
      </c>
      <c r="K61" s="24">
        <f>K$3*K101</f>
        <v>1467.6084255493442</v>
      </c>
      <c r="L61" s="24">
        <f>L$3*L101</f>
        <v>1683.3292415186766</v>
      </c>
      <c r="M61" s="24">
        <f>M$3*M101</f>
        <v>1792.7516375831162</v>
      </c>
    </row>
    <row r="62" spans="2:27" x14ac:dyDescent="0.2">
      <c r="B62" s="25" t="s">
        <v>78</v>
      </c>
      <c r="C62" s="3">
        <v>506.30200000000002</v>
      </c>
      <c r="D62" s="5"/>
      <c r="E62" s="5"/>
      <c r="F62" s="3">
        <v>393</v>
      </c>
      <c r="G62" s="3"/>
      <c r="H62" s="3"/>
      <c r="I62" s="24"/>
      <c r="J62" s="24"/>
      <c r="K62" s="24"/>
      <c r="L62" s="24"/>
      <c r="M62" s="24"/>
    </row>
    <row r="63" spans="2:27" x14ac:dyDescent="0.2">
      <c r="B63" s="25" t="s">
        <v>79</v>
      </c>
      <c r="C63" s="3">
        <v>268.16500000000002</v>
      </c>
      <c r="D63" s="5"/>
      <c r="E63" s="5"/>
      <c r="F63" s="3">
        <v>269</v>
      </c>
      <c r="G63" s="3"/>
      <c r="H63" s="3"/>
      <c r="I63" s="24"/>
      <c r="J63" s="24"/>
      <c r="K63" s="24"/>
      <c r="L63" s="24"/>
      <c r="M63" s="24"/>
      <c r="R63" s="13"/>
    </row>
    <row r="64" spans="2:27" x14ac:dyDescent="0.2">
      <c r="B64" s="25" t="s">
        <v>80</v>
      </c>
      <c r="C64" s="5">
        <v>216.75100000000003</v>
      </c>
      <c r="D64" s="5">
        <v>273.12299999999999</v>
      </c>
      <c r="E64" s="4">
        <v>571.65699999999993</v>
      </c>
      <c r="F64" s="4">
        <v>808</v>
      </c>
      <c r="G64" s="4">
        <v>1536</v>
      </c>
      <c r="H64" s="4">
        <v>2138</v>
      </c>
      <c r="I64" s="15">
        <f>I$3*I102</f>
        <v>3453.6191784982198</v>
      </c>
      <c r="J64" s="15">
        <f>J$3*J102</f>
        <v>4735.8120772786606</v>
      </c>
      <c r="K64" s="15">
        <f>K$3*K102</f>
        <v>5885.4117850996299</v>
      </c>
      <c r="L64" s="15">
        <f>L$3*L102</f>
        <v>6750.4966473114209</v>
      </c>
      <c r="M64" s="15">
        <f>M$3*M102</f>
        <v>7189.302972036925</v>
      </c>
      <c r="S64" s="13"/>
      <c r="T64" s="13"/>
      <c r="U64" s="13"/>
      <c r="V64" s="13"/>
      <c r="W64" s="13"/>
      <c r="X64" s="13"/>
      <c r="Y64" s="13"/>
      <c r="Z64" s="13"/>
      <c r="AA64" s="13"/>
    </row>
    <row r="65" spans="2:28" x14ac:dyDescent="0.2">
      <c r="B65" s="14" t="s">
        <v>81</v>
      </c>
      <c r="C65" s="17">
        <f>SUM(C55:C64)</f>
        <v>16404.28</v>
      </c>
      <c r="D65" s="17">
        <f>SUM(D55:D64)</f>
        <v>22084.852000000006</v>
      </c>
      <c r="E65" s="4">
        <f>SUM(E55:E64)</f>
        <v>21433.305999999997</v>
      </c>
      <c r="F65" s="4">
        <f>SUM(F55:F64)</f>
        <v>22206</v>
      </c>
      <c r="G65" s="4">
        <f t="shared" ref="G65:H65" si="61">SUM(G55:G64)</f>
        <v>25431</v>
      </c>
      <c r="H65" s="4">
        <f t="shared" si="61"/>
        <v>35031</v>
      </c>
      <c r="I65" s="15">
        <f>SUM(I55:I64)</f>
        <v>67502.037065758355</v>
      </c>
      <c r="J65" s="15">
        <f t="shared" ref="J65:M65" si="62">SUM(J55:J64)</f>
        <v>92439.392149913387</v>
      </c>
      <c r="K65" s="15">
        <f t="shared" si="62"/>
        <v>114797.94377333912</v>
      </c>
      <c r="L65" s="15">
        <f t="shared" si="62"/>
        <v>131622.96940514681</v>
      </c>
      <c r="M65" s="15">
        <f t="shared" si="62"/>
        <v>140157.30861671246</v>
      </c>
    </row>
    <row r="66" spans="2:28" x14ac:dyDescent="0.2">
      <c r="B66" s="13" t="s">
        <v>82</v>
      </c>
      <c r="C66" s="97">
        <v>22664.076000000001</v>
      </c>
      <c r="D66" s="98">
        <v>28655.371999999996</v>
      </c>
      <c r="E66" s="98">
        <v>29739.614000000001</v>
      </c>
      <c r="F66" s="97">
        <v>34309</v>
      </c>
      <c r="G66" s="97">
        <v>52148</v>
      </c>
      <c r="H66" s="97">
        <v>62131</v>
      </c>
      <c r="I66" s="52">
        <f>I65+I53</f>
        <v>96087.951523973825</v>
      </c>
      <c r="J66" s="52">
        <f t="shared" ref="J66:M66" si="63">J65+J53</f>
        <v>127055.55494577636</v>
      </c>
      <c r="K66" s="52">
        <f t="shared" si="63"/>
        <v>158267.47942020488</v>
      </c>
      <c r="L66" s="52">
        <f t="shared" si="63"/>
        <v>184969.20299143827</v>
      </c>
      <c r="M66" s="52">
        <f t="shared" si="63"/>
        <v>202106.48294220353</v>
      </c>
    </row>
    <row r="67" spans="2:28" x14ac:dyDescent="0.2">
      <c r="B67" s="13"/>
      <c r="C67" s="97"/>
      <c r="D67" s="98"/>
      <c r="E67" s="98"/>
      <c r="F67" s="97"/>
      <c r="G67" s="97"/>
      <c r="H67" s="97"/>
      <c r="I67" s="52"/>
      <c r="J67" s="24"/>
      <c r="K67" s="24"/>
      <c r="L67" s="24"/>
      <c r="M67" s="52"/>
    </row>
    <row r="68" spans="2:28" x14ac:dyDescent="0.2">
      <c r="B68" s="14" t="s">
        <v>83</v>
      </c>
      <c r="C68" s="3"/>
      <c r="D68" s="5"/>
      <c r="E68" s="5"/>
      <c r="F68" s="3"/>
      <c r="G68" s="3"/>
      <c r="H68" s="3"/>
    </row>
    <row r="69" spans="2:28" x14ac:dyDescent="0.2">
      <c r="B69" s="25" t="s">
        <v>84</v>
      </c>
      <c r="C69" s="3">
        <v>1860.3409999999999</v>
      </c>
      <c r="D69" s="5">
        <v>2390.25</v>
      </c>
      <c r="E69" s="5">
        <v>3404.451</v>
      </c>
      <c r="F69" s="3">
        <v>3771</v>
      </c>
      <c r="G69" s="3">
        <v>6051</v>
      </c>
      <c r="H69" s="3">
        <v>10025</v>
      </c>
      <c r="I69" s="24">
        <f>I3/365*I105</f>
        <v>16112.387574163531</v>
      </c>
      <c r="J69" s="24">
        <f>J3/365*J105</f>
        <v>22094.283047356435</v>
      </c>
      <c r="K69" s="24">
        <f>K3/365*K105</f>
        <v>27457.583136398422</v>
      </c>
      <c r="L69" s="24">
        <f>L3/365*L105</f>
        <v>31493.518155313654</v>
      </c>
      <c r="M69" s="24">
        <f>M3/365*M105</f>
        <v>33540.709003103075</v>
      </c>
      <c r="AB69" s="13"/>
    </row>
    <row r="70" spans="2:28" x14ac:dyDescent="0.2">
      <c r="B70" s="25" t="s">
        <v>85</v>
      </c>
      <c r="C70" s="3">
        <v>1210.028</v>
      </c>
      <c r="D70" s="5">
        <v>1731.366</v>
      </c>
      <c r="E70" s="5">
        <v>2094.2529999999997</v>
      </c>
      <c r="F70" s="3">
        <v>2905</v>
      </c>
      <c r="G70" s="3">
        <v>3855</v>
      </c>
      <c r="H70" s="3">
        <v>5719</v>
      </c>
      <c r="I70" s="24">
        <f>I$3*$I$106</f>
        <v>10371.433573316888</v>
      </c>
      <c r="J70" s="24">
        <f>J3*$I$106</f>
        <v>14221.938736327529</v>
      </c>
      <c r="K70" s="24">
        <f>K3*$I$106</f>
        <v>17674.258285570453</v>
      </c>
      <c r="L70" s="24">
        <f>L3*$I$106</f>
        <v>20272.162026541992</v>
      </c>
      <c r="M70" s="24">
        <f>M3*$I$106</f>
        <v>21589.924759843954</v>
      </c>
    </row>
    <row r="71" spans="2:28" x14ac:dyDescent="0.2">
      <c r="B71" s="25" t="s">
        <v>86</v>
      </c>
      <c r="C71" s="3">
        <v>763.12599999999998</v>
      </c>
      <c r="D71" s="5">
        <v>1015.253</v>
      </c>
      <c r="E71" s="5">
        <v>630.29200000000003</v>
      </c>
      <c r="F71" s="3">
        <v>1163</v>
      </c>
      <c r="G71" s="3">
        <v>1458</v>
      </c>
      <c r="H71" s="3">
        <v>1447</v>
      </c>
      <c r="I71" s="24">
        <f>I3*I107</f>
        <v>3497.1382622881729</v>
      </c>
      <c r="J71" s="24">
        <f>J3*J107</f>
        <v>4795.4880843751298</v>
      </c>
      <c r="K71" s="24">
        <f>K3*K107</f>
        <v>5959.5739076083146</v>
      </c>
      <c r="L71" s="24">
        <f>L3*L107</f>
        <v>6835.5597113131344</v>
      </c>
      <c r="M71" s="24">
        <f>M3*M107</f>
        <v>7279.8954381603853</v>
      </c>
    </row>
    <row r="72" spans="2:28" x14ac:dyDescent="0.2">
      <c r="B72" s="25" t="s">
        <v>87</v>
      </c>
      <c r="C72" s="3">
        <v>179.50399999999999</v>
      </c>
      <c r="D72" s="5">
        <v>787.33299999999997</v>
      </c>
      <c r="E72" s="5">
        <v>502.84</v>
      </c>
      <c r="F72" s="3">
        <v>317</v>
      </c>
      <c r="G72" s="3"/>
      <c r="H72" s="3"/>
      <c r="I72" s="24"/>
      <c r="J72" s="24"/>
      <c r="K72" s="24"/>
      <c r="L72" s="24"/>
      <c r="M72" s="24"/>
      <c r="N72" s="16"/>
      <c r="Q72" s="13"/>
    </row>
    <row r="73" spans="2:28" s="13" customFormat="1" x14ac:dyDescent="0.2">
      <c r="B73" s="25" t="s">
        <v>88</v>
      </c>
      <c r="C73" s="3">
        <v>663.85900000000004</v>
      </c>
      <c r="D73" s="5">
        <v>853.9190000000001</v>
      </c>
      <c r="E73" s="5">
        <v>792.601</v>
      </c>
      <c r="F73" s="3">
        <v>726</v>
      </c>
      <c r="G73" s="3">
        <v>752</v>
      </c>
      <c r="H73" s="3">
        <v>925</v>
      </c>
      <c r="I73" s="24">
        <f>I3*I109</f>
        <v>2509.5947839154574</v>
      </c>
      <c r="J73" s="24">
        <f>J3*J109</f>
        <v>3441.3085729708168</v>
      </c>
      <c r="K73" s="24">
        <f>K3*K109</f>
        <v>4276.6726595209657</v>
      </c>
      <c r="L73" s="24">
        <f>L3*L109</f>
        <v>4905.2921875127513</v>
      </c>
      <c r="M73" s="24">
        <f>M3*M109</f>
        <v>5224.1536504488877</v>
      </c>
      <c r="N73" s="14"/>
      <c r="Q73" s="14"/>
      <c r="R73" s="14"/>
      <c r="S73" s="14"/>
      <c r="T73" s="14"/>
      <c r="U73" s="14"/>
      <c r="V73" s="14"/>
      <c r="W73" s="14"/>
      <c r="X73" s="14"/>
      <c r="Y73" s="14"/>
      <c r="Z73" s="14"/>
      <c r="AA73" s="14"/>
      <c r="AB73" s="14"/>
    </row>
    <row r="74" spans="2:28" x14ac:dyDescent="0.2">
      <c r="B74" s="25" t="s">
        <v>89</v>
      </c>
      <c r="C74" s="3">
        <v>984.21100000000001</v>
      </c>
      <c r="D74" s="5">
        <v>796.54899999999998</v>
      </c>
      <c r="E74" s="4">
        <v>2567.6990000000001</v>
      </c>
      <c r="F74" s="4">
        <v>1785</v>
      </c>
      <c r="G74" s="4">
        <v>2132</v>
      </c>
      <c r="H74" s="4">
        <v>1589</v>
      </c>
      <c r="I74" s="15">
        <f>I3*I110</f>
        <v>2756.7851402406354</v>
      </c>
      <c r="J74" s="15">
        <f>J3*J110</f>
        <v>3780.2709814957316</v>
      </c>
      <c r="K74" s="15">
        <f>K3*K110</f>
        <v>4697.9168561413335</v>
      </c>
      <c r="L74" s="15">
        <f>L3*L110</f>
        <v>5388.4542228667569</v>
      </c>
      <c r="M74" s="15">
        <f>M3*M110</f>
        <v>5738.7229389366348</v>
      </c>
    </row>
    <row r="75" spans="2:28" x14ac:dyDescent="0.2">
      <c r="B75" s="13" t="s">
        <v>90</v>
      </c>
      <c r="C75" s="97">
        <v>5827.0050000000001</v>
      </c>
      <c r="D75" s="98">
        <v>7674.67</v>
      </c>
      <c r="E75" s="98">
        <v>9992.1360000000004</v>
      </c>
      <c r="F75" s="97">
        <v>10667</v>
      </c>
      <c r="G75" s="97">
        <v>14248</v>
      </c>
      <c r="H75" s="97">
        <v>19705</v>
      </c>
      <c r="I75" s="52">
        <f>SUM(I69:I74)</f>
        <v>35247.339333924683</v>
      </c>
      <c r="J75" s="52">
        <f>SUM(J69:J74)</f>
        <v>48333.289422525646</v>
      </c>
      <c r="K75" s="52">
        <f>SUM(K69:K74)</f>
        <v>60066.004845239477</v>
      </c>
      <c r="L75" s="52">
        <f>SUM(L69:L74)</f>
        <v>68894.986303548285</v>
      </c>
      <c r="M75" s="52">
        <f>SUM(M69:M74)</f>
        <v>73373.405790492936</v>
      </c>
    </row>
    <row r="76" spans="2:28" x14ac:dyDescent="0.2">
      <c r="B76" s="14" t="s">
        <v>91</v>
      </c>
      <c r="C76" s="97"/>
      <c r="D76" s="98"/>
      <c r="E76" s="98"/>
      <c r="F76" s="97"/>
      <c r="G76" s="97"/>
      <c r="H76" s="97"/>
      <c r="I76" s="52"/>
      <c r="J76" s="52"/>
      <c r="K76" s="52"/>
      <c r="L76" s="52"/>
      <c r="M76" s="52"/>
    </row>
    <row r="77" spans="2:28" x14ac:dyDescent="0.2">
      <c r="B77" s="25" t="s">
        <v>92</v>
      </c>
      <c r="C77" s="3">
        <v>5860.049</v>
      </c>
      <c r="D77" s="5">
        <v>9418.3189999999995</v>
      </c>
      <c r="E77" s="5">
        <v>9403.6720000000005</v>
      </c>
      <c r="F77" s="3">
        <v>11634</v>
      </c>
      <c r="G77" s="3">
        <v>9556</v>
      </c>
      <c r="H77" s="3">
        <v>5245</v>
      </c>
      <c r="I77" s="24">
        <f>I$3*I111</f>
        <v>9099.6463565526319</v>
      </c>
      <c r="J77" s="24">
        <f>J3*J111</f>
        <v>12477.98697164576</v>
      </c>
      <c r="K77" s="24">
        <f>K3*K111</f>
        <v>15506.969106646504</v>
      </c>
      <c r="L77" s="24">
        <f>L3*L111</f>
        <v>17786.307362451946</v>
      </c>
      <c r="M77" s="24">
        <f>M3*M111</f>
        <v>18942.480688938107</v>
      </c>
    </row>
    <row r="78" spans="2:28" x14ac:dyDescent="0.2">
      <c r="B78" s="25" t="s">
        <v>93</v>
      </c>
      <c r="C78" s="3">
        <v>851.79</v>
      </c>
      <c r="D78" s="5">
        <v>1177.799</v>
      </c>
      <c r="E78" s="5">
        <v>990.87299999999993</v>
      </c>
      <c r="F78" s="3">
        <v>1207</v>
      </c>
      <c r="G78" s="3">
        <v>1284</v>
      </c>
      <c r="H78" s="3">
        <v>2052</v>
      </c>
      <c r="I78" s="24">
        <f>I$3*I112</f>
        <v>4064.7567830445064</v>
      </c>
      <c r="J78" s="24">
        <f>J$3*J112</f>
        <v>5573.8410257245605</v>
      </c>
      <c r="K78" s="24">
        <f>K$3*K112</f>
        <v>6926.8689563208973</v>
      </c>
      <c r="L78" s="24">
        <f>L$3*L112</f>
        <v>7945.0355172077752</v>
      </c>
      <c r="M78" s="24">
        <f>M$3*M112</f>
        <v>8461.4911229605877</v>
      </c>
    </row>
    <row r="79" spans="2:28" x14ac:dyDescent="0.2">
      <c r="B79" s="25" t="s">
        <v>94</v>
      </c>
      <c r="C79" s="3">
        <v>2210.4229999999998</v>
      </c>
      <c r="D79" s="5">
        <v>2309.2220000000002</v>
      </c>
      <c r="E79" s="5">
        <v>328.92600000000004</v>
      </c>
      <c r="F79" s="3">
        <v>36</v>
      </c>
      <c r="G79" s="3"/>
      <c r="H79" s="3"/>
      <c r="I79" s="24"/>
      <c r="J79" s="24"/>
      <c r="K79" s="24"/>
      <c r="L79" s="24"/>
      <c r="M79" s="24"/>
    </row>
    <row r="80" spans="2:28" x14ac:dyDescent="0.2">
      <c r="B80" s="25" t="s">
        <v>95</v>
      </c>
      <c r="C80" s="4">
        <v>1891.4490000000001</v>
      </c>
      <c r="D80" s="4">
        <v>2442.9700000000003</v>
      </c>
      <c r="E80" s="4">
        <v>2710.4029999999998</v>
      </c>
      <c r="F80" s="4">
        <v>2655</v>
      </c>
      <c r="G80" s="4">
        <v>3330</v>
      </c>
      <c r="H80" s="4">
        <v>3546</v>
      </c>
      <c r="I80" s="15">
        <f>I$3*I114</f>
        <v>6152.0202059743815</v>
      </c>
      <c r="J80" s="15">
        <f>J$3*J114</f>
        <v>8436.0232223938729</v>
      </c>
      <c r="K80" s="15">
        <f>K$3*K114</f>
        <v>10483.834595265682</v>
      </c>
      <c r="L80" s="15">
        <f>L$3*L114</f>
        <v>12024.83239413815</v>
      </c>
      <c r="M80" s="15">
        <f>M$3*M114</f>
        <v>12806.489327545189</v>
      </c>
    </row>
    <row r="81" spans="2:13" ht="17" thickBot="1" x14ac:dyDescent="0.25">
      <c r="B81" s="14" t="s">
        <v>117</v>
      </c>
      <c r="C81" s="27"/>
      <c r="D81" s="27"/>
      <c r="E81" s="27">
        <f>SUM(E77:E80)</f>
        <v>13433.874</v>
      </c>
      <c r="F81" s="27">
        <f t="shared" ref="F81:M81" si="64">SUM(F77:F80)</f>
        <v>15532</v>
      </c>
      <c r="G81" s="27">
        <f t="shared" si="64"/>
        <v>14170</v>
      </c>
      <c r="H81" s="27">
        <f t="shared" si="64"/>
        <v>10843</v>
      </c>
      <c r="I81" s="27">
        <f t="shared" si="64"/>
        <v>19316.423345571518</v>
      </c>
      <c r="J81" s="27">
        <f t="shared" si="64"/>
        <v>26487.851219764194</v>
      </c>
      <c r="K81" s="27">
        <f t="shared" si="64"/>
        <v>32917.672658233081</v>
      </c>
      <c r="L81" s="27">
        <f t="shared" si="64"/>
        <v>37756.175273797868</v>
      </c>
      <c r="M81" s="27">
        <f t="shared" si="64"/>
        <v>40210.461139443883</v>
      </c>
    </row>
    <row r="82" spans="2:13" ht="17" thickTop="1" x14ac:dyDescent="0.2">
      <c r="B82" s="13" t="s">
        <v>96</v>
      </c>
      <c r="C82" s="97">
        <v>16750.167000000001</v>
      </c>
      <c r="D82" s="98">
        <v>23022.98</v>
      </c>
      <c r="E82" s="98">
        <v>23426.01</v>
      </c>
      <c r="F82" s="97">
        <v>26199</v>
      </c>
      <c r="G82" s="97">
        <v>28418</v>
      </c>
      <c r="H82" s="97">
        <v>30548</v>
      </c>
      <c r="I82" s="52">
        <f>I81+I75</f>
        <v>54563.762679496198</v>
      </c>
      <c r="J82" s="52">
        <f t="shared" ref="J82:M82" si="65">J81+J75</f>
        <v>74821.140642289844</v>
      </c>
      <c r="K82" s="52">
        <f t="shared" si="65"/>
        <v>92983.677503472558</v>
      </c>
      <c r="L82" s="52">
        <f t="shared" si="65"/>
        <v>106651.16157734615</v>
      </c>
      <c r="M82" s="52">
        <f t="shared" si="65"/>
        <v>113583.86692993682</v>
      </c>
    </row>
    <row r="83" spans="2:13" x14ac:dyDescent="0.2">
      <c r="B83" s="13"/>
      <c r="C83" s="97"/>
      <c r="D83" s="98"/>
      <c r="E83" s="98"/>
      <c r="F83" s="97"/>
      <c r="G83" s="97"/>
      <c r="H83" s="97"/>
      <c r="I83" s="52"/>
      <c r="J83" s="24"/>
      <c r="K83" s="24"/>
      <c r="L83" s="24"/>
      <c r="M83" s="52"/>
    </row>
    <row r="84" spans="2:13" x14ac:dyDescent="0.2">
      <c r="B84" s="14" t="s">
        <v>97</v>
      </c>
      <c r="C84" s="97"/>
      <c r="D84" s="98"/>
      <c r="E84" s="98"/>
      <c r="F84" s="97"/>
      <c r="G84" s="97"/>
      <c r="H84" s="97"/>
      <c r="I84" s="52"/>
      <c r="J84" s="24"/>
      <c r="K84" s="24"/>
      <c r="L84" s="24"/>
      <c r="M84" s="52"/>
    </row>
    <row r="85" spans="2:13" x14ac:dyDescent="0.2">
      <c r="B85" s="25" t="s">
        <v>98</v>
      </c>
      <c r="C85" s="3">
        <v>0.161</v>
      </c>
      <c r="D85" s="5">
        <v>0.16899999999999998</v>
      </c>
      <c r="E85" s="163">
        <v>0.17299999999999999</v>
      </c>
      <c r="F85" s="164"/>
      <c r="G85" s="164">
        <v>1</v>
      </c>
      <c r="H85" s="164">
        <v>1</v>
      </c>
      <c r="I85" s="173">
        <v>1</v>
      </c>
      <c r="J85" s="173">
        <v>1</v>
      </c>
      <c r="K85" s="173">
        <v>1</v>
      </c>
      <c r="L85" s="173">
        <v>1</v>
      </c>
      <c r="M85" s="173">
        <v>1</v>
      </c>
    </row>
    <row r="86" spans="2:13" x14ac:dyDescent="0.2">
      <c r="B86" s="25" t="s">
        <v>99</v>
      </c>
      <c r="C86" s="1">
        <v>-7773.7270000000008</v>
      </c>
      <c r="D86" s="8">
        <v>9178.0240000000013</v>
      </c>
      <c r="E86" s="8">
        <v>10249.119999999999</v>
      </c>
      <c r="F86" s="1">
        <v>12737</v>
      </c>
      <c r="G86" s="1">
        <v>27260</v>
      </c>
      <c r="H86" s="1">
        <v>29803</v>
      </c>
      <c r="I86" s="24">
        <f>H86</f>
        <v>29803</v>
      </c>
      <c r="J86" s="24">
        <f t="shared" ref="J86:M86" si="66">I86</f>
        <v>29803</v>
      </c>
      <c r="K86" s="24">
        <f t="shared" si="66"/>
        <v>29803</v>
      </c>
      <c r="L86" s="24">
        <f t="shared" si="66"/>
        <v>29803</v>
      </c>
      <c r="M86" s="24">
        <f t="shared" si="66"/>
        <v>29803</v>
      </c>
    </row>
    <row r="87" spans="2:13" x14ac:dyDescent="0.2">
      <c r="B87" s="25" t="s">
        <v>100</v>
      </c>
      <c r="C87" s="1">
        <v>-23.740000000000002</v>
      </c>
      <c r="D87" s="8">
        <v>33.347999999999999</v>
      </c>
      <c r="E87" s="8">
        <v>-8.218</v>
      </c>
      <c r="F87" s="1">
        <v>-36</v>
      </c>
      <c r="G87" s="1">
        <v>363</v>
      </c>
      <c r="H87" s="1">
        <v>54</v>
      </c>
      <c r="I87" s="1">
        <v>54</v>
      </c>
      <c r="J87" s="1">
        <v>54</v>
      </c>
      <c r="K87" s="1">
        <v>54</v>
      </c>
      <c r="L87" s="1">
        <v>54</v>
      </c>
      <c r="M87" s="1">
        <v>54</v>
      </c>
    </row>
    <row r="88" spans="2:13" x14ac:dyDescent="0.2">
      <c r="B88" s="25" t="s">
        <v>101</v>
      </c>
      <c r="C88" s="2">
        <v>-2997.2370000000001</v>
      </c>
      <c r="D88" s="2">
        <v>-4974.299</v>
      </c>
      <c r="E88" s="2">
        <v>-5317.8320000000003</v>
      </c>
      <c r="F88" s="2">
        <v>-6083</v>
      </c>
      <c r="G88" s="2">
        <v>-5399</v>
      </c>
      <c r="H88" s="2">
        <v>331</v>
      </c>
      <c r="I88" s="15">
        <f>H88+I16</f>
        <v>5265.4655430738294</v>
      </c>
      <c r="J88" s="15">
        <f>I88+J16</f>
        <v>12041.551812906637</v>
      </c>
      <c r="K88" s="15">
        <f>J88+K16</f>
        <v>20460.813300727685</v>
      </c>
      <c r="L88" s="15">
        <f>K88+L16</f>
        <v>30169.187734688581</v>
      </c>
      <c r="M88" s="15">
        <f>L88+M16</f>
        <v>40464.81185363741</v>
      </c>
    </row>
    <row r="89" spans="2:13" ht="17" thickBot="1" x14ac:dyDescent="0.25">
      <c r="B89" s="13" t="s">
        <v>102</v>
      </c>
      <c r="C89" s="99">
        <v>4752.9110000000001</v>
      </c>
      <c r="D89" s="99">
        <v>4237.2420000000002</v>
      </c>
      <c r="E89" s="99">
        <v>4923.2430000000004</v>
      </c>
      <c r="F89" s="99">
        <v>6618</v>
      </c>
      <c r="G89" s="99">
        <v>22225</v>
      </c>
      <c r="H89" s="99">
        <v>30189</v>
      </c>
      <c r="I89" s="100">
        <f>SUM(I85:I88)</f>
        <v>35123.465543073828</v>
      </c>
      <c r="J89" s="100">
        <f t="shared" ref="J89:M89" si="67">SUM(J85:J88)</f>
        <v>41899.551812906633</v>
      </c>
      <c r="K89" s="100">
        <f t="shared" si="67"/>
        <v>50318.813300727685</v>
      </c>
      <c r="L89" s="100">
        <f t="shared" si="67"/>
        <v>60027.187734688581</v>
      </c>
      <c r="M89" s="100">
        <f t="shared" si="67"/>
        <v>70322.81185363741</v>
      </c>
    </row>
    <row r="90" spans="2:13" ht="17" thickTop="1" x14ac:dyDescent="0.2">
      <c r="B90" s="13" t="s">
        <v>103</v>
      </c>
      <c r="C90" s="68">
        <v>22664.076000000001</v>
      </c>
      <c r="D90" s="67">
        <v>28655.371999999996</v>
      </c>
      <c r="E90" s="67">
        <v>29739.614000000001</v>
      </c>
      <c r="F90" s="68">
        <v>34309</v>
      </c>
      <c r="G90" s="68">
        <v>52148</v>
      </c>
      <c r="H90" s="68">
        <v>62131</v>
      </c>
      <c r="I90" s="52">
        <f>I82+I89</f>
        <v>89687.228222570033</v>
      </c>
      <c r="J90" s="52">
        <f t="shared" ref="J90:M90" si="68">J82+J89</f>
        <v>116720.69245519648</v>
      </c>
      <c r="K90" s="52">
        <f t="shared" si="68"/>
        <v>143302.49080420024</v>
      </c>
      <c r="L90" s="52">
        <f t="shared" si="68"/>
        <v>166678.34931203473</v>
      </c>
      <c r="M90" s="52">
        <f t="shared" si="68"/>
        <v>183906.67878357423</v>
      </c>
    </row>
    <row r="91" spans="2:13" x14ac:dyDescent="0.2">
      <c r="B91" s="13"/>
      <c r="C91" s="68"/>
      <c r="D91" s="67"/>
      <c r="E91" s="67">
        <f>E89+E82</f>
        <v>28349.252999999997</v>
      </c>
      <c r="F91" s="68">
        <f t="shared" ref="F91:H91" si="69">F89+F82</f>
        <v>32817</v>
      </c>
      <c r="G91" s="68">
        <f t="shared" si="69"/>
        <v>50643</v>
      </c>
      <c r="H91" s="68">
        <f t="shared" si="69"/>
        <v>60737</v>
      </c>
      <c r="I91" s="68"/>
      <c r="J91" s="68"/>
      <c r="K91" s="68"/>
      <c r="L91" s="68"/>
      <c r="M91" s="68"/>
    </row>
    <row r="92" spans="2:13" x14ac:dyDescent="0.2">
      <c r="B92" s="13"/>
      <c r="C92" s="68"/>
      <c r="D92" s="67"/>
      <c r="E92" s="67"/>
      <c r="F92" s="68"/>
      <c r="G92" s="68"/>
      <c r="H92" s="68"/>
      <c r="I92" s="24"/>
      <c r="J92" s="24"/>
      <c r="K92" s="24"/>
      <c r="L92" s="24"/>
      <c r="M92" s="24"/>
    </row>
    <row r="93" spans="2:13" x14ac:dyDescent="0.2">
      <c r="B93" s="10" t="s">
        <v>115</v>
      </c>
      <c r="C93" s="101"/>
      <c r="D93" s="102"/>
      <c r="E93" s="102"/>
      <c r="F93" s="101"/>
      <c r="G93" s="101"/>
      <c r="H93" s="101"/>
      <c r="I93" s="21"/>
      <c r="J93" s="21"/>
      <c r="K93" s="21"/>
      <c r="L93" s="21"/>
      <c r="M93" s="21"/>
    </row>
    <row r="94" spans="2:13" x14ac:dyDescent="0.2">
      <c r="B94" s="19" t="s">
        <v>104</v>
      </c>
      <c r="C94" s="103"/>
      <c r="D94" s="104">
        <f>[1]income!C54/((C50+D50)/2)</f>
        <v>3.7424011767971128E-3</v>
      </c>
      <c r="E94" s="104">
        <f t="shared" ref="E94:H95" si="70">E50/(E$3/365)</f>
        <v>16.140380428593499</v>
      </c>
      <c r="F94" s="103">
        <f t="shared" si="70"/>
        <v>19.662299617544146</v>
      </c>
      <c r="G94" s="103">
        <f t="shared" si="70"/>
        <v>21.828703703703702</v>
      </c>
      <c r="H94" s="103">
        <f t="shared" si="70"/>
        <v>12.972985526633595</v>
      </c>
      <c r="I94" s="6">
        <f>AVERAGE(E94:H94)</f>
        <v>17.651092319118735</v>
      </c>
      <c r="J94" s="105">
        <f t="shared" ref="J94:M96" si="71">I94</f>
        <v>17.651092319118735</v>
      </c>
      <c r="K94" s="105">
        <f t="shared" si="71"/>
        <v>17.651092319118735</v>
      </c>
      <c r="L94" s="105">
        <f t="shared" si="71"/>
        <v>17.651092319118735</v>
      </c>
      <c r="M94" s="105">
        <f t="shared" si="71"/>
        <v>17.651092319118735</v>
      </c>
    </row>
    <row r="95" spans="2:13" x14ac:dyDescent="0.2">
      <c r="B95" s="19" t="s">
        <v>105</v>
      </c>
      <c r="C95" s="103"/>
      <c r="D95" s="104">
        <f>[1]income!C60/((C51+D51)/2)</f>
        <v>0</v>
      </c>
      <c r="E95" s="104">
        <f t="shared" si="70"/>
        <v>52.951567912949038</v>
      </c>
      <c r="F95" s="103">
        <f t="shared" si="70"/>
        <v>52.749613475465864</v>
      </c>
      <c r="G95" s="103">
        <f t="shared" si="70"/>
        <v>47.465277777777771</v>
      </c>
      <c r="H95" s="103">
        <f t="shared" si="70"/>
        <v>39.041023354328075</v>
      </c>
      <c r="I95" s="6">
        <f>AVERAGE(E95:H95)</f>
        <v>48.051870630130189</v>
      </c>
      <c r="J95" s="105">
        <f t="shared" si="71"/>
        <v>48.051870630130189</v>
      </c>
      <c r="K95" s="105">
        <f t="shared" si="71"/>
        <v>48.051870630130189</v>
      </c>
      <c r="L95" s="105">
        <f t="shared" si="71"/>
        <v>48.051870630130189</v>
      </c>
      <c r="M95" s="105">
        <f t="shared" si="71"/>
        <v>48.051870630130189</v>
      </c>
    </row>
    <row r="96" spans="2:13" x14ac:dyDescent="0.2">
      <c r="B96" s="19" t="s">
        <v>106</v>
      </c>
      <c r="C96" s="106">
        <f>C52/[1]income!B$2</f>
        <v>2.7780190430694733E-2</v>
      </c>
      <c r="D96" s="107">
        <f>D52/[1]income!C$2</f>
        <v>2.2822576989681983E-2</v>
      </c>
      <c r="E96" s="107">
        <f>E52/E3</f>
        <v>1.7038648415368559E-2</v>
      </c>
      <c r="F96" s="106">
        <f>F52/F3</f>
        <v>2.9009683456749938E-2</v>
      </c>
      <c r="G96" s="106">
        <f>G52/G3</f>
        <v>4.2681380010147131E-2</v>
      </c>
      <c r="H96" s="106">
        <f>H52/H3</f>
        <v>3.2012336733366779E-2</v>
      </c>
      <c r="I96" s="7">
        <f t="shared" ref="I96" si="72">AVERAGE(E96:H96)</f>
        <v>3.0185512153908106E-2</v>
      </c>
      <c r="J96" s="108">
        <f t="shared" si="71"/>
        <v>3.0185512153908106E-2</v>
      </c>
      <c r="K96" s="108">
        <f t="shared" si="71"/>
        <v>3.0185512153908106E-2</v>
      </c>
      <c r="L96" s="108">
        <f t="shared" si="71"/>
        <v>3.0185512153908106E-2</v>
      </c>
      <c r="M96" s="108">
        <f t="shared" si="71"/>
        <v>3.0185512153908106E-2</v>
      </c>
    </row>
    <row r="97" spans="1:14" x14ac:dyDescent="0.2">
      <c r="B97" s="19" t="s">
        <v>114</v>
      </c>
      <c r="C97" s="10"/>
      <c r="D97" s="28"/>
      <c r="E97" s="30">
        <f t="shared" ref="E97:H100" si="73">E55/E$3</f>
        <v>9.7373463674187394E-2</v>
      </c>
      <c r="F97" s="12">
        <f t="shared" si="73"/>
        <v>9.9560582634876715E-2</v>
      </c>
      <c r="G97" s="12">
        <f t="shared" si="73"/>
        <v>9.8014967021816335E-2</v>
      </c>
      <c r="H97" s="12">
        <f t="shared" si="73"/>
        <v>8.3811753339650338E-2</v>
      </c>
      <c r="I97" s="20">
        <f t="shared" ref="I97:M102" si="74">AVERAGE($E97:$H97)</f>
        <v>9.4690191667632692E-2</v>
      </c>
      <c r="J97" s="20">
        <f t="shared" si="74"/>
        <v>9.4690191667632692E-2</v>
      </c>
      <c r="K97" s="20">
        <f t="shared" si="74"/>
        <v>9.4690191667632692E-2</v>
      </c>
      <c r="L97" s="20">
        <f t="shared" si="74"/>
        <v>9.4690191667632692E-2</v>
      </c>
      <c r="M97" s="20">
        <f t="shared" si="74"/>
        <v>9.4690191667632692E-2</v>
      </c>
    </row>
    <row r="98" spans="1:14" x14ac:dyDescent="0.2">
      <c r="B98" s="19" t="s">
        <v>72</v>
      </c>
      <c r="C98" s="10"/>
      <c r="D98" s="28"/>
      <c r="E98" s="30">
        <f t="shared" si="73"/>
        <v>0.29221926682058114</v>
      </c>
      <c r="F98" s="12">
        <f t="shared" si="73"/>
        <v>0.24973553584506469</v>
      </c>
      <c r="G98" s="12">
        <f t="shared" si="73"/>
        <v>0.18959284627092846</v>
      </c>
      <c r="H98" s="12">
        <f t="shared" si="73"/>
        <v>0.10711034316184531</v>
      </c>
      <c r="I98" s="20">
        <f>AVERAGE($G98:$H98)</f>
        <v>0.14835159471638687</v>
      </c>
      <c r="J98" s="20">
        <f t="shared" ref="J98:M98" si="75">AVERAGE($G98:$H98)</f>
        <v>0.14835159471638687</v>
      </c>
      <c r="K98" s="20">
        <f t="shared" si="75"/>
        <v>0.14835159471638687</v>
      </c>
      <c r="L98" s="20">
        <f t="shared" si="75"/>
        <v>0.14835159471638687</v>
      </c>
      <c r="M98" s="20">
        <f t="shared" si="75"/>
        <v>0.14835159471638687</v>
      </c>
    </row>
    <row r="99" spans="1:14" hidden="1" x14ac:dyDescent="0.2">
      <c r="B99" s="19" t="s">
        <v>113</v>
      </c>
      <c r="C99" s="10"/>
      <c r="D99" s="28"/>
      <c r="E99" s="30">
        <f>E57/E$3</f>
        <v>0.52793138783784821</v>
      </c>
      <c r="F99" s="12">
        <f t="shared" si="73"/>
        <v>0.42297990072422492</v>
      </c>
      <c r="G99" s="12">
        <f t="shared" si="73"/>
        <v>0.40420471841704719</v>
      </c>
      <c r="H99" s="12">
        <f>H57/H$3</f>
        <v>0.35085372424428218</v>
      </c>
      <c r="I99" s="20">
        <f>AVERAGE($F99:$H99)</f>
        <v>0.39267944779518477</v>
      </c>
      <c r="J99" s="20">
        <f t="shared" ref="J99" si="76">AVERAGE($F99:$H99)</f>
        <v>0.39267944779518477</v>
      </c>
      <c r="K99" s="20">
        <f t="shared" ref="K99:M99" si="77">AVERAGE($F99:$H99)</f>
        <v>0.39267944779518477</v>
      </c>
      <c r="L99" s="20">
        <f t="shared" si="77"/>
        <v>0.39267944779518477</v>
      </c>
      <c r="M99" s="20">
        <f t="shared" si="77"/>
        <v>0.39267944779518477</v>
      </c>
    </row>
    <row r="100" spans="1:14" x14ac:dyDescent="0.2">
      <c r="B100" s="19" t="s">
        <v>74</v>
      </c>
      <c r="C100" s="10"/>
      <c r="D100" s="28"/>
      <c r="E100" s="30">
        <f t="shared" si="73"/>
        <v>1.3162875557958646E-2</v>
      </c>
      <c r="F100" s="12">
        <f t="shared" si="73"/>
        <v>4.9556513955570022E-2</v>
      </c>
      <c r="G100" s="12">
        <f t="shared" si="73"/>
        <v>4.9403855910705223E-2</v>
      </c>
      <c r="H100" s="12">
        <f t="shared" si="73"/>
        <v>3.745610612563402E-2</v>
      </c>
      <c r="I100" s="20">
        <f t="shared" si="74"/>
        <v>3.7394837887466975E-2</v>
      </c>
      <c r="J100" s="20">
        <f t="shared" si="74"/>
        <v>3.7394837887466975E-2</v>
      </c>
      <c r="K100" s="20">
        <f t="shared" si="74"/>
        <v>3.7394837887466975E-2</v>
      </c>
      <c r="L100" s="20">
        <f t="shared" si="74"/>
        <v>3.7394837887466975E-2</v>
      </c>
      <c r="M100" s="20">
        <f t="shared" si="74"/>
        <v>3.7394837887466975E-2</v>
      </c>
      <c r="N100" s="14" t="s">
        <v>230</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74"/>
        <v>9.2227591291270811E-3</v>
      </c>
      <c r="J101" s="20">
        <f t="shared" si="74"/>
        <v>9.2227591291270811E-3</v>
      </c>
      <c r="K101" s="20">
        <f t="shared" si="74"/>
        <v>9.2227591291270811E-3</v>
      </c>
      <c r="L101" s="20">
        <f t="shared" si="74"/>
        <v>9.2227591291270811E-3</v>
      </c>
      <c r="M101" s="20">
        <f t="shared" si="74"/>
        <v>9.2227591291270811E-3</v>
      </c>
      <c r="N101" s="95">
        <f>AVERAGE(E94:H94)</f>
        <v>17.651092319118735</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74"/>
        <v>3.6985161930630193E-2</v>
      </c>
      <c r="J102" s="20">
        <f t="shared" si="74"/>
        <v>3.6985161930630193E-2</v>
      </c>
      <c r="K102" s="20">
        <f t="shared" si="74"/>
        <v>3.6985161930630193E-2</v>
      </c>
      <c r="L102" s="20">
        <f t="shared" si="74"/>
        <v>3.6985161930630193E-2</v>
      </c>
      <c r="M102" s="20">
        <f t="shared" si="74"/>
        <v>3.6985161930630193E-2</v>
      </c>
      <c r="N102" s="95">
        <f>AVERAGE(E95:H95)</f>
        <v>48.051870630130189</v>
      </c>
    </row>
    <row r="103" spans="1:14" x14ac:dyDescent="0.2">
      <c r="B103" s="19"/>
      <c r="C103" s="10"/>
      <c r="D103" s="28"/>
      <c r="E103" s="31"/>
      <c r="F103" s="11"/>
      <c r="G103" s="11"/>
      <c r="H103" s="11"/>
      <c r="I103" s="20"/>
      <c r="J103" s="20"/>
      <c r="K103" s="20"/>
      <c r="L103" s="20"/>
      <c r="M103" s="20"/>
      <c r="N103" s="171">
        <f>AVERAGE(E96:H96)</f>
        <v>3.0185512153908106E-2</v>
      </c>
    </row>
    <row r="104" spans="1:14" x14ac:dyDescent="0.2">
      <c r="B104" s="10" t="s">
        <v>116</v>
      </c>
      <c r="C104" s="10"/>
      <c r="D104" s="28"/>
      <c r="E104" s="28"/>
      <c r="F104" s="10"/>
      <c r="G104" s="10"/>
      <c r="H104" s="10"/>
      <c r="I104" s="23"/>
      <c r="J104" s="23"/>
      <c r="K104" s="23"/>
      <c r="L104" s="23"/>
      <c r="M104" s="23"/>
      <c r="N104" s="171">
        <f t="shared" ref="N104:N109" si="78">AVERAGE(E97:H97)</f>
        <v>9.4690191667632692E-2</v>
      </c>
    </row>
    <row r="105" spans="1:14" x14ac:dyDescent="0.2">
      <c r="A105" s="10"/>
      <c r="B105" s="19" t="s">
        <v>107</v>
      </c>
      <c r="C105" s="109">
        <v>1860.3409999999999</v>
      </c>
      <c r="D105" s="110">
        <v>2390.25</v>
      </c>
      <c r="E105" s="111">
        <f>E69/(E3/365)</f>
        <v>57.900801341281422</v>
      </c>
      <c r="F105" s="112">
        <f>F69/F3*365</f>
        <v>56.001912279274144</v>
      </c>
      <c r="G105" s="112">
        <f>G69/G3*365</f>
        <v>70.034722222222214</v>
      </c>
      <c r="H105" s="112">
        <f>H69/H3*365</f>
        <v>67.984411868532035</v>
      </c>
      <c r="I105" s="113">
        <f>AVERAGE(E105:H105)</f>
        <v>62.980461927827463</v>
      </c>
      <c r="J105" s="113">
        <f t="shared" ref="J105:J109" si="79">I105</f>
        <v>62.980461927827463</v>
      </c>
      <c r="K105" s="113">
        <f t="shared" ref="K105:M105" si="80">J105</f>
        <v>62.980461927827463</v>
      </c>
      <c r="L105" s="113">
        <f t="shared" si="80"/>
        <v>62.980461927827463</v>
      </c>
      <c r="M105" s="113">
        <f t="shared" si="80"/>
        <v>62.980461927827463</v>
      </c>
      <c r="N105" s="171">
        <f t="shared" si="78"/>
        <v>0.20966449802460488</v>
      </c>
    </row>
    <row r="106" spans="1:14" x14ac:dyDescent="0.2">
      <c r="A106" s="10"/>
      <c r="B106" s="19" t="s">
        <v>108</v>
      </c>
      <c r="C106" s="109">
        <v>1210.028</v>
      </c>
      <c r="D106" s="110">
        <v>1731.366</v>
      </c>
      <c r="E106" s="107">
        <f t="shared" ref="E106:H107" si="81">E70/E$3</f>
        <v>9.7582910758115496E-2</v>
      </c>
      <c r="F106" s="106">
        <f t="shared" si="81"/>
        <v>0.11819513385954919</v>
      </c>
      <c r="G106" s="106">
        <f t="shared" si="81"/>
        <v>0.12224124809741248</v>
      </c>
      <c r="H106" s="106">
        <f t="shared" si="81"/>
        <v>0.10625568994667707</v>
      </c>
      <c r="I106" s="7">
        <f t="shared" ref="I106" si="82">AVERAGE(E106:H106)</f>
        <v>0.11106874566543856</v>
      </c>
      <c r="J106" s="108">
        <f t="shared" si="79"/>
        <v>0.11106874566543856</v>
      </c>
      <c r="K106" s="108">
        <f t="shared" ref="K106:M109" si="83">J106</f>
        <v>0.11106874566543856</v>
      </c>
      <c r="L106" s="108">
        <f t="shared" si="83"/>
        <v>0.11106874566543856</v>
      </c>
      <c r="M106" s="108">
        <f t="shared" si="83"/>
        <v>0.11106874566543856</v>
      </c>
      <c r="N106" s="171">
        <f t="shared" si="78"/>
        <v>0.42649243280585064</v>
      </c>
    </row>
    <row r="107" spans="1:14" x14ac:dyDescent="0.2">
      <c r="A107" s="10"/>
      <c r="B107" s="19" t="s">
        <v>109</v>
      </c>
      <c r="C107" s="109">
        <v>763.12599999999998</v>
      </c>
      <c r="D107" s="110">
        <v>1015.253</v>
      </c>
      <c r="E107" s="107">
        <f t="shared" si="81"/>
        <v>2.9368814554666577E-2</v>
      </c>
      <c r="F107" s="106">
        <f t="shared" si="81"/>
        <v>4.7318740336886649E-2</v>
      </c>
      <c r="G107" s="106">
        <f t="shared" si="81"/>
        <v>4.6232876712328765E-2</v>
      </c>
      <c r="H107" s="106">
        <f t="shared" si="81"/>
        <v>2.6884417442357356E-2</v>
      </c>
      <c r="I107" s="7">
        <f>AVERAGE(E107:H107)</f>
        <v>3.7451212261559841E-2</v>
      </c>
      <c r="J107" s="108">
        <f t="shared" si="79"/>
        <v>3.7451212261559841E-2</v>
      </c>
      <c r="K107" s="108">
        <f t="shared" si="83"/>
        <v>3.7451212261559841E-2</v>
      </c>
      <c r="L107" s="108">
        <f t="shared" si="83"/>
        <v>3.7451212261559841E-2</v>
      </c>
      <c r="M107" s="108">
        <f t="shared" si="83"/>
        <v>3.7451212261559841E-2</v>
      </c>
      <c r="N107" s="171">
        <f t="shared" si="78"/>
        <v>3.7394837887466975E-2</v>
      </c>
    </row>
    <row r="108" spans="1:14" x14ac:dyDescent="0.2">
      <c r="A108" s="10"/>
      <c r="B108" s="19" t="s">
        <v>110</v>
      </c>
      <c r="C108" s="109">
        <v>179.50399999999999</v>
      </c>
      <c r="D108" s="110">
        <v>787.33299999999997</v>
      </c>
      <c r="E108" s="107">
        <f t="shared" ref="E108:F110" si="84">E72/E$3</f>
        <v>2.3430116058380145E-2</v>
      </c>
      <c r="F108" s="106">
        <f t="shared" si="84"/>
        <v>1.2897713402229637E-2</v>
      </c>
      <c r="G108" s="106"/>
      <c r="H108" s="106"/>
      <c r="I108" s="7">
        <f>AVERAGE(E108:H108)</f>
        <v>1.8163914730304889E-2</v>
      </c>
      <c r="J108" s="108">
        <f t="shared" si="79"/>
        <v>1.8163914730304889E-2</v>
      </c>
      <c r="K108" s="108">
        <f t="shared" si="83"/>
        <v>1.8163914730304889E-2</v>
      </c>
      <c r="L108" s="108">
        <f t="shared" si="83"/>
        <v>1.8163914730304889E-2</v>
      </c>
      <c r="M108" s="108">
        <f t="shared" si="83"/>
        <v>1.8163914730304889E-2</v>
      </c>
      <c r="N108" s="171">
        <f t="shared" si="78"/>
        <v>9.2227591291270811E-3</v>
      </c>
    </row>
    <row r="109" spans="1:14" x14ac:dyDescent="0.2">
      <c r="A109" s="10"/>
      <c r="B109" s="19" t="s">
        <v>111</v>
      </c>
      <c r="C109" s="109">
        <v>663.85900000000004</v>
      </c>
      <c r="D109" s="110">
        <v>853.9190000000001</v>
      </c>
      <c r="E109" s="107">
        <f t="shared" si="84"/>
        <v>3.6931694809458605E-2</v>
      </c>
      <c r="F109" s="106">
        <f t="shared" si="84"/>
        <v>2.9538611766620555E-2</v>
      </c>
      <c r="G109" s="106">
        <f>G73/G$3</f>
        <v>2.3845763571790968E-2</v>
      </c>
      <c r="H109" s="106">
        <f>H73/H$3</f>
        <v>1.7185961391969977E-2</v>
      </c>
      <c r="I109" s="7">
        <f>AVERAGE(E109:H109)</f>
        <v>2.6875507884960029E-2</v>
      </c>
      <c r="J109" s="108">
        <f t="shared" si="79"/>
        <v>2.6875507884960029E-2</v>
      </c>
      <c r="K109" s="108">
        <f t="shared" si="83"/>
        <v>2.6875507884960029E-2</v>
      </c>
      <c r="L109" s="108">
        <f t="shared" si="83"/>
        <v>2.6875507884960029E-2</v>
      </c>
      <c r="M109" s="108">
        <f t="shared" si="83"/>
        <v>2.6875507884960029E-2</v>
      </c>
      <c r="N109" s="171">
        <f t="shared" si="78"/>
        <v>3.6985161930630193E-2</v>
      </c>
    </row>
    <row r="110" spans="1:14" x14ac:dyDescent="0.2">
      <c r="A110" s="10"/>
      <c r="B110" s="19" t="s">
        <v>89</v>
      </c>
      <c r="C110" s="109">
        <v>984.21100000000001</v>
      </c>
      <c r="D110" s="110">
        <v>796.54899999999998</v>
      </c>
      <c r="E110" s="107">
        <f t="shared" si="84"/>
        <v>0.11964339665298435</v>
      </c>
      <c r="F110" s="106">
        <f t="shared" si="84"/>
        <v>7.2625925624542273E-2</v>
      </c>
      <c r="G110" s="106">
        <f>G74/G$3</f>
        <v>6.7605276509386095E-2</v>
      </c>
      <c r="H110" s="106">
        <f>H74/H$3</f>
        <v>2.9522694758746262E-2</v>
      </c>
      <c r="I110" s="7">
        <f>H110</f>
        <v>2.9522694758746262E-2</v>
      </c>
      <c r="J110" s="7">
        <f t="shared" ref="J110:M110" si="85">AVERAGE(H110:I110)</f>
        <v>2.9522694758746262E-2</v>
      </c>
      <c r="K110" s="7">
        <f t="shared" si="85"/>
        <v>2.9522694758746262E-2</v>
      </c>
      <c r="L110" s="7">
        <f t="shared" si="85"/>
        <v>2.9522694758746262E-2</v>
      </c>
      <c r="M110" s="7">
        <f t="shared" si="85"/>
        <v>2.9522694758746262E-2</v>
      </c>
      <c r="N110" s="10"/>
    </row>
    <row r="111" spans="1:14" x14ac:dyDescent="0.2">
      <c r="A111" s="10"/>
      <c r="B111" s="19" t="s">
        <v>92</v>
      </c>
      <c r="C111" s="10"/>
      <c r="D111" s="28"/>
      <c r="E111" s="30">
        <f t="shared" ref="E111:H112" si="86">E77/E$3</f>
        <v>0.43816945019278453</v>
      </c>
      <c r="F111" s="12">
        <f t="shared" si="86"/>
        <v>0.47335015054113433</v>
      </c>
      <c r="G111" s="12">
        <f t="shared" si="86"/>
        <v>0.30301877219685441</v>
      </c>
      <c r="H111" s="12">
        <f t="shared" si="86"/>
        <v>9.7449045946900029E-2</v>
      </c>
      <c r="I111" s="20">
        <f>$H$111</f>
        <v>9.7449045946900029E-2</v>
      </c>
      <c r="J111" s="20">
        <f t="shared" ref="J111:M111" si="87">$H$111</f>
        <v>9.7449045946900029E-2</v>
      </c>
      <c r="K111" s="20">
        <f t="shared" si="87"/>
        <v>9.7449045946900029E-2</v>
      </c>
      <c r="L111" s="20">
        <f t="shared" si="87"/>
        <v>9.7449045946900029E-2</v>
      </c>
      <c r="M111" s="20">
        <f t="shared" si="87"/>
        <v>9.7449045946900029E-2</v>
      </c>
    </row>
    <row r="112" spans="1:14" x14ac:dyDescent="0.2">
      <c r="B112" s="19" t="s">
        <v>93</v>
      </c>
      <c r="C112" s="10"/>
      <c r="D112" s="28"/>
      <c r="E112" s="30">
        <f t="shared" si="86"/>
        <v>4.6170291522383486E-2</v>
      </c>
      <c r="F112" s="12">
        <f t="shared" si="86"/>
        <v>4.9108959231833345E-2</v>
      </c>
      <c r="G112" s="12">
        <f t="shared" si="86"/>
        <v>4.0715372907153727E-2</v>
      </c>
      <c r="H112" s="12">
        <f t="shared" si="86"/>
        <v>3.8124965163591776E-2</v>
      </c>
      <c r="I112" s="20">
        <f t="shared" ref="I112:M112" si="88">AVERAGE($E112:$H112)</f>
        <v>4.3529897206240578E-2</v>
      </c>
      <c r="J112" s="20">
        <f t="shared" si="88"/>
        <v>4.3529897206240578E-2</v>
      </c>
      <c r="K112" s="20">
        <f t="shared" si="88"/>
        <v>4.3529897206240578E-2</v>
      </c>
      <c r="L112" s="20">
        <f t="shared" si="88"/>
        <v>4.3529897206240578E-2</v>
      </c>
      <c r="M112" s="20">
        <f t="shared" si="88"/>
        <v>4.3529897206240578E-2</v>
      </c>
      <c r="N112" s="95">
        <f>AVERAGE(E105:H105)</f>
        <v>62.980461927827463</v>
      </c>
    </row>
    <row r="113" spans="2:18" x14ac:dyDescent="0.2">
      <c r="B113" s="19" t="s">
        <v>94</v>
      </c>
      <c r="C113" s="10"/>
      <c r="D113" s="28"/>
      <c r="E113" s="30">
        <f>E79/E$3</f>
        <v>1.532649422205622E-2</v>
      </c>
      <c r="F113" s="12">
        <f>F79/F$3</f>
        <v>1.4647245504109366E-3</v>
      </c>
      <c r="G113" s="12"/>
      <c r="H113" s="12"/>
      <c r="I113" s="20"/>
      <c r="J113" s="20"/>
      <c r="K113" s="20"/>
      <c r="L113" s="20"/>
      <c r="M113" s="20"/>
      <c r="N113" s="171">
        <f>AVERAGE(E106:H106)</f>
        <v>0.11106874566543856</v>
      </c>
    </row>
    <row r="114" spans="2:18" x14ac:dyDescent="0.2">
      <c r="B114" s="19" t="s">
        <v>95</v>
      </c>
      <c r="C114" s="56"/>
      <c r="D114" s="57"/>
      <c r="E114" s="30">
        <f>E80/E$3</f>
        <v>0.12629277077197862</v>
      </c>
      <c r="F114" s="12">
        <f>F80/F$3</f>
        <v>0.10802343559280657</v>
      </c>
      <c r="G114" s="12">
        <f>G80/G$3</f>
        <v>0.10559360730593607</v>
      </c>
      <c r="H114" s="12">
        <f>H80/H$3</f>
        <v>6.5882615238838413E-2</v>
      </c>
      <c r="I114" s="20">
        <f>$H$114</f>
        <v>6.5882615238838413E-2</v>
      </c>
      <c r="J114" s="20">
        <f t="shared" ref="J114:M114" si="89">$H$114</f>
        <v>6.5882615238838413E-2</v>
      </c>
      <c r="K114" s="20">
        <f t="shared" si="89"/>
        <v>6.5882615238838413E-2</v>
      </c>
      <c r="L114" s="20">
        <f t="shared" si="89"/>
        <v>6.5882615238838413E-2</v>
      </c>
      <c r="M114" s="20">
        <f t="shared" si="89"/>
        <v>6.5882615238838413E-2</v>
      </c>
      <c r="N114" s="171">
        <f t="shared" ref="N114:N121" si="90">AVERAGE(E107:H107)</f>
        <v>3.7451212261559841E-2</v>
      </c>
    </row>
    <row r="115" spans="2:18" x14ac:dyDescent="0.2">
      <c r="N115" s="171">
        <f t="shared" si="90"/>
        <v>1.8163914730304889E-2</v>
      </c>
    </row>
    <row r="116" spans="2:18" x14ac:dyDescent="0.2">
      <c r="B116" s="38" t="s">
        <v>118</v>
      </c>
      <c r="C116" s="39">
        <v>2016</v>
      </c>
      <c r="D116" s="63">
        <v>2017</v>
      </c>
      <c r="E116" s="64">
        <v>2018</v>
      </c>
      <c r="F116" s="40">
        <v>2019</v>
      </c>
      <c r="G116" s="40">
        <v>2020</v>
      </c>
      <c r="H116" s="40">
        <v>2021</v>
      </c>
      <c r="I116" s="41">
        <v>2022</v>
      </c>
      <c r="J116" s="41">
        <v>2023</v>
      </c>
      <c r="K116" s="41">
        <v>2024</v>
      </c>
      <c r="L116" s="41">
        <v>2025</v>
      </c>
      <c r="M116" s="41">
        <v>2026</v>
      </c>
      <c r="N116" s="171">
        <f t="shared" si="90"/>
        <v>2.6875507884960029E-2</v>
      </c>
    </row>
    <row r="117" spans="2:18" x14ac:dyDescent="0.2">
      <c r="B117" s="14" t="s">
        <v>119</v>
      </c>
      <c r="C117" s="71"/>
      <c r="D117" s="71"/>
      <c r="E117" s="8"/>
      <c r="F117" s="1"/>
      <c r="G117" s="1"/>
      <c r="H117" s="1"/>
      <c r="I117" s="24"/>
      <c r="J117" s="24"/>
      <c r="K117" s="24"/>
      <c r="L117" s="24"/>
      <c r="M117" s="24"/>
      <c r="N117" s="171">
        <f t="shared" si="90"/>
        <v>7.2349323386414741E-2</v>
      </c>
    </row>
    <row r="118" spans="2:18" x14ac:dyDescent="0.2">
      <c r="B118" s="114" t="s">
        <v>60</v>
      </c>
      <c r="C118" s="71">
        <v>-773.04600000000005</v>
      </c>
      <c r="D118" s="71">
        <v>-2240.578</v>
      </c>
      <c r="E118" s="8">
        <v>-1062.5819999999999</v>
      </c>
      <c r="F118" s="1">
        <v>-775</v>
      </c>
      <c r="G118" s="1">
        <v>862</v>
      </c>
      <c r="H118" s="1">
        <v>5644</v>
      </c>
      <c r="I118" s="24">
        <f>I16</f>
        <v>4934.4655430738294</v>
      </c>
      <c r="J118" s="24">
        <f>J16</f>
        <v>6776.0862698328074</v>
      </c>
      <c r="K118" s="24">
        <f>K16</f>
        <v>8419.2614878210479</v>
      </c>
      <c r="L118" s="24">
        <f>L16</f>
        <v>9708.3744339608947</v>
      </c>
      <c r="M118" s="24">
        <f>M16</f>
        <v>10295.624118948832</v>
      </c>
      <c r="N118" s="171">
        <f t="shared" si="90"/>
        <v>0.32799685471941831</v>
      </c>
    </row>
    <row r="119" spans="2:18" x14ac:dyDescent="0.2">
      <c r="B119" s="114" t="s">
        <v>120</v>
      </c>
      <c r="C119" s="71"/>
      <c r="D119" s="71"/>
      <c r="E119" s="8"/>
      <c r="F119" s="1"/>
      <c r="G119" s="1"/>
      <c r="H119" s="1"/>
      <c r="I119" s="24"/>
      <c r="J119" s="24"/>
      <c r="K119" s="24"/>
      <c r="L119" s="24"/>
      <c r="M119" s="24"/>
      <c r="N119" s="171">
        <f t="shared" si="90"/>
        <v>4.3529897206240578E-2</v>
      </c>
    </row>
    <row r="120" spans="2:18" x14ac:dyDescent="0.2">
      <c r="B120" s="115" t="s">
        <v>121</v>
      </c>
      <c r="C120" s="71">
        <v>947.09899999999993</v>
      </c>
      <c r="D120" s="71">
        <v>1636.0030000000002</v>
      </c>
      <c r="E120" s="8">
        <v>1901.05</v>
      </c>
      <c r="F120" s="1">
        <v>2154</v>
      </c>
      <c r="G120" s="1">
        <v>2322</v>
      </c>
      <c r="H120" s="1">
        <v>2911</v>
      </c>
      <c r="I120" s="24">
        <f>I3*I210</f>
        <v>7095.2416407975079</v>
      </c>
      <c r="J120" s="24">
        <f>J3*J210</f>
        <v>9729.4256595803254</v>
      </c>
      <c r="K120" s="24">
        <f>K3*K210</f>
        <v>12091.205374020892</v>
      </c>
      <c r="L120" s="24">
        <f>L3*L210</f>
        <v>13868.467376561</v>
      </c>
      <c r="M120" s="24">
        <f>M3*M210</f>
        <v>14769.967150138111</v>
      </c>
      <c r="N120" s="171"/>
    </row>
    <row r="121" spans="2:18" x14ac:dyDescent="0.2">
      <c r="B121" s="115" t="s">
        <v>122</v>
      </c>
      <c r="C121" s="71">
        <v>334.22500000000002</v>
      </c>
      <c r="D121" s="71">
        <v>466.76000000000005</v>
      </c>
      <c r="E121" s="8">
        <v>749.024</v>
      </c>
      <c r="F121" s="1">
        <v>898</v>
      </c>
      <c r="G121" s="1">
        <v>1734</v>
      </c>
      <c r="H121" s="1">
        <v>2121</v>
      </c>
      <c r="I121" s="24"/>
      <c r="J121" s="24"/>
      <c r="K121" s="24"/>
      <c r="L121" s="24"/>
      <c r="M121" s="24"/>
      <c r="N121" s="171">
        <f t="shared" si="90"/>
        <v>0.10144810722738992</v>
      </c>
    </row>
    <row r="122" spans="2:18" x14ac:dyDescent="0.2">
      <c r="B122" s="115" t="s">
        <v>123</v>
      </c>
      <c r="C122" s="71">
        <v>94.69</v>
      </c>
      <c r="D122" s="71">
        <v>91.037000000000006</v>
      </c>
      <c r="E122" s="8">
        <v>158.72999999999999</v>
      </c>
      <c r="F122" s="1"/>
      <c r="G122" s="1"/>
      <c r="H122" s="1"/>
      <c r="I122" s="24"/>
      <c r="J122" s="24"/>
      <c r="K122" s="24"/>
      <c r="L122" s="24"/>
      <c r="M122" s="24"/>
    </row>
    <row r="123" spans="2:18" x14ac:dyDescent="0.2">
      <c r="B123" s="115" t="s">
        <v>124</v>
      </c>
      <c r="C123" s="71">
        <v>65.52000000000001</v>
      </c>
      <c r="D123" s="71">
        <v>131.66500000000002</v>
      </c>
      <c r="E123" s="8">
        <v>85.272000000000006</v>
      </c>
      <c r="F123" s="1">
        <v>193</v>
      </c>
      <c r="G123" s="1">
        <v>202</v>
      </c>
      <c r="H123" s="1">
        <v>140</v>
      </c>
      <c r="I123" s="24"/>
      <c r="J123" s="24"/>
      <c r="K123" s="24"/>
      <c r="L123" s="24"/>
      <c r="M123" s="24"/>
    </row>
    <row r="124" spans="2:18" x14ac:dyDescent="0.2">
      <c r="B124" s="115" t="s">
        <v>125</v>
      </c>
      <c r="C124" s="71">
        <v>34.632999999999996</v>
      </c>
      <c r="D124" s="71">
        <v>105.77000000000001</v>
      </c>
      <c r="E124" s="8">
        <v>161.36099999999999</v>
      </c>
      <c r="F124" s="1"/>
      <c r="G124" s="1"/>
      <c r="H124" s="1"/>
      <c r="I124" s="24"/>
      <c r="J124" s="24"/>
      <c r="K124" s="24"/>
      <c r="L124" s="24"/>
      <c r="M124" s="24"/>
    </row>
    <row r="125" spans="2:18" x14ac:dyDescent="0.2">
      <c r="B125" s="115" t="s">
        <v>126</v>
      </c>
      <c r="C125" s="71">
        <v>-29.183</v>
      </c>
      <c r="D125" s="71">
        <v>52.309000000000005</v>
      </c>
      <c r="E125" s="8">
        <v>-1.5109999999999999</v>
      </c>
      <c r="F125" s="1">
        <v>-48</v>
      </c>
      <c r="G125" s="1">
        <v>114</v>
      </c>
      <c r="H125" s="1">
        <v>-55</v>
      </c>
      <c r="I125" s="24"/>
      <c r="J125" s="24"/>
      <c r="K125" s="24"/>
      <c r="L125" s="24"/>
      <c r="M125" s="24"/>
    </row>
    <row r="126" spans="2:18" x14ac:dyDescent="0.2">
      <c r="B126" s="115" t="s">
        <v>127</v>
      </c>
      <c r="C126" s="71">
        <v>-88.727000000000004</v>
      </c>
      <c r="D126" s="71">
        <v>57.746000000000002</v>
      </c>
      <c r="E126" s="8">
        <v>0</v>
      </c>
      <c r="F126" s="1"/>
      <c r="G126" s="1"/>
      <c r="H126" s="1"/>
      <c r="I126" s="24"/>
      <c r="J126" s="24"/>
      <c r="K126" s="24"/>
      <c r="L126" s="24"/>
      <c r="M126" s="24"/>
    </row>
    <row r="127" spans="2:18" ht="17" customHeight="1" x14ac:dyDescent="0.2">
      <c r="B127" s="115" t="s">
        <v>128</v>
      </c>
      <c r="C127" s="71">
        <v>-15.178999999999998</v>
      </c>
      <c r="D127" s="71">
        <v>135.23699999999999</v>
      </c>
      <c r="E127" s="8">
        <v>48.506999999999998</v>
      </c>
      <c r="F127" s="1">
        <v>520</v>
      </c>
      <c r="G127" s="1">
        <v>525</v>
      </c>
      <c r="H127" s="1">
        <v>245</v>
      </c>
      <c r="I127" s="24"/>
      <c r="J127" s="24"/>
      <c r="K127" s="24"/>
      <c r="L127" s="24"/>
      <c r="M127" s="24"/>
    </row>
    <row r="128" spans="2:18" hidden="1" x14ac:dyDescent="0.2">
      <c r="B128" s="115" t="s">
        <v>129</v>
      </c>
      <c r="C128" s="71">
        <v>-216.565</v>
      </c>
      <c r="D128" s="71"/>
      <c r="E128" s="8"/>
      <c r="F128" s="1"/>
      <c r="G128" s="1"/>
      <c r="H128" s="1">
        <v>-27</v>
      </c>
      <c r="I128" s="24"/>
      <c r="J128" s="24"/>
      <c r="K128" s="24"/>
      <c r="L128" s="24"/>
      <c r="M128" s="24"/>
      <c r="R128" s="36"/>
    </row>
    <row r="129" spans="2:28" hidden="1" x14ac:dyDescent="0.2">
      <c r="B129" s="115" t="s">
        <v>130</v>
      </c>
      <c r="C129" s="71">
        <v>-632.86699999999996</v>
      </c>
      <c r="D129" s="71"/>
      <c r="E129" s="8"/>
      <c r="F129" s="1">
        <v>-188</v>
      </c>
      <c r="G129" s="1"/>
      <c r="H129" s="1"/>
      <c r="I129" s="24"/>
      <c r="J129" s="24"/>
      <c r="K129" s="24"/>
      <c r="L129" s="24"/>
      <c r="M129" s="24"/>
      <c r="R129" s="36"/>
      <c r="S129" s="36"/>
      <c r="T129" s="36"/>
      <c r="U129" s="36"/>
      <c r="V129" s="36"/>
      <c r="W129" s="36"/>
      <c r="X129" s="36"/>
      <c r="Y129" s="36"/>
      <c r="Z129" s="36"/>
      <c r="AA129" s="36"/>
    </row>
    <row r="130" spans="2:28"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28"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28"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28" hidden="1" x14ac:dyDescent="0.2">
      <c r="B133" s="174" t="s">
        <v>133</v>
      </c>
      <c r="C133" s="33">
        <v>-49.352999999999994</v>
      </c>
      <c r="D133" s="33">
        <v>-1522.5729999999999</v>
      </c>
      <c r="E133" s="33">
        <v>-214.74699999999999</v>
      </c>
      <c r="F133" s="34">
        <v>-764</v>
      </c>
      <c r="G133" s="34">
        <v>-1072</v>
      </c>
      <c r="H133" s="34">
        <v>-2114</v>
      </c>
      <c r="I133" s="35"/>
      <c r="J133" s="35"/>
      <c r="K133" s="35"/>
      <c r="L133" s="35"/>
      <c r="M133" s="35"/>
      <c r="R133" s="10"/>
      <c r="S133" s="36"/>
      <c r="T133" s="36"/>
      <c r="U133" s="36"/>
      <c r="V133" s="36"/>
      <c r="W133" s="36"/>
      <c r="X133" s="36"/>
      <c r="Y133" s="36"/>
      <c r="Z133" s="36"/>
      <c r="AA133" s="36"/>
    </row>
    <row r="134" spans="2:28" hidden="1" x14ac:dyDescent="0.2">
      <c r="B134" s="37" t="s">
        <v>68</v>
      </c>
      <c r="C134" s="33">
        <v>750.64</v>
      </c>
      <c r="D134" s="33">
        <v>-72.084000000000003</v>
      </c>
      <c r="E134" s="33">
        <v>-82.125</v>
      </c>
      <c r="F134" s="34">
        <v>-288</v>
      </c>
      <c r="G134" s="34">
        <v>-251</v>
      </c>
      <c r="H134" s="34">
        <v>-271</v>
      </c>
      <c r="I134" s="35"/>
      <c r="J134" s="35"/>
      <c r="K134" s="35"/>
      <c r="L134" s="35"/>
      <c r="M134" s="35"/>
      <c r="R134" s="10"/>
      <c r="S134" s="10"/>
      <c r="T134" s="10"/>
      <c r="U134" s="10"/>
      <c r="V134" s="10"/>
      <c r="W134" s="10"/>
      <c r="X134" s="10"/>
      <c r="Y134" s="10"/>
      <c r="Z134" s="10"/>
      <c r="AA134" s="10"/>
      <c r="AB134" s="36"/>
    </row>
    <row r="135" spans="2:28"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28" hidden="1" x14ac:dyDescent="0.2">
      <c r="B136" s="9" t="s">
        <v>131</v>
      </c>
      <c r="C136" s="116"/>
      <c r="D136" s="116"/>
      <c r="E136" s="111"/>
      <c r="F136" s="112"/>
      <c r="G136" s="112"/>
      <c r="H136" s="112"/>
      <c r="I136" s="87"/>
      <c r="J136" s="87"/>
      <c r="K136" s="87"/>
      <c r="L136" s="87"/>
      <c r="M136" s="10"/>
      <c r="R136" s="10"/>
      <c r="S136" s="10"/>
      <c r="T136" s="10"/>
      <c r="U136" s="10"/>
      <c r="V136" s="10"/>
      <c r="W136" s="10"/>
      <c r="X136" s="10"/>
      <c r="Y136" s="10"/>
      <c r="Z136" s="10"/>
      <c r="AA136" s="10"/>
      <c r="AB136" s="36"/>
    </row>
    <row r="137" spans="2:28" hidden="1" x14ac:dyDescent="0.2">
      <c r="B137" s="19" t="s">
        <v>66</v>
      </c>
      <c r="C137" s="111"/>
      <c r="D137" s="111">
        <f t="shared" ref="D137:D138" si="91">C50-D50</f>
        <v>-16.23900000000009</v>
      </c>
      <c r="E137" s="111">
        <f>D50-E50</f>
        <v>-433.64099999999985</v>
      </c>
      <c r="F137" s="111">
        <f t="shared" ref="F137:M137" si="92">E50-F50</f>
        <v>-374.97800000000007</v>
      </c>
      <c r="G137" s="111">
        <f t="shared" si="92"/>
        <v>-562</v>
      </c>
      <c r="H137" s="111">
        <f t="shared" si="92"/>
        <v>-27</v>
      </c>
      <c r="I137" s="111">
        <f t="shared" si="92"/>
        <v>-2602.7058530134636</v>
      </c>
      <c r="J137" s="111">
        <f t="shared" si="92"/>
        <v>-1676.5038872157511</v>
      </c>
      <c r="K137" s="111">
        <f t="shared" si="92"/>
        <v>-1503.1344977320568</v>
      </c>
      <c r="L137" s="111">
        <f t="shared" si="92"/>
        <v>-1131.1231996753704</v>
      </c>
      <c r="M137" s="111">
        <f t="shared" si="92"/>
        <v>-573.75181989924204</v>
      </c>
      <c r="N137" s="36"/>
      <c r="Q137" s="36"/>
      <c r="R137" s="10"/>
      <c r="S137" s="10"/>
      <c r="T137" s="10"/>
      <c r="U137" s="10"/>
      <c r="V137" s="10"/>
      <c r="W137" s="10"/>
      <c r="X137" s="10"/>
      <c r="Y137" s="10"/>
      <c r="Z137" s="10"/>
      <c r="AA137" s="10"/>
      <c r="AB137" s="36"/>
    </row>
    <row r="138" spans="2:28" s="36" customFormat="1" hidden="1" x14ac:dyDescent="0.2">
      <c r="B138" s="19" t="s">
        <v>67</v>
      </c>
      <c r="C138" s="111"/>
      <c r="D138" s="111">
        <f t="shared" si="91"/>
        <v>-196.08299999999963</v>
      </c>
      <c r="E138" s="111">
        <f t="shared" ref="E138:M138" si="93">D51-E51</f>
        <v>-849.90900000000011</v>
      </c>
      <c r="F138" s="111">
        <f>E51-F51</f>
        <v>-438.55400000000009</v>
      </c>
      <c r="G138" s="111">
        <f t="shared" si="93"/>
        <v>-549</v>
      </c>
      <c r="H138" s="111">
        <f t="shared" si="93"/>
        <v>-1656</v>
      </c>
      <c r="I138" s="111">
        <f t="shared" si="93"/>
        <v>-6536.1833072843037</v>
      </c>
      <c r="J138" s="111">
        <f t="shared" si="93"/>
        <v>-4563.9752171113068</v>
      </c>
      <c r="K138" s="111">
        <f t="shared" si="93"/>
        <v>-4092.0087617734862</v>
      </c>
      <c r="L138" s="111">
        <f t="shared" si="93"/>
        <v>-3079.276039968805</v>
      </c>
      <c r="M138" s="111">
        <f t="shared" si="93"/>
        <v>-1561.9343961924678</v>
      </c>
      <c r="R138" s="10"/>
      <c r="S138" s="10"/>
      <c r="T138" s="10"/>
      <c r="U138" s="10"/>
      <c r="V138" s="10"/>
      <c r="W138" s="10"/>
      <c r="X138" s="10"/>
      <c r="Y138" s="10"/>
      <c r="Z138" s="10"/>
      <c r="AA138" s="10"/>
    </row>
    <row r="139" spans="2:28" s="36" customFormat="1" hidden="1" x14ac:dyDescent="0.2">
      <c r="B139" s="175" t="s">
        <v>133</v>
      </c>
      <c r="C139" s="111"/>
      <c r="D139" s="111"/>
      <c r="E139" s="111"/>
      <c r="F139" s="111"/>
      <c r="G139" s="111"/>
      <c r="H139" s="111"/>
      <c r="I139" s="111"/>
      <c r="J139" s="111"/>
      <c r="K139" s="111"/>
      <c r="L139" s="111"/>
      <c r="M139" s="111"/>
      <c r="R139" s="10"/>
      <c r="S139" s="10"/>
      <c r="T139" s="10"/>
      <c r="U139" s="10"/>
      <c r="V139" s="10"/>
      <c r="W139" s="10"/>
      <c r="X139" s="10"/>
      <c r="Y139" s="10"/>
      <c r="Z139" s="10"/>
      <c r="AA139" s="10"/>
    </row>
    <row r="140" spans="2:28" s="36" customFormat="1" hidden="1" x14ac:dyDescent="0.2">
      <c r="B140" s="165" t="s">
        <v>68</v>
      </c>
      <c r="C140" s="111"/>
      <c r="D140" s="111">
        <f t="shared" ref="D140" si="94">C52-D52</f>
        <v>-73.900000000000006</v>
      </c>
      <c r="E140" s="111">
        <f t="shared" ref="E140:M140" si="95">D52-E52</f>
        <v>-97.305999999999983</v>
      </c>
      <c r="F140" s="111">
        <f t="shared" si="95"/>
        <v>-347.32900000000001</v>
      </c>
      <c r="G140" s="111">
        <f t="shared" si="95"/>
        <v>-633</v>
      </c>
      <c r="H140" s="111">
        <f t="shared" si="95"/>
        <v>-377</v>
      </c>
      <c r="I140" s="111">
        <f t="shared" si="95"/>
        <v>-1095.6780385890779</v>
      </c>
      <c r="J140" s="111">
        <f t="shared" si="95"/>
        <v>-1046.4642388854395</v>
      </c>
      <c r="K140" s="111">
        <f t="shared" si="95"/>
        <v>-938.24804708561669</v>
      </c>
      <c r="L140" s="111">
        <f t="shared" si="95"/>
        <v>-706.04070009031784</v>
      </c>
      <c r="M140" s="111">
        <f t="shared" si="95"/>
        <v>-358.13263905825443</v>
      </c>
      <c r="R140" s="10"/>
      <c r="S140" s="10"/>
      <c r="T140" s="10"/>
      <c r="U140" s="10"/>
      <c r="V140" s="10"/>
      <c r="W140" s="10"/>
      <c r="X140" s="10"/>
      <c r="Y140" s="10"/>
      <c r="Z140" s="10"/>
      <c r="AA140" s="10"/>
      <c r="AB140" s="10"/>
    </row>
    <row r="141" spans="2:28" s="36" customFormat="1" hidden="1" x14ac:dyDescent="0.2">
      <c r="B141" s="19" t="s">
        <v>84</v>
      </c>
      <c r="C141" s="8"/>
      <c r="D141" s="8">
        <f t="shared" ref="D141:D145" si="96">D69-C69</f>
        <v>529.90900000000011</v>
      </c>
      <c r="E141" s="8">
        <f t="shared" ref="E141:M141" si="97">E69-D69</f>
        <v>1014.201</v>
      </c>
      <c r="F141" s="8">
        <f t="shared" si="97"/>
        <v>366.54899999999998</v>
      </c>
      <c r="G141" s="8">
        <f t="shared" si="97"/>
        <v>2280</v>
      </c>
      <c r="H141" s="8">
        <f t="shared" si="97"/>
        <v>3974</v>
      </c>
      <c r="I141" s="8">
        <f t="shared" si="97"/>
        <v>6087.3875741635311</v>
      </c>
      <c r="J141" s="8">
        <f t="shared" si="97"/>
        <v>5981.8954731929043</v>
      </c>
      <c r="K141" s="8">
        <f t="shared" si="97"/>
        <v>5363.3000890419862</v>
      </c>
      <c r="L141" s="8">
        <f t="shared" si="97"/>
        <v>4035.9350189152319</v>
      </c>
      <c r="M141" s="8">
        <f t="shared" si="97"/>
        <v>2047.1908477894212</v>
      </c>
      <c r="R141" s="10"/>
      <c r="S141" s="10"/>
      <c r="T141" s="10"/>
      <c r="U141" s="10"/>
      <c r="V141" s="10"/>
      <c r="W141" s="10"/>
      <c r="X141" s="10"/>
      <c r="Y141" s="10"/>
      <c r="Z141" s="10"/>
      <c r="AA141" s="10"/>
      <c r="AB141" s="10"/>
    </row>
    <row r="142" spans="2:28" s="36" customFormat="1" x14ac:dyDescent="0.2">
      <c r="B142" s="19" t="s">
        <v>85</v>
      </c>
      <c r="C142" s="8"/>
      <c r="D142" s="8">
        <f t="shared" si="96"/>
        <v>521.33799999999997</v>
      </c>
      <c r="E142" s="8">
        <f t="shared" ref="E142:M142" si="98">E70-D70</f>
        <v>362.88699999999972</v>
      </c>
      <c r="F142" s="8">
        <f t="shared" si="98"/>
        <v>810.7470000000003</v>
      </c>
      <c r="G142" s="8">
        <f t="shared" si="98"/>
        <v>950</v>
      </c>
      <c r="H142" s="8">
        <f t="shared" si="98"/>
        <v>1864</v>
      </c>
      <c r="I142" s="8">
        <f t="shared" si="98"/>
        <v>4652.4335733168882</v>
      </c>
      <c r="J142" s="8">
        <f t="shared" si="98"/>
        <v>3850.5051630106409</v>
      </c>
      <c r="K142" s="8">
        <f t="shared" si="98"/>
        <v>3452.319549242924</v>
      </c>
      <c r="L142" s="8">
        <f t="shared" si="98"/>
        <v>2597.9037409715384</v>
      </c>
      <c r="M142" s="8">
        <f t="shared" si="98"/>
        <v>1317.7627333019627</v>
      </c>
      <c r="R142" s="10"/>
      <c r="S142" s="10"/>
      <c r="T142" s="10"/>
      <c r="U142" s="10"/>
      <c r="V142" s="10"/>
      <c r="W142" s="10"/>
      <c r="X142" s="10"/>
      <c r="Y142" s="10"/>
      <c r="Z142" s="10"/>
      <c r="AA142" s="10"/>
      <c r="AB142" s="10"/>
    </row>
    <row r="143" spans="2:28" s="36" customFormat="1" x14ac:dyDescent="0.2">
      <c r="B143" s="19" t="s">
        <v>86</v>
      </c>
      <c r="C143" s="8"/>
      <c r="D143" s="8">
        <f t="shared" si="96"/>
        <v>252.12700000000007</v>
      </c>
      <c r="E143" s="8">
        <f t="shared" ref="E143:M143" si="99">E71-D71</f>
        <v>-384.96100000000001</v>
      </c>
      <c r="F143" s="8">
        <f t="shared" si="99"/>
        <v>532.70799999999997</v>
      </c>
      <c r="G143" s="8">
        <f t="shared" si="99"/>
        <v>295</v>
      </c>
      <c r="H143" s="8">
        <f t="shared" si="99"/>
        <v>-11</v>
      </c>
      <c r="I143" s="8">
        <f t="shared" si="99"/>
        <v>2050.1382622881729</v>
      </c>
      <c r="J143" s="8">
        <f t="shared" si="99"/>
        <v>1298.3498220869569</v>
      </c>
      <c r="K143" s="8">
        <f t="shared" si="99"/>
        <v>1164.0858232331848</v>
      </c>
      <c r="L143" s="8">
        <f t="shared" si="99"/>
        <v>875.98580370481977</v>
      </c>
      <c r="M143" s="8">
        <f t="shared" si="99"/>
        <v>444.33572684725095</v>
      </c>
      <c r="N143" s="10"/>
      <c r="Q143" s="10"/>
      <c r="R143" s="10"/>
      <c r="S143" s="10"/>
      <c r="T143" s="10"/>
      <c r="U143" s="10"/>
      <c r="V143" s="10"/>
      <c r="W143" s="10"/>
      <c r="X143" s="10"/>
      <c r="Y143" s="10"/>
      <c r="Z143" s="10"/>
      <c r="AA143" s="10"/>
      <c r="AB143" s="10"/>
    </row>
    <row r="144" spans="2:28" s="10" customFormat="1" ht="15" customHeight="1" x14ac:dyDescent="0.2">
      <c r="B144" s="19" t="s">
        <v>87</v>
      </c>
      <c r="C144" s="8"/>
      <c r="D144" s="8">
        <f t="shared" si="96"/>
        <v>607.82899999999995</v>
      </c>
      <c r="E144" s="8">
        <f t="shared" ref="E144:G145" si="100">E72-D72</f>
        <v>-284.49299999999999</v>
      </c>
      <c r="F144" s="8">
        <f t="shared" si="100"/>
        <v>-185.83999999999997</v>
      </c>
      <c r="G144" s="8">
        <f t="shared" si="100"/>
        <v>-317</v>
      </c>
      <c r="H144" s="8"/>
      <c r="I144" s="8"/>
      <c r="J144" s="8"/>
      <c r="K144" s="8"/>
      <c r="L144" s="8"/>
      <c r="M144" s="8"/>
    </row>
    <row r="145" spans="2:28" s="10" customFormat="1" x14ac:dyDescent="0.2">
      <c r="B145" s="19" t="s">
        <v>88</v>
      </c>
      <c r="C145" s="2"/>
      <c r="D145" s="2">
        <f t="shared" si="96"/>
        <v>190.06000000000006</v>
      </c>
      <c r="E145" s="2">
        <f t="shared" si="100"/>
        <v>-61.318000000000097</v>
      </c>
      <c r="F145" s="2">
        <f t="shared" si="100"/>
        <v>-66.600999999999999</v>
      </c>
      <c r="G145" s="2">
        <f t="shared" si="100"/>
        <v>26</v>
      </c>
      <c r="H145" s="2">
        <f t="shared" ref="H145:M145" si="101">H73-G73</f>
        <v>173</v>
      </c>
      <c r="I145" s="2">
        <f t="shared" si="101"/>
        <v>1584.5947839154574</v>
      </c>
      <c r="J145" s="2">
        <f t="shared" si="101"/>
        <v>931.71378905535948</v>
      </c>
      <c r="K145" s="2">
        <f t="shared" si="101"/>
        <v>835.36408655014884</v>
      </c>
      <c r="L145" s="2">
        <f t="shared" si="101"/>
        <v>628.61952799178562</v>
      </c>
      <c r="M145" s="2">
        <f t="shared" si="101"/>
        <v>318.86146293613638</v>
      </c>
      <c r="R145" s="36"/>
    </row>
    <row r="146" spans="2:28" s="10" customFormat="1" x14ac:dyDescent="0.2">
      <c r="B146" s="22" t="s">
        <v>112</v>
      </c>
      <c r="C146" s="116"/>
      <c r="D146" s="67">
        <f t="shared" ref="D146:M146" si="102">SUM(D137:D145)</f>
        <v>1815.0410000000002</v>
      </c>
      <c r="E146" s="67">
        <f t="shared" si="102"/>
        <v>-734.5400000000003</v>
      </c>
      <c r="F146" s="68">
        <f t="shared" si="102"/>
        <v>296.70200000000017</v>
      </c>
      <c r="G146" s="68">
        <f t="shared" si="102"/>
        <v>1490</v>
      </c>
      <c r="H146" s="68">
        <f t="shared" si="102"/>
        <v>3940</v>
      </c>
      <c r="I146" s="68">
        <f t="shared" si="102"/>
        <v>4139.9869947972038</v>
      </c>
      <c r="J146" s="68">
        <f t="shared" si="102"/>
        <v>4775.5209041333646</v>
      </c>
      <c r="K146" s="68">
        <f t="shared" si="102"/>
        <v>4281.6782414770842</v>
      </c>
      <c r="L146" s="68">
        <f t="shared" si="102"/>
        <v>3222.0041518488824</v>
      </c>
      <c r="M146" s="68">
        <f t="shared" si="102"/>
        <v>1634.331915724807</v>
      </c>
      <c r="R146" s="14"/>
      <c r="S146" s="36"/>
      <c r="T146" s="36"/>
      <c r="U146" s="36"/>
      <c r="V146" s="36"/>
      <c r="W146" s="36"/>
      <c r="X146" s="36"/>
      <c r="Y146" s="36"/>
      <c r="Z146" s="36"/>
      <c r="AA146" s="36"/>
    </row>
    <row r="147" spans="2:28" s="10" customFormat="1" x14ac:dyDescent="0.2">
      <c r="B147" s="9" t="s">
        <v>80</v>
      </c>
      <c r="C147" s="116">
        <v>382.96199999999999</v>
      </c>
      <c r="D147" s="116">
        <v>-15.452999999999999</v>
      </c>
      <c r="E147" s="111">
        <v>-207.40900000000002</v>
      </c>
      <c r="F147" s="112">
        <v>115</v>
      </c>
      <c r="G147" s="112">
        <v>-344</v>
      </c>
      <c r="H147" s="112">
        <v>-1291</v>
      </c>
      <c r="I147" s="111">
        <f>H64-I64</f>
        <v>-1315.6191784982198</v>
      </c>
      <c r="J147" s="111">
        <f>I64-J64</f>
        <v>-1282.1928987804408</v>
      </c>
      <c r="K147" s="111">
        <f>J64-K64</f>
        <v>-1149.5997078209693</v>
      </c>
      <c r="L147" s="111">
        <f>K64-L64</f>
        <v>-865.08486221179101</v>
      </c>
      <c r="M147" s="111">
        <f>L64-M64</f>
        <v>-438.80632472550406</v>
      </c>
      <c r="R147" s="14"/>
      <c r="S147" s="14"/>
      <c r="T147" s="14"/>
      <c r="U147" s="14"/>
      <c r="V147" s="14"/>
      <c r="W147" s="14"/>
      <c r="X147" s="14"/>
      <c r="Y147" s="14"/>
      <c r="Z147" s="14"/>
      <c r="AA147" s="14"/>
    </row>
    <row r="148" spans="2:28" s="10" customFormat="1" x14ac:dyDescent="0.2">
      <c r="B148" s="9" t="s">
        <v>134</v>
      </c>
      <c r="C148" s="71">
        <v>388.36099999999999</v>
      </c>
      <c r="D148" s="71">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28" s="10" customFormat="1" x14ac:dyDescent="0.2">
      <c r="B149" s="9" t="s">
        <v>86</v>
      </c>
      <c r="C149" s="71">
        <v>326.93400000000003</v>
      </c>
      <c r="D149" s="71">
        <v>468.90200000000004</v>
      </c>
      <c r="E149" s="8">
        <v>406.661</v>
      </c>
      <c r="F149" s="1">
        <v>801</v>
      </c>
      <c r="G149" s="1">
        <v>321</v>
      </c>
      <c r="H149" s="1">
        <v>793</v>
      </c>
      <c r="I149" s="24"/>
      <c r="J149" s="24"/>
      <c r="K149" s="24"/>
      <c r="L149" s="24"/>
      <c r="M149" s="24"/>
    </row>
    <row r="150" spans="2:28" s="10" customFormat="1" x14ac:dyDescent="0.2">
      <c r="B150" s="9" t="s">
        <v>88</v>
      </c>
      <c r="C150" s="71">
        <v>132.05699999999999</v>
      </c>
      <c r="D150" s="71">
        <v>170.02699999999999</v>
      </c>
      <c r="E150" s="8">
        <v>-96.685000000000002</v>
      </c>
      <c r="F150" s="1">
        <v>-58</v>
      </c>
      <c r="G150" s="1">
        <v>7</v>
      </c>
      <c r="H150" s="1">
        <v>186</v>
      </c>
      <c r="I150" s="24"/>
      <c r="J150" s="24"/>
      <c r="K150" s="24"/>
      <c r="L150" s="24"/>
      <c r="M150" s="24"/>
      <c r="R150" s="14"/>
      <c r="S150" s="14"/>
      <c r="T150" s="14"/>
      <c r="U150" s="14"/>
      <c r="V150" s="14"/>
      <c r="W150" s="14"/>
      <c r="X150" s="14"/>
      <c r="Y150" s="14"/>
      <c r="Z150" s="14"/>
      <c r="AA150" s="14"/>
    </row>
    <row r="151" spans="2:28" s="10" customFormat="1" x14ac:dyDescent="0.2">
      <c r="B151" s="9" t="s">
        <v>135</v>
      </c>
      <c r="C151" s="71">
        <v>-123.82899999999999</v>
      </c>
      <c r="D151" s="71">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28" s="10" customFormat="1" ht="17" thickBot="1" x14ac:dyDescent="0.25">
      <c r="B152" s="9" t="s">
        <v>95</v>
      </c>
      <c r="C152" s="117">
        <v>0</v>
      </c>
      <c r="D152" s="117">
        <v>81.138999999999996</v>
      </c>
      <c r="E152" s="29">
        <v>159.96600000000001</v>
      </c>
      <c r="F152" s="29">
        <v>-5</v>
      </c>
      <c r="G152" s="29">
        <v>495</v>
      </c>
      <c r="H152" s="29">
        <v>476</v>
      </c>
      <c r="I152" s="118">
        <f>I80-H80</f>
        <v>2606.0202059743815</v>
      </c>
      <c r="J152" s="118">
        <f>J80-I80</f>
        <v>2284.0030164194914</v>
      </c>
      <c r="K152" s="118">
        <f>K80-J80</f>
        <v>2047.811372871809</v>
      </c>
      <c r="L152" s="118">
        <f>L80-K80</f>
        <v>1540.9977988724677</v>
      </c>
      <c r="M152" s="118">
        <f>M80-L80</f>
        <v>781.65693340703911</v>
      </c>
      <c r="R152" s="14"/>
      <c r="S152" s="14"/>
      <c r="T152" s="14"/>
      <c r="U152" s="14"/>
      <c r="V152" s="14"/>
      <c r="W152" s="14"/>
      <c r="X152" s="14"/>
      <c r="Y152" s="14"/>
      <c r="Z152" s="14"/>
      <c r="AA152" s="14"/>
      <c r="AB152" s="14"/>
    </row>
    <row r="153" spans="2:28" s="10" customFormat="1" ht="17" thickTop="1" x14ac:dyDescent="0.2">
      <c r="B153" s="120" t="s">
        <v>136</v>
      </c>
      <c r="C153" s="66">
        <v>-1280.8020000000001</v>
      </c>
      <c r="D153" s="66">
        <v>-60.653999999999996</v>
      </c>
      <c r="E153" s="67">
        <v>2097.8020000000001</v>
      </c>
      <c r="F153" s="68">
        <v>2405</v>
      </c>
      <c r="G153" s="68">
        <v>5943</v>
      </c>
      <c r="H153" s="68">
        <v>11497</v>
      </c>
      <c r="I153" s="24">
        <f>I118+I120+I146+I147+I152</f>
        <v>17460.095206144702</v>
      </c>
      <c r="J153" s="24">
        <f>J118+J120+J146+J147+J152</f>
        <v>22282.842951185547</v>
      </c>
      <c r="K153" s="24">
        <f>K118+K120+K146+K147+K152</f>
        <v>25690.356768369864</v>
      </c>
      <c r="L153" s="24">
        <f>L118+L120+L146+L147+L152</f>
        <v>27474.758899031454</v>
      </c>
      <c r="M153" s="24">
        <f>M118+M120+M146+M147+M152</f>
        <v>27042.773793493288</v>
      </c>
      <c r="R153" s="14"/>
      <c r="S153" s="14"/>
      <c r="T153" s="14"/>
      <c r="U153" s="14"/>
      <c r="V153" s="14"/>
      <c r="W153" s="14"/>
      <c r="X153" s="14"/>
      <c r="Y153" s="14"/>
      <c r="Z153" s="14"/>
      <c r="AA153" s="14"/>
      <c r="AB153" s="14"/>
    </row>
    <row r="154" spans="2:28" s="10" customFormat="1" x14ac:dyDescent="0.2">
      <c r="B154" s="119"/>
      <c r="C154" s="66"/>
      <c r="D154" s="66"/>
      <c r="E154" s="67"/>
      <c r="F154" s="68"/>
      <c r="G154" s="68"/>
      <c r="H154" s="68"/>
      <c r="I154" s="24"/>
      <c r="J154" s="24"/>
      <c r="K154" s="24"/>
      <c r="L154" s="24"/>
      <c r="M154" s="24"/>
      <c r="R154" s="14"/>
      <c r="S154" s="14"/>
      <c r="T154" s="14"/>
      <c r="U154" s="14"/>
      <c r="V154" s="14"/>
      <c r="W154" s="14"/>
      <c r="X154" s="14"/>
      <c r="Y154" s="14"/>
      <c r="Z154" s="14"/>
      <c r="AA154" s="14"/>
      <c r="AB154" s="14"/>
    </row>
    <row r="155" spans="2:28" s="10" customFormat="1" ht="13" customHeight="1" x14ac:dyDescent="0.2">
      <c r="B155" s="14" t="s">
        <v>137</v>
      </c>
      <c r="C155" s="71"/>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28" hidden="1" x14ac:dyDescent="0.2">
      <c r="B156" s="25" t="s">
        <v>138</v>
      </c>
      <c r="C156" s="71"/>
      <c r="D156" s="71">
        <v>-3414.8139999999999</v>
      </c>
      <c r="E156" s="8">
        <v>-2100.7240000000002</v>
      </c>
      <c r="F156" s="1">
        <v>-1327</v>
      </c>
      <c r="G156" s="1">
        <v>-3157</v>
      </c>
      <c r="H156" s="1">
        <v>-6482</v>
      </c>
      <c r="I156" s="24">
        <f>I3*I212</f>
        <v>-8693.898543682446</v>
      </c>
      <c r="J156" s="24">
        <f>J3*J212</f>
        <v>-11921.600962301323</v>
      </c>
      <c r="K156" s="24">
        <f>K3*K212</f>
        <v>-14815.522587437923</v>
      </c>
      <c r="L156" s="24">
        <f>L3*L212</f>
        <v>-16993.226507594878</v>
      </c>
      <c r="M156" s="24">
        <f>M3*M212</f>
        <v>-18097.846753868991</v>
      </c>
    </row>
    <row r="157" spans="2:28" ht="17" hidden="1" thickBot="1" x14ac:dyDescent="0.25">
      <c r="B157" s="25" t="s">
        <v>139</v>
      </c>
      <c r="C157" s="117">
        <v>-159.66900000000001</v>
      </c>
      <c r="D157" s="117">
        <v>-666.54</v>
      </c>
      <c r="E157" s="29">
        <v>-218.792</v>
      </c>
      <c r="F157" s="29">
        <v>-105</v>
      </c>
      <c r="G157" s="29">
        <v>-75</v>
      </c>
      <c r="H157" s="29">
        <v>-32</v>
      </c>
      <c r="I157" s="118">
        <f>H56-I56</f>
        <v>-8087.8503304724854</v>
      </c>
      <c r="J157" s="118">
        <f>I56-J56</f>
        <v>-5143.0182088934871</v>
      </c>
      <c r="K157" s="118">
        <f>J56-K56</f>
        <v>-4611.1721846888031</v>
      </c>
      <c r="L157" s="118">
        <f>K56-L56</f>
        <v>-3469.9515204187774</v>
      </c>
      <c r="M157" s="118">
        <f>L56-M56</f>
        <v>-1760.1009336328752</v>
      </c>
    </row>
    <row r="158" spans="2:28" hidden="1" x14ac:dyDescent="0.2">
      <c r="B158" s="114" t="s">
        <v>140</v>
      </c>
      <c r="C158" s="71"/>
      <c r="D158" s="71"/>
      <c r="E158" s="8"/>
      <c r="F158" s="1"/>
      <c r="G158" s="1"/>
      <c r="H158" s="1">
        <v>-1500</v>
      </c>
      <c r="I158" s="24"/>
      <c r="J158" s="24"/>
      <c r="K158" s="24"/>
      <c r="L158" s="24"/>
      <c r="M158" s="24"/>
    </row>
    <row r="159" spans="2:28" hidden="1" x14ac:dyDescent="0.2">
      <c r="B159" s="114" t="s">
        <v>141</v>
      </c>
      <c r="C159" s="71"/>
      <c r="D159" s="71"/>
      <c r="E159" s="8"/>
      <c r="F159" s="1"/>
      <c r="G159" s="1"/>
      <c r="H159" s="1">
        <v>272</v>
      </c>
      <c r="I159" s="24"/>
      <c r="J159" s="24"/>
      <c r="K159" s="24"/>
      <c r="L159" s="24"/>
      <c r="M159" s="24"/>
    </row>
    <row r="160" spans="2:28" x14ac:dyDescent="0.2">
      <c r="B160" s="114" t="s">
        <v>142</v>
      </c>
      <c r="C160" s="71"/>
      <c r="D160" s="71"/>
      <c r="E160" s="8"/>
      <c r="F160" s="1"/>
      <c r="G160" s="1"/>
      <c r="H160" s="1">
        <v>-132</v>
      </c>
      <c r="I160" s="24"/>
      <c r="J160" s="24"/>
      <c r="K160" s="24"/>
      <c r="L160" s="24"/>
      <c r="M160" s="24"/>
    </row>
    <row r="161" spans="2:13" x14ac:dyDescent="0.2">
      <c r="B161" s="114" t="s">
        <v>143</v>
      </c>
      <c r="C161" s="71"/>
      <c r="D161" s="71"/>
      <c r="E161" s="8"/>
      <c r="F161" s="1">
        <v>46</v>
      </c>
      <c r="G161" s="1">
        <v>123</v>
      </c>
      <c r="H161" s="1">
        <v>6</v>
      </c>
      <c r="I161" s="24"/>
      <c r="J161" s="24"/>
      <c r="K161" s="24"/>
      <c r="L161" s="24"/>
      <c r="M161" s="24"/>
    </row>
    <row r="162" spans="2:13" x14ac:dyDescent="0.2">
      <c r="B162" s="114" t="s">
        <v>144</v>
      </c>
      <c r="C162" s="71"/>
      <c r="D162" s="71"/>
      <c r="E162" s="8"/>
      <c r="F162" s="1">
        <v>-5</v>
      </c>
      <c r="G162" s="1">
        <v>-10</v>
      </c>
      <c r="H162" s="1"/>
      <c r="I162" s="24"/>
      <c r="J162" s="24"/>
      <c r="K162" s="24"/>
      <c r="L162" s="24"/>
      <c r="M162" s="24"/>
    </row>
    <row r="163" spans="2:13" ht="17" thickBot="1" x14ac:dyDescent="0.25">
      <c r="B163" s="114" t="s">
        <v>145</v>
      </c>
      <c r="C163" s="117">
        <v>342.71899999999999</v>
      </c>
      <c r="D163" s="117">
        <v>-114.523</v>
      </c>
      <c r="E163" s="29">
        <v>-17.911999999999999</v>
      </c>
      <c r="F163" s="29">
        <v>-45</v>
      </c>
      <c r="G163" s="29">
        <v>-13</v>
      </c>
      <c r="H163" s="29"/>
      <c r="I163" s="118"/>
      <c r="J163" s="118"/>
      <c r="K163" s="118"/>
      <c r="L163" s="118"/>
      <c r="M163" s="118"/>
    </row>
    <row r="164" spans="2:13" ht="17" thickTop="1" x14ac:dyDescent="0.2">
      <c r="B164" s="120" t="s">
        <v>146</v>
      </c>
      <c r="C164" s="66">
        <v>-1081.085</v>
      </c>
      <c r="D164" s="66">
        <v>-4195.8769999999995</v>
      </c>
      <c r="E164" s="67">
        <v>-2337.4279999999999</v>
      </c>
      <c r="F164" s="68">
        <v>-1436</v>
      </c>
      <c r="G164" s="68">
        <v>-3132</v>
      </c>
      <c r="H164" s="68">
        <v>-7868</v>
      </c>
      <c r="I164" s="24">
        <f>SUM(I156:I157)</f>
        <v>-16781.748874154931</v>
      </c>
      <c r="J164" s="24">
        <f t="shared" ref="J164:M164" si="103">SUM(J156:J157)</f>
        <v>-17064.619171194812</v>
      </c>
      <c r="K164" s="24">
        <f t="shared" si="103"/>
        <v>-19426.694772126728</v>
      </c>
      <c r="L164" s="24">
        <f t="shared" si="103"/>
        <v>-20463.178028013655</v>
      </c>
      <c r="M164" s="24">
        <f t="shared" si="103"/>
        <v>-19857.947687501866</v>
      </c>
    </row>
    <row r="165" spans="2:13" x14ac:dyDescent="0.2">
      <c r="B165" s="119"/>
      <c r="C165" s="66"/>
      <c r="D165" s="66"/>
      <c r="E165" s="67"/>
      <c r="F165" s="68"/>
      <c r="G165" s="68"/>
      <c r="H165" s="68"/>
      <c r="I165" s="24"/>
      <c r="J165" s="24"/>
      <c r="K165" s="24"/>
      <c r="L165" s="24"/>
      <c r="M165" s="24"/>
    </row>
    <row r="166" spans="2:13" hidden="1" x14ac:dyDescent="0.2">
      <c r="B166" s="13" t="s">
        <v>147</v>
      </c>
      <c r="C166" s="71"/>
      <c r="D166" s="71"/>
      <c r="E166" s="8"/>
      <c r="F166" s="1"/>
      <c r="G166" s="1"/>
      <c r="H166" s="1"/>
      <c r="I166" s="24"/>
      <c r="J166" s="24"/>
      <c r="K166" s="24"/>
      <c r="L166" s="24"/>
      <c r="M166" s="24"/>
    </row>
    <row r="167" spans="2:13" hidden="1" x14ac:dyDescent="0.2">
      <c r="B167" s="25" t="s">
        <v>235</v>
      </c>
      <c r="C167" s="71"/>
      <c r="D167" s="71"/>
      <c r="E167" s="1">
        <f t="shared" ref="E167:M167" si="104">E74-D74</f>
        <v>1771.15</v>
      </c>
      <c r="F167" s="1">
        <f t="shared" si="104"/>
        <v>-782.69900000000007</v>
      </c>
      <c r="G167" s="1">
        <f t="shared" si="104"/>
        <v>347</v>
      </c>
      <c r="H167" s="1">
        <f t="shared" si="104"/>
        <v>-543</v>
      </c>
      <c r="I167" s="1">
        <f t="shared" si="104"/>
        <v>1167.7851402406354</v>
      </c>
      <c r="J167" s="1">
        <f t="shared" si="104"/>
        <v>1023.4858412550961</v>
      </c>
      <c r="K167" s="1">
        <f t="shared" si="104"/>
        <v>917.64587464560191</v>
      </c>
      <c r="L167" s="1">
        <f t="shared" si="104"/>
        <v>690.53736672542345</v>
      </c>
      <c r="M167" s="1">
        <f t="shared" si="104"/>
        <v>350.26871606987788</v>
      </c>
    </row>
    <row r="168" spans="2:13" hidden="1" x14ac:dyDescent="0.2">
      <c r="B168" s="25" t="s">
        <v>236</v>
      </c>
      <c r="C168" s="71"/>
      <c r="D168" s="71"/>
      <c r="E168" s="1">
        <f t="shared" ref="E168:M168" si="105">(E80-D80)+(E77-D77)</f>
        <v>252.78600000000051</v>
      </c>
      <c r="F168" s="1">
        <f t="shared" si="105"/>
        <v>2174.9249999999997</v>
      </c>
      <c r="G168" s="1">
        <f t="shared" si="105"/>
        <v>-1403</v>
      </c>
      <c r="H168" s="1">
        <f t="shared" si="105"/>
        <v>-4095</v>
      </c>
      <c r="I168" s="1">
        <f t="shared" si="105"/>
        <v>6460.6665625270134</v>
      </c>
      <c r="J168" s="1">
        <f t="shared" si="105"/>
        <v>5662.3436315126191</v>
      </c>
      <c r="K168" s="1">
        <f t="shared" si="105"/>
        <v>5076.7935078725532</v>
      </c>
      <c r="L168" s="1">
        <f t="shared" si="105"/>
        <v>3820.3360546779095</v>
      </c>
      <c r="M168" s="1">
        <f t="shared" si="105"/>
        <v>1937.8302598932005</v>
      </c>
    </row>
    <row r="169" spans="2:13" ht="17" hidden="1" thickBot="1" x14ac:dyDescent="0.25">
      <c r="B169" s="25" t="s">
        <v>237</v>
      </c>
      <c r="C169" s="71"/>
      <c r="D169" s="71"/>
      <c r="E169" s="29"/>
      <c r="F169" s="29"/>
      <c r="G169" s="29"/>
      <c r="H169" s="29"/>
      <c r="I169" s="118"/>
      <c r="J169" s="118"/>
      <c r="K169" s="118"/>
      <c r="L169" s="118"/>
      <c r="M169" s="118"/>
    </row>
    <row r="170" spans="2:13" hidden="1" x14ac:dyDescent="0.2">
      <c r="B170" s="120" t="s">
        <v>162</v>
      </c>
      <c r="C170" s="71"/>
      <c r="D170" s="71"/>
      <c r="E170" s="67">
        <f>SUM(E167:E169)</f>
        <v>2023.9360000000006</v>
      </c>
      <c r="F170" s="67">
        <f t="shared" ref="F170:M170" si="106">SUM(F167:F169)</f>
        <v>1392.2259999999997</v>
      </c>
      <c r="G170" s="67">
        <f t="shared" si="106"/>
        <v>-1056</v>
      </c>
      <c r="H170" s="67">
        <f t="shared" si="106"/>
        <v>-4638</v>
      </c>
      <c r="I170" s="67">
        <f t="shared" si="106"/>
        <v>7628.4517027676484</v>
      </c>
      <c r="J170" s="67">
        <f t="shared" si="106"/>
        <v>6685.8294727677148</v>
      </c>
      <c r="K170" s="67">
        <f t="shared" si="106"/>
        <v>5994.4393825181551</v>
      </c>
      <c r="L170" s="67">
        <f t="shared" si="106"/>
        <v>4510.8734214033329</v>
      </c>
      <c r="M170" s="67">
        <f t="shared" si="106"/>
        <v>2288.0989759630784</v>
      </c>
    </row>
    <row r="171" spans="2:13" hidden="1" x14ac:dyDescent="0.2">
      <c r="C171" s="71"/>
      <c r="D171" s="71"/>
      <c r="E171" s="8"/>
      <c r="F171" s="1"/>
      <c r="G171" s="1"/>
      <c r="H171" s="1"/>
      <c r="I171" s="24"/>
      <c r="J171" s="24"/>
      <c r="K171" s="24"/>
      <c r="L171" s="24"/>
      <c r="M171" s="24"/>
    </row>
    <row r="172" spans="2:13" x14ac:dyDescent="0.2">
      <c r="B172" s="14" t="s">
        <v>239</v>
      </c>
      <c r="C172" s="71"/>
      <c r="D172" s="71"/>
      <c r="E172" s="8"/>
      <c r="F172" s="1"/>
      <c r="G172" s="1"/>
      <c r="H172" s="1"/>
      <c r="I172" s="24"/>
      <c r="J172" s="24"/>
      <c r="K172" s="24"/>
      <c r="L172" s="24"/>
      <c r="M172" s="24"/>
    </row>
    <row r="173" spans="2:13" x14ac:dyDescent="0.2">
      <c r="B173" s="114" t="s">
        <v>148</v>
      </c>
      <c r="C173" s="71">
        <v>1701.7339999999999</v>
      </c>
      <c r="D173" s="71">
        <v>400.17500000000001</v>
      </c>
      <c r="E173" s="8"/>
      <c r="F173" s="1">
        <v>848</v>
      </c>
      <c r="G173" s="1">
        <v>12269</v>
      </c>
      <c r="H173" s="1"/>
      <c r="I173" s="24"/>
      <c r="J173" s="24"/>
      <c r="K173" s="24"/>
      <c r="L173" s="24"/>
      <c r="M173" s="24"/>
    </row>
    <row r="174" spans="2:13" x14ac:dyDescent="0.2">
      <c r="B174" s="114" t="s">
        <v>149</v>
      </c>
      <c r="C174" s="71">
        <v>2852.9639999999999</v>
      </c>
      <c r="D174" s="71">
        <v>7138.0550000000003</v>
      </c>
      <c r="E174" s="8">
        <v>6176.1730000000007</v>
      </c>
      <c r="F174" s="1">
        <v>10669</v>
      </c>
      <c r="G174" s="1">
        <v>9713</v>
      </c>
      <c r="H174" s="1">
        <v>8883</v>
      </c>
      <c r="I174" s="24">
        <f>(I74+I77+I80)*I214</f>
        <v>13003.784488218813</v>
      </c>
      <c r="J174" s="24">
        <f>(J74+J77+J80)*J214</f>
        <v>17831.577961185252</v>
      </c>
      <c r="K174" s="24">
        <f>(K74+K77+K80)*K214</f>
        <v>22160.123198973666</v>
      </c>
      <c r="L174" s="24">
        <f>(L74+L77+L80)*L214</f>
        <v>25417.395217342033</v>
      </c>
      <c r="M174" s="24">
        <f>(M74+M77+M80)*M214</f>
        <v>27069.616433370571</v>
      </c>
    </row>
    <row r="175" spans="2:13" hidden="1" x14ac:dyDescent="0.2">
      <c r="B175" s="114" t="s">
        <v>157</v>
      </c>
      <c r="C175" s="71"/>
      <c r="D175" s="71">
        <v>287.21300000000002</v>
      </c>
      <c r="E175" s="8"/>
      <c r="F175" s="1">
        <v>174</v>
      </c>
      <c r="G175" s="1"/>
      <c r="H175" s="1"/>
      <c r="I175" s="24"/>
      <c r="J175" s="24"/>
      <c r="K175" s="24"/>
      <c r="L175" s="24"/>
      <c r="M175" s="24"/>
    </row>
    <row r="176" spans="2:13" hidden="1" x14ac:dyDescent="0.2">
      <c r="B176" s="114" t="s">
        <v>158</v>
      </c>
      <c r="C176" s="71"/>
      <c r="D176" s="71">
        <v>52.883000000000003</v>
      </c>
      <c r="E176" s="8"/>
      <c r="F176" s="1">
        <v>279</v>
      </c>
      <c r="G176" s="1">
        <v>24</v>
      </c>
      <c r="H176" s="1">
        <v>2</v>
      </c>
      <c r="I176" s="24"/>
      <c r="J176" s="24"/>
      <c r="K176" s="24"/>
      <c r="L176" s="24"/>
      <c r="M176" s="24"/>
    </row>
    <row r="177" spans="2:13" hidden="1" x14ac:dyDescent="0.2">
      <c r="B177" s="114" t="s">
        <v>153</v>
      </c>
      <c r="C177" s="71">
        <v>163.81700000000001</v>
      </c>
      <c r="D177" s="71">
        <v>259.11599999999999</v>
      </c>
      <c r="E177" s="8">
        <v>295.72199999999998</v>
      </c>
      <c r="F177" s="1">
        <v>263</v>
      </c>
      <c r="G177" s="1">
        <v>417</v>
      </c>
      <c r="H177" s="1">
        <v>707</v>
      </c>
      <c r="I177" s="24"/>
      <c r="J177" s="24"/>
      <c r="K177" s="24"/>
      <c r="L177" s="24"/>
      <c r="M177" s="24"/>
    </row>
    <row r="178" spans="2:13" hidden="1" x14ac:dyDescent="0.2">
      <c r="B178" s="114" t="s">
        <v>158</v>
      </c>
      <c r="C178" s="71">
        <v>201.52699999999999</v>
      </c>
      <c r="D178" s="71">
        <v>789.70399999999995</v>
      </c>
      <c r="E178" s="8">
        <v>437.13400000000001</v>
      </c>
      <c r="F178" s="1"/>
      <c r="G178" s="1"/>
      <c r="H178" s="1"/>
      <c r="I178" s="24"/>
      <c r="J178" s="24"/>
      <c r="K178" s="24"/>
      <c r="L178" s="24"/>
      <c r="M178" s="24"/>
    </row>
    <row r="179" spans="2:13" hidden="1" x14ac:dyDescent="0.2">
      <c r="B179" s="47" t="s">
        <v>238</v>
      </c>
      <c r="C179" s="71"/>
      <c r="D179" s="71"/>
      <c r="E179" s="8"/>
      <c r="F179" s="1"/>
      <c r="G179" s="1"/>
      <c r="H179" s="1"/>
      <c r="I179" s="24"/>
      <c r="J179" s="24"/>
      <c r="K179" s="24"/>
      <c r="L179" s="24"/>
      <c r="M179" s="24"/>
    </row>
    <row r="180" spans="2:13" x14ac:dyDescent="0.2">
      <c r="B180" s="114" t="s">
        <v>150</v>
      </c>
      <c r="C180" s="71">
        <v>-1857.5939999999998</v>
      </c>
      <c r="D180" s="71">
        <v>-3995.4839999999995</v>
      </c>
      <c r="E180" s="8">
        <v>-5247.0569999999998</v>
      </c>
      <c r="F180" s="1">
        <v>-9161</v>
      </c>
      <c r="G180" s="1">
        <v>-11623</v>
      </c>
      <c r="H180" s="1">
        <v>-14167</v>
      </c>
      <c r="I180" s="24">
        <f>(I$80+I$83+I$86)*I215</f>
        <v>-20389.496225398638</v>
      </c>
      <c r="J180" s="24">
        <f>(J$80+J$83+J$86)*J215</f>
        <v>-21684.716492702122</v>
      </c>
      <c r="K180" s="24">
        <f>(K$80+K$83+K$86)*K215</f>
        <v>-22845.996392374109</v>
      </c>
      <c r="L180" s="24">
        <f>(L$80+L$83+L$86)*L215</f>
        <v>-23719.870711550186</v>
      </c>
      <c r="M180" s="24">
        <f>(M$80+M$83+M$86)*M215</f>
        <v>-24163.135407327249</v>
      </c>
    </row>
    <row r="181" spans="2:13" x14ac:dyDescent="0.2">
      <c r="B181" s="114" t="s">
        <v>151</v>
      </c>
      <c r="C181" s="71"/>
      <c r="D181" s="71">
        <v>-165</v>
      </c>
      <c r="E181" s="8">
        <v>-100</v>
      </c>
      <c r="F181" s="1"/>
      <c r="G181" s="1"/>
      <c r="H181" s="1"/>
      <c r="I181" s="24"/>
      <c r="J181" s="24"/>
      <c r="K181" s="24"/>
      <c r="L181" s="24"/>
      <c r="M181" s="24"/>
    </row>
    <row r="182" spans="2:13" x14ac:dyDescent="0.2">
      <c r="B182" s="114" t="s">
        <v>152</v>
      </c>
      <c r="C182" s="71">
        <v>769.70900000000006</v>
      </c>
      <c r="D182" s="71">
        <v>511.32100000000003</v>
      </c>
      <c r="E182" s="8">
        <v>-559.16700000000003</v>
      </c>
      <c r="F182" s="1">
        <v>-389</v>
      </c>
      <c r="G182" s="1">
        <v>-240</v>
      </c>
      <c r="H182" s="1">
        <v>-9</v>
      </c>
      <c r="I182" s="24">
        <f t="shared" ref="I182:M183" si="107">(I$74+I$77+I$80+I$55+I$58)*I216</f>
        <v>-193.21263218252068</v>
      </c>
      <c r="J182" s="24">
        <f t="shared" si="107"/>
        <v>-264.94487946718846</v>
      </c>
      <c r="K182" s="24">
        <f t="shared" si="107"/>
        <v>-329.25920424486469</v>
      </c>
      <c r="L182" s="24">
        <f t="shared" si="107"/>
        <v>-377.65635362653893</v>
      </c>
      <c r="M182" s="24">
        <f t="shared" si="107"/>
        <v>-402.20536167768716</v>
      </c>
    </row>
    <row r="183" spans="2:13" x14ac:dyDescent="0.2">
      <c r="B183" s="114" t="s">
        <v>154</v>
      </c>
      <c r="C183" s="71">
        <v>-46.888999999999996</v>
      </c>
      <c r="D183" s="71">
        <v>-103.304</v>
      </c>
      <c r="E183" s="8">
        <v>-180.80500000000001</v>
      </c>
      <c r="F183" s="1">
        <v>-321</v>
      </c>
      <c r="G183" s="1">
        <v>-338</v>
      </c>
      <c r="H183" s="1">
        <v>-439</v>
      </c>
      <c r="I183" s="24">
        <f t="shared" si="107"/>
        <v>-531.11139262229506</v>
      </c>
      <c r="J183" s="24">
        <f t="shared" si="107"/>
        <v>-728.29215311883013</v>
      </c>
      <c r="K183" s="24">
        <f t="shared" si="107"/>
        <v>-905.08220153536638</v>
      </c>
      <c r="L183" s="24">
        <f t="shared" si="107"/>
        <v>-1038.1184172149312</v>
      </c>
      <c r="M183" s="24">
        <f t="shared" si="107"/>
        <v>-1105.599811708975</v>
      </c>
    </row>
    <row r="184" spans="2:13" x14ac:dyDescent="0.2">
      <c r="B184" s="114" t="s">
        <v>159</v>
      </c>
      <c r="C184" s="71"/>
      <c r="D184" s="71">
        <v>-230.38499999999999</v>
      </c>
      <c r="E184" s="8"/>
      <c r="F184" s="1"/>
      <c r="G184" s="1"/>
      <c r="H184" s="1"/>
      <c r="I184" s="24"/>
      <c r="J184" s="24"/>
      <c r="K184" s="24"/>
      <c r="L184" s="24"/>
      <c r="M184" s="24"/>
    </row>
    <row r="185" spans="2:13" x14ac:dyDescent="0.2">
      <c r="B185" s="183" t="s">
        <v>160</v>
      </c>
      <c r="C185" s="71">
        <v>-21.25</v>
      </c>
      <c r="D185" s="71">
        <v>-261.84399999999999</v>
      </c>
      <c r="E185" s="8">
        <v>-227.304</v>
      </c>
      <c r="F185" s="1">
        <v>-311</v>
      </c>
      <c r="G185" s="1">
        <v>-208</v>
      </c>
      <c r="H185" s="1">
        <v>-161</v>
      </c>
      <c r="I185" s="24">
        <f t="shared" ref="I185:M186" si="108">I$16*I218</f>
        <v>-1091.7901767788626</v>
      </c>
      <c r="J185" s="24">
        <f t="shared" si="108"/>
        <v>-1499.2635700524324</v>
      </c>
      <c r="K185" s="24">
        <f t="shared" si="108"/>
        <v>-1862.8292989172626</v>
      </c>
      <c r="L185" s="24">
        <f t="shared" si="108"/>
        <v>-2148.0559033120326</v>
      </c>
      <c r="M185" s="24">
        <f t="shared" si="108"/>
        <v>-2277.9896178733302</v>
      </c>
    </row>
    <row r="186" spans="2:13" x14ac:dyDescent="0.2">
      <c r="B186" s="183" t="s">
        <v>161</v>
      </c>
      <c r="C186" s="71"/>
      <c r="D186" s="71"/>
      <c r="E186" s="8">
        <v>-5.9569999999999999</v>
      </c>
      <c r="F186" s="8">
        <v>-9</v>
      </c>
      <c r="G186" s="8">
        <v>-35</v>
      </c>
      <c r="H186" s="8">
        <v>-10</v>
      </c>
      <c r="I186" s="24">
        <f t="shared" si="108"/>
        <v>-73.516258393575214</v>
      </c>
      <c r="J186" s="24">
        <f t="shared" si="108"/>
        <v>-100.9536908833842</v>
      </c>
      <c r="K186" s="24">
        <f t="shared" si="108"/>
        <v>-125.43457799406664</v>
      </c>
      <c r="L186" s="24">
        <f t="shared" si="108"/>
        <v>-144.64045948612471</v>
      </c>
      <c r="M186" s="24">
        <f t="shared" si="108"/>
        <v>-153.38961361563668</v>
      </c>
    </row>
    <row r="187" spans="2:13" x14ac:dyDescent="0.2">
      <c r="B187" s="89" t="s">
        <v>240</v>
      </c>
      <c r="C187" s="88"/>
    </row>
    <row r="188" spans="2:13" x14ac:dyDescent="0.2">
      <c r="B188" s="114" t="s">
        <v>155</v>
      </c>
      <c r="C188" s="71">
        <v>-20.041999999999998</v>
      </c>
      <c r="D188" s="71">
        <v>-63.111000000000004</v>
      </c>
      <c r="E188" s="8">
        <v>-14.972999999999999</v>
      </c>
      <c r="F188" s="1">
        <v>-37</v>
      </c>
      <c r="G188" s="1">
        <v>-6</v>
      </c>
      <c r="H188" s="1">
        <v>-9</v>
      </c>
      <c r="I188" s="24">
        <f>(I$74+I$77+I$80)*I220</f>
        <v>-20.65687550406895</v>
      </c>
      <c r="J188" s="24">
        <f>(J$74+J$77+J$80)*J220</f>
        <v>-28.325960517033852</v>
      </c>
      <c r="K188" s="24">
        <f>(K$74+K$77+K$80)*K220</f>
        <v>-35.201975739504924</v>
      </c>
      <c r="L188" s="24">
        <f>(L$74+L$77+L$80)*L220</f>
        <v>-40.376243478814331</v>
      </c>
      <c r="M188" s="24">
        <f>(M$74+M$77+M$80)*M220</f>
        <v>-43.000843109452923</v>
      </c>
    </row>
    <row r="189" spans="2:13" ht="17" thickBot="1" x14ac:dyDescent="0.25">
      <c r="B189" s="114" t="s">
        <v>156</v>
      </c>
      <c r="C189" s="117"/>
      <c r="D189" s="117">
        <v>-204.102</v>
      </c>
      <c r="E189" s="29"/>
      <c r="F189" s="29">
        <v>-476</v>
      </c>
      <c r="G189" s="29"/>
      <c r="H189" s="29"/>
      <c r="I189" s="118"/>
      <c r="J189" s="118"/>
      <c r="K189" s="118"/>
      <c r="L189" s="118"/>
      <c r="M189" s="118"/>
    </row>
    <row r="190" spans="2:13" ht="17" thickTop="1" x14ac:dyDescent="0.2">
      <c r="B190" s="120" t="s">
        <v>162</v>
      </c>
      <c r="C190" s="66">
        <v>3743.9760000000001</v>
      </c>
      <c r="D190" s="66">
        <v>4414.8639999999996</v>
      </c>
      <c r="E190" s="67">
        <v>573.755</v>
      </c>
      <c r="F190" s="67">
        <v>1529</v>
      </c>
      <c r="G190" s="67">
        <v>9973</v>
      </c>
      <c r="H190" s="67">
        <v>-5203</v>
      </c>
      <c r="I190" s="16">
        <f>SUM(I173:I189)</f>
        <v>-9295.9990726611486</v>
      </c>
      <c r="J190" s="16">
        <f t="shared" ref="J190:M190" si="109">SUM(J173:J189)</f>
        <v>-6474.9187855557393</v>
      </c>
      <c r="K190" s="16">
        <f t="shared" si="109"/>
        <v>-3943.680451831508</v>
      </c>
      <c r="L190" s="16">
        <f t="shared" si="109"/>
        <v>-2051.3228713265944</v>
      </c>
      <c r="M190" s="16">
        <f t="shared" si="109"/>
        <v>-1075.7042219417594</v>
      </c>
    </row>
    <row r="191" spans="2:13" x14ac:dyDescent="0.2">
      <c r="B191" s="114" t="s">
        <v>163</v>
      </c>
      <c r="C191" s="71">
        <v>-6.5529999999999999</v>
      </c>
      <c r="D191" s="71">
        <v>39.725999999999999</v>
      </c>
      <c r="E191" s="8">
        <v>-22.7</v>
      </c>
      <c r="F191" s="1">
        <v>8</v>
      </c>
      <c r="G191" s="1">
        <v>334</v>
      </c>
      <c r="H191" s="1">
        <v>-183</v>
      </c>
      <c r="I191" s="24"/>
      <c r="J191" s="24"/>
      <c r="K191" s="24"/>
      <c r="L191" s="24"/>
      <c r="M191" s="24"/>
    </row>
    <row r="192" spans="2:13" hidden="1" x14ac:dyDescent="0.2">
      <c r="B192" s="114" t="s">
        <v>164</v>
      </c>
      <c r="C192" s="71">
        <v>2532.509</v>
      </c>
      <c r="D192" s="71">
        <v>198.059</v>
      </c>
      <c r="E192" s="8">
        <v>311.42899999999997</v>
      </c>
      <c r="F192" s="1">
        <v>2506</v>
      </c>
      <c r="G192" s="1">
        <v>13118</v>
      </c>
      <c r="H192" s="1">
        <v>-1757</v>
      </c>
      <c r="I192" s="24"/>
      <c r="J192" s="24"/>
      <c r="K192" s="24"/>
      <c r="L192" s="24"/>
      <c r="M192" s="24"/>
    </row>
    <row r="193" spans="2:27" x14ac:dyDescent="0.2">
      <c r="B193" s="114" t="s">
        <v>165</v>
      </c>
      <c r="C193" s="71">
        <v>1234.3910000000001</v>
      </c>
      <c r="D193" s="71">
        <v>3766.9</v>
      </c>
      <c r="E193" s="8">
        <v>3964.9589999999998</v>
      </c>
      <c r="F193" s="1">
        <v>4277</v>
      </c>
      <c r="G193" s="1">
        <v>6783</v>
      </c>
      <c r="H193" s="1">
        <v>19901</v>
      </c>
      <c r="I193" s="24"/>
      <c r="J193" s="24"/>
      <c r="K193" s="24"/>
      <c r="L193" s="24"/>
      <c r="M193" s="24"/>
    </row>
    <row r="194" spans="2:27" x14ac:dyDescent="0.2">
      <c r="B194" s="114" t="s">
        <v>166</v>
      </c>
      <c r="C194" s="71">
        <v>3766.9</v>
      </c>
      <c r="D194" s="71">
        <v>3964.9589999999998</v>
      </c>
      <c r="E194" s="8">
        <v>4276.3879999999999</v>
      </c>
      <c r="F194" s="1">
        <v>6783</v>
      </c>
      <c r="G194" s="1">
        <v>19901</v>
      </c>
      <c r="H194" s="1">
        <v>18144</v>
      </c>
      <c r="I194" s="24"/>
      <c r="J194" s="24"/>
      <c r="K194" s="24"/>
      <c r="L194" s="24"/>
      <c r="M194" s="24"/>
    </row>
    <row r="195" spans="2:27" x14ac:dyDescent="0.2">
      <c r="B195" s="114"/>
      <c r="C195" s="71"/>
      <c r="D195" s="71"/>
      <c r="E195" s="8"/>
      <c r="F195" s="1"/>
      <c r="G195" s="1"/>
      <c r="H195" s="1"/>
      <c r="I195" s="24"/>
      <c r="J195" s="24"/>
      <c r="K195" s="24"/>
      <c r="L195" s="24"/>
      <c r="M195" s="24"/>
    </row>
    <row r="196" spans="2:27" x14ac:dyDescent="0.2">
      <c r="B196" s="14" t="s">
        <v>167</v>
      </c>
      <c r="C196" s="71"/>
      <c r="D196" s="71"/>
      <c r="E196" s="8"/>
      <c r="F196" s="1"/>
      <c r="G196" s="1"/>
      <c r="H196" s="1"/>
      <c r="I196" s="24"/>
      <c r="J196" s="24"/>
      <c r="K196" s="24"/>
      <c r="L196" s="24"/>
      <c r="M196" s="24"/>
    </row>
    <row r="197" spans="2:27" ht="15" customHeight="1" x14ac:dyDescent="0.2">
      <c r="B197" s="114" t="s">
        <v>168</v>
      </c>
      <c r="C197" s="71">
        <v>2145.9769999999999</v>
      </c>
      <c r="D197" s="71">
        <v>10.528</v>
      </c>
      <c r="E197" s="8"/>
      <c r="F197" s="1">
        <v>207</v>
      </c>
      <c r="G197" s="1"/>
      <c r="H197" s="1"/>
      <c r="I197" s="24"/>
      <c r="J197" s="24"/>
      <c r="K197" s="24"/>
      <c r="L197" s="24"/>
      <c r="M197" s="24"/>
    </row>
    <row r="198" spans="2:27" x14ac:dyDescent="0.2">
      <c r="B198" s="114" t="s">
        <v>169</v>
      </c>
      <c r="C198" s="71">
        <v>663.77099999999996</v>
      </c>
      <c r="D198" s="71">
        <v>914.10799999999995</v>
      </c>
      <c r="E198" s="8">
        <v>249.14099999999999</v>
      </c>
      <c r="F198" s="1">
        <v>562</v>
      </c>
      <c r="G198" s="1">
        <v>1088</v>
      </c>
      <c r="H198" s="1">
        <v>2251</v>
      </c>
      <c r="I198" s="24"/>
      <c r="J198" s="24"/>
      <c r="K198" s="24"/>
      <c r="L198" s="24"/>
      <c r="M198" s="24"/>
    </row>
    <row r="199" spans="2:27" hidden="1" x14ac:dyDescent="0.2">
      <c r="B199" s="114" t="s">
        <v>170</v>
      </c>
      <c r="C199" s="71">
        <v>307.87900000000002</v>
      </c>
      <c r="D199" s="71">
        <v>313.483</v>
      </c>
      <c r="E199" s="8">
        <v>94.445000000000007</v>
      </c>
      <c r="F199" s="1"/>
      <c r="G199" s="1"/>
      <c r="H199" s="1"/>
      <c r="I199" s="24"/>
      <c r="J199" s="24"/>
      <c r="K199" s="24"/>
      <c r="L199" s="24"/>
      <c r="M199" s="24"/>
    </row>
    <row r="200" spans="2:27" hidden="1" x14ac:dyDescent="0.2">
      <c r="B200" s="114"/>
      <c r="C200" s="71"/>
      <c r="D200" s="71"/>
      <c r="E200" s="8"/>
      <c r="F200" s="1"/>
      <c r="G200" s="1"/>
      <c r="H200" s="1"/>
      <c r="I200" s="24"/>
      <c r="J200" s="24"/>
      <c r="K200" s="24"/>
      <c r="L200" s="24"/>
      <c r="M200" s="24"/>
    </row>
    <row r="201" spans="2:27" hidden="1" x14ac:dyDescent="0.2">
      <c r="B201" s="14" t="s">
        <v>171</v>
      </c>
      <c r="C201" s="71"/>
      <c r="D201" s="71"/>
      <c r="E201" s="8"/>
      <c r="F201" s="1"/>
      <c r="G201" s="1"/>
      <c r="H201" s="1"/>
      <c r="I201" s="24"/>
      <c r="J201" s="24"/>
      <c r="K201" s="24"/>
      <c r="L201" s="24"/>
      <c r="M201" s="24"/>
    </row>
    <row r="202" spans="2:27" hidden="1" x14ac:dyDescent="0.2">
      <c r="B202" s="114" t="s">
        <v>172</v>
      </c>
      <c r="C202" s="71">
        <v>38.692999999999998</v>
      </c>
      <c r="D202" s="71">
        <v>182.571</v>
      </c>
      <c r="E202" s="8">
        <v>380.83600000000001</v>
      </c>
      <c r="F202" s="1">
        <v>455</v>
      </c>
      <c r="G202" s="1">
        <v>444</v>
      </c>
      <c r="H202" s="1">
        <v>266</v>
      </c>
      <c r="I202" s="24"/>
      <c r="J202" s="24"/>
      <c r="K202" s="24"/>
      <c r="L202" s="24"/>
      <c r="M202" s="24"/>
    </row>
    <row r="203" spans="2:27" hidden="1" x14ac:dyDescent="0.2">
      <c r="B203" s="114" t="s">
        <v>173</v>
      </c>
      <c r="C203" s="71">
        <v>16.384999999999998</v>
      </c>
      <c r="D203" s="71">
        <v>65.695000000000007</v>
      </c>
      <c r="E203" s="8">
        <v>35.408999999999999</v>
      </c>
      <c r="F203" s="1">
        <v>54</v>
      </c>
      <c r="G203" s="1">
        <v>115</v>
      </c>
      <c r="H203" s="1">
        <v>561</v>
      </c>
      <c r="I203" s="24"/>
      <c r="J203" s="24"/>
      <c r="K203" s="24"/>
      <c r="L203" s="24"/>
      <c r="M203" s="24"/>
    </row>
    <row r="204" spans="2:27" hidden="1" x14ac:dyDescent="0.2">
      <c r="B204" s="114"/>
      <c r="C204" s="71"/>
      <c r="D204" s="71"/>
      <c r="E204" s="8"/>
      <c r="F204" s="1"/>
      <c r="G204" s="1"/>
      <c r="H204" s="1"/>
      <c r="I204" s="24"/>
      <c r="J204" s="24"/>
      <c r="K204" s="24"/>
      <c r="L204" s="24"/>
      <c r="M204" s="24"/>
    </row>
    <row r="205" spans="2:27" hidden="1" x14ac:dyDescent="0.2">
      <c r="B205" s="120" t="s">
        <v>234</v>
      </c>
      <c r="C205" s="66"/>
      <c r="D205" s="66"/>
      <c r="E205" s="67">
        <f>E190+E153+E164</f>
        <v>334.12900000000036</v>
      </c>
      <c r="F205" s="67">
        <f t="shared" ref="F205:M205" si="110">F190+F153+F164</f>
        <v>2498</v>
      </c>
      <c r="G205" s="67">
        <f t="shared" si="110"/>
        <v>12784</v>
      </c>
      <c r="H205" s="67">
        <f>H190+H153+H164</f>
        <v>-1574</v>
      </c>
      <c r="I205" s="67">
        <f t="shared" si="110"/>
        <v>-8617.6527406713776</v>
      </c>
      <c r="J205" s="67">
        <f t="shared" si="110"/>
        <v>-1256.695005565005</v>
      </c>
      <c r="K205" s="67">
        <f>K190+K153+K164</f>
        <v>2319.9815444116284</v>
      </c>
      <c r="L205" s="67">
        <f t="shared" si="110"/>
        <v>4960.2579996912064</v>
      </c>
      <c r="M205" s="67">
        <f t="shared" si="110"/>
        <v>6109.1218840496622</v>
      </c>
    </row>
    <row r="206" spans="2:27" hidden="1" x14ac:dyDescent="0.2">
      <c r="B206" s="120"/>
      <c r="C206" s="66"/>
      <c r="D206" s="66"/>
      <c r="E206" s="67"/>
      <c r="F206" s="67"/>
      <c r="G206" s="67"/>
      <c r="H206" s="67"/>
      <c r="I206" s="67"/>
      <c r="J206" s="67"/>
      <c r="K206" s="67"/>
      <c r="L206" s="67"/>
      <c r="M206" s="67"/>
    </row>
    <row r="207" spans="2:27" hidden="1" x14ac:dyDescent="0.2">
      <c r="B207" s="114"/>
      <c r="C207" s="71"/>
      <c r="D207" s="71"/>
      <c r="E207" s="8"/>
      <c r="F207" s="1"/>
      <c r="G207" s="1"/>
      <c r="H207" s="67"/>
      <c r="I207" s="67"/>
      <c r="J207" s="24"/>
      <c r="K207" s="24"/>
      <c r="L207" s="24"/>
      <c r="M207" s="24"/>
      <c r="R207" s="13"/>
      <c r="S207" s="13"/>
      <c r="T207" s="13"/>
      <c r="U207" s="13"/>
      <c r="V207" s="13"/>
      <c r="W207" s="13"/>
      <c r="X207" s="13"/>
      <c r="Y207" s="13"/>
      <c r="Z207" s="13"/>
      <c r="AA207" s="13"/>
    </row>
    <row r="208" spans="2:27" hidden="1" x14ac:dyDescent="0.2">
      <c r="B208" s="85"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28" hidden="1" x14ac:dyDescent="0.2">
      <c r="B209" s="10" t="s">
        <v>119</v>
      </c>
      <c r="C209" s="10"/>
      <c r="D209" s="28"/>
      <c r="E209" s="28"/>
      <c r="F209" s="10"/>
      <c r="G209" s="10"/>
      <c r="H209" s="10"/>
      <c r="I209" s="10"/>
      <c r="J209" s="10"/>
      <c r="K209" s="10"/>
      <c r="L209" s="10"/>
      <c r="M209" s="10"/>
      <c r="AB209" s="13"/>
    </row>
    <row r="210" spans="2:28" hidden="1" x14ac:dyDescent="0.2">
      <c r="B210" s="18" t="s">
        <v>121</v>
      </c>
      <c r="C210" s="56">
        <f>C163/C$9</f>
        <v>0.1512042061292766</v>
      </c>
      <c r="D210" s="57">
        <f>D163/D$9</f>
        <v>-2.9710943339249247E-2</v>
      </c>
      <c r="E210" s="58">
        <f>E120/E$3</f>
        <v>8.858050698588732E-2</v>
      </c>
      <c r="F210" s="58">
        <f>F120/F$3</f>
        <v>8.7639352266254369E-2</v>
      </c>
      <c r="G210" s="58">
        <f>G120/G$3</f>
        <v>7.3630136986301373E-2</v>
      </c>
      <c r="H210" s="58">
        <f>H120/H$3</f>
        <v>5.4084684985972541E-2</v>
      </c>
      <c r="I210" s="108">
        <f>AVERAGE(E210:H210)</f>
        <v>7.5983670306103895E-2</v>
      </c>
      <c r="J210" s="108">
        <f t="shared" ref="J210:M210" si="111">I210</f>
        <v>7.5983670306103895E-2</v>
      </c>
      <c r="K210" s="108">
        <f t="shared" si="111"/>
        <v>7.5983670306103895E-2</v>
      </c>
      <c r="L210" s="108">
        <f t="shared" si="111"/>
        <v>7.5983670306103895E-2</v>
      </c>
      <c r="M210" s="108">
        <f t="shared" si="111"/>
        <v>7.5983670306103895E-2</v>
      </c>
      <c r="AB210" s="13"/>
    </row>
    <row r="211" spans="2:28" hidden="1" x14ac:dyDescent="0.2">
      <c r="B211" s="10" t="s">
        <v>137</v>
      </c>
      <c r="C211" s="116"/>
      <c r="D211" s="116"/>
      <c r="E211" s="111"/>
      <c r="F211" s="112"/>
      <c r="G211" s="112"/>
      <c r="H211" s="112"/>
      <c r="I211" s="10"/>
      <c r="J211" s="10"/>
      <c r="K211" s="10"/>
      <c r="L211" s="10"/>
      <c r="M211" s="10"/>
    </row>
    <row r="212" spans="2:28" hidden="1" x14ac:dyDescent="0.2">
      <c r="B212" s="121" t="s">
        <v>55</v>
      </c>
      <c r="C212" s="56" t="e">
        <f>[1]cashflow!B185/C$9</f>
        <v>#REF!</v>
      </c>
      <c r="D212" s="57" t="e">
        <f>[1]cashflow!C185/D$9</f>
        <v>#REF!</v>
      </c>
      <c r="E212" s="58">
        <f>E156/E3</f>
        <v>-9.7884430686947299E-2</v>
      </c>
      <c r="F212" s="58">
        <f>F156/F3</f>
        <v>-5.3991374399869806E-2</v>
      </c>
      <c r="G212" s="58">
        <f>G156/G3</f>
        <v>-0.1001078132927448</v>
      </c>
      <c r="H212" s="58">
        <f>H156/H3</f>
        <v>-0.12043178566783717</v>
      </c>
      <c r="I212" s="108">
        <f>AVERAGE(E212:H212)</f>
        <v>-9.3103851011849773E-2</v>
      </c>
      <c r="J212" s="108">
        <f>I212</f>
        <v>-9.3103851011849773E-2</v>
      </c>
      <c r="K212" s="108">
        <f t="shared" ref="K212:L212" si="112">J212</f>
        <v>-9.3103851011849773E-2</v>
      </c>
      <c r="L212" s="108">
        <f t="shared" si="112"/>
        <v>-9.3103851011849773E-2</v>
      </c>
      <c r="M212" s="108">
        <f>L212</f>
        <v>-9.3103851011849773E-2</v>
      </c>
      <c r="N212" s="13"/>
      <c r="Q212" s="13"/>
    </row>
    <row r="213" spans="2:28" s="13" customFormat="1" x14ac:dyDescent="0.2">
      <c r="B213" s="10" t="s">
        <v>147</v>
      </c>
      <c r="C213" s="56"/>
      <c r="D213" s="57"/>
      <c r="E213" s="58"/>
      <c r="F213" s="59"/>
      <c r="G213" s="59"/>
      <c r="H213" s="59"/>
      <c r="I213" s="87"/>
      <c r="J213" s="87"/>
      <c r="K213" s="87"/>
      <c r="L213" s="87"/>
      <c r="M213" s="87"/>
      <c r="R213" s="14"/>
      <c r="S213" s="14"/>
      <c r="T213" s="14"/>
      <c r="U213" s="14"/>
      <c r="V213" s="14"/>
      <c r="W213" s="14"/>
      <c r="X213" s="14"/>
      <c r="Y213" s="14"/>
      <c r="Z213" s="14"/>
      <c r="AA213" s="14"/>
      <c r="AB213" s="14"/>
    </row>
    <row r="214" spans="2:28" s="13" customFormat="1" x14ac:dyDescent="0.2">
      <c r="B214" s="18" t="s">
        <v>149</v>
      </c>
      <c r="C214" s="74"/>
      <c r="D214" s="88"/>
      <c r="E214" s="176">
        <f>E174/(E$74+E$77+E$80)</f>
        <v>0.42066939594629371</v>
      </c>
      <c r="F214" s="176">
        <f>F174/(F$74+F$77+F$80)</f>
        <v>0.66374269005847952</v>
      </c>
      <c r="G214" s="176">
        <f>G174/(G$74+G$77+G$80)</f>
        <v>0.64675722466373686</v>
      </c>
      <c r="H214" s="176">
        <f>H174/(H$74+H$77+H$80)</f>
        <v>0.85578034682080928</v>
      </c>
      <c r="I214" s="108">
        <f>AVERAGE(F214:H214)</f>
        <v>0.72209342051434178</v>
      </c>
      <c r="J214" s="108">
        <f>I214</f>
        <v>0.72209342051434178</v>
      </c>
      <c r="K214" s="108">
        <f t="shared" ref="K214" si="113">J214</f>
        <v>0.72209342051434178</v>
      </c>
      <c r="L214" s="108">
        <f t="shared" ref="L214" si="114">K214</f>
        <v>0.72209342051434178</v>
      </c>
      <c r="M214" s="108">
        <f>L214</f>
        <v>0.72209342051434178</v>
      </c>
      <c r="N214" s="14"/>
      <c r="Q214" s="14"/>
      <c r="R214" s="14"/>
      <c r="S214" s="14"/>
      <c r="T214" s="14"/>
      <c r="U214" s="14"/>
      <c r="V214" s="14"/>
      <c r="W214" s="14"/>
      <c r="X214" s="14"/>
      <c r="Y214" s="14"/>
      <c r="Z214" s="14"/>
      <c r="AA214" s="14"/>
      <c r="AB214" s="14"/>
    </row>
    <row r="215" spans="2:28" x14ac:dyDescent="0.2">
      <c r="B215" s="18" t="s">
        <v>150</v>
      </c>
      <c r="E215" s="176">
        <f>E180/(E$74+E$77+E$80)</f>
        <v>-0.35738576278316225</v>
      </c>
      <c r="F215" s="176">
        <f>F180/(F$74+F$77+F$80)</f>
        <v>-0.56992658952345399</v>
      </c>
      <c r="G215" s="176">
        <f>G180/(G$74+G$77+G$80)</f>
        <v>-0.77393794113730185</v>
      </c>
      <c r="H215" s="176">
        <f>H180/(H$74+H$77+H$80)</f>
        <v>-1.3648362235067437</v>
      </c>
      <c r="I215" s="108">
        <f>AVERAGE(E215:G215)</f>
        <v>-0.56708343114797266</v>
      </c>
      <c r="J215" s="108">
        <f>I215</f>
        <v>-0.56708343114797266</v>
      </c>
      <c r="K215" s="108">
        <f t="shared" ref="K215:K219" si="115">J215</f>
        <v>-0.56708343114797266</v>
      </c>
      <c r="L215" s="108">
        <f t="shared" ref="L215:L219" si="116">K215</f>
        <v>-0.56708343114797266</v>
      </c>
      <c r="M215" s="108">
        <f t="shared" ref="M215:M220" si="117">L215</f>
        <v>-0.56708343114797266</v>
      </c>
    </row>
    <row r="216" spans="2:28" x14ac:dyDescent="0.2">
      <c r="B216" s="18" t="s">
        <v>152</v>
      </c>
      <c r="E216" s="176">
        <f t="shared" ref="E216:H217" si="118">E182/(E$74+E$77+E$80+E$55+E$58)</f>
        <v>-3.2787980127153567E-2</v>
      </c>
      <c r="F216" s="176">
        <f t="shared" si="118"/>
        <v>-1.9707178681797458E-2</v>
      </c>
      <c r="G216" s="176">
        <f t="shared" si="118"/>
        <v>-1.2203182996898357E-2</v>
      </c>
      <c r="H216" s="176">
        <f t="shared" si="118"/>
        <v>-5.3232388951321939E-4</v>
      </c>
      <c r="I216" s="108">
        <f>AVERAGE(G216:H216)</f>
        <v>-6.3677534432057883E-3</v>
      </c>
      <c r="J216" s="108">
        <f t="shared" ref="J216:J220" si="119">I216</f>
        <v>-6.3677534432057883E-3</v>
      </c>
      <c r="K216" s="108">
        <f t="shared" si="115"/>
        <v>-6.3677534432057883E-3</v>
      </c>
      <c r="L216" s="108">
        <f t="shared" si="116"/>
        <v>-6.3677534432057883E-3</v>
      </c>
      <c r="M216" s="108">
        <f t="shared" si="117"/>
        <v>-6.3677534432057883E-3</v>
      </c>
    </row>
    <row r="217" spans="2:28" x14ac:dyDescent="0.2">
      <c r="B217" s="18" t="s">
        <v>154</v>
      </c>
      <c r="E217" s="176">
        <f t="shared" si="118"/>
        <v>-1.0601896655006465E-2</v>
      </c>
      <c r="F217" s="176">
        <f t="shared" si="118"/>
        <v>-1.6262221997061656E-2</v>
      </c>
      <c r="G217" s="176">
        <f t="shared" si="118"/>
        <v>-1.7186149387298521E-2</v>
      </c>
      <c r="H217" s="176">
        <f t="shared" si="118"/>
        <v>-2.5965576388478146E-2</v>
      </c>
      <c r="I217" s="108">
        <f t="shared" ref="I217:I219" si="120">AVERAGE(E217:H217)</f>
        <v>-1.7503961106961195E-2</v>
      </c>
      <c r="J217" s="108">
        <f t="shared" si="119"/>
        <v>-1.7503961106961195E-2</v>
      </c>
      <c r="K217" s="108">
        <f t="shared" si="115"/>
        <v>-1.7503961106961195E-2</v>
      </c>
      <c r="L217" s="108">
        <f t="shared" si="116"/>
        <v>-1.7503961106961195E-2</v>
      </c>
      <c r="M217" s="108">
        <f t="shared" si="117"/>
        <v>-1.7503961106961195E-2</v>
      </c>
    </row>
    <row r="218" spans="2:28" x14ac:dyDescent="0.2">
      <c r="B218" s="18" t="s">
        <v>160</v>
      </c>
      <c r="E218" s="176">
        <f>-E185/E16</f>
        <v>-0.21391666713721857</v>
      </c>
      <c r="F218" s="176">
        <f>-F185/F16</f>
        <v>-0.40129032258064518</v>
      </c>
      <c r="G218" s="176">
        <f>G185/G16</f>
        <v>-0.24129930394431554</v>
      </c>
      <c r="H218" s="176">
        <f>H185/H16</f>
        <v>-2.8525868178596741E-2</v>
      </c>
      <c r="I218" s="108">
        <f>AVERAGE(E218:H218)</f>
        <v>-0.22125804046019401</v>
      </c>
      <c r="J218" s="108">
        <f t="shared" si="119"/>
        <v>-0.22125804046019401</v>
      </c>
      <c r="K218" s="108">
        <f t="shared" si="115"/>
        <v>-0.22125804046019401</v>
      </c>
      <c r="L218" s="108">
        <f t="shared" si="116"/>
        <v>-0.22125804046019401</v>
      </c>
      <c r="M218" s="108">
        <f t="shared" si="117"/>
        <v>-0.22125804046019401</v>
      </c>
    </row>
    <row r="219" spans="2:28" ht="15" customHeight="1" x14ac:dyDescent="0.2">
      <c r="B219" s="18" t="s">
        <v>161</v>
      </c>
      <c r="E219" s="176">
        <f>-E186/E16</f>
        <v>-5.6061555719935019E-3</v>
      </c>
      <c r="F219" s="176">
        <f>-F186/F16</f>
        <v>-1.1612903225806452E-2</v>
      </c>
      <c r="G219" s="176">
        <f>G186/G16</f>
        <v>-4.0603248259860787E-2</v>
      </c>
      <c r="H219" s="176">
        <f>H186/H16</f>
        <v>-1.771793054571226E-3</v>
      </c>
      <c r="I219" s="108">
        <f t="shared" si="120"/>
        <v>-1.4898525028057991E-2</v>
      </c>
      <c r="J219" s="108">
        <f t="shared" si="119"/>
        <v>-1.4898525028057991E-2</v>
      </c>
      <c r="K219" s="108">
        <f t="shared" si="115"/>
        <v>-1.4898525028057991E-2</v>
      </c>
      <c r="L219" s="108">
        <f t="shared" si="116"/>
        <v>-1.4898525028057991E-2</v>
      </c>
      <c r="M219" s="108">
        <f t="shared" si="117"/>
        <v>-1.4898525028057991E-2</v>
      </c>
    </row>
    <row r="220" spans="2:28" x14ac:dyDescent="0.2">
      <c r="B220" s="18" t="s">
        <v>155</v>
      </c>
      <c r="E220" s="176">
        <f>E188/(E$74+E$77+E$80)</f>
        <v>-1.01983588631728E-3</v>
      </c>
      <c r="F220" s="176">
        <f>F188/(F$74+F$77+F$80)</f>
        <v>-2.3018539255941274E-3</v>
      </c>
      <c r="G220" s="176">
        <f>G188/(G$74+G$77+G$80)</f>
        <v>-3.9952057530962844E-4</v>
      </c>
      <c r="H220" s="176">
        <f>H188/(H$74+H$77+H$80)</f>
        <v>-8.6705202312138728E-4</v>
      </c>
      <c r="I220" s="108">
        <f t="shared" ref="I220" si="121">AVERAGE(E220:H220)</f>
        <v>-1.1470656025856056E-3</v>
      </c>
      <c r="J220" s="108">
        <f t="shared" si="119"/>
        <v>-1.1470656025856056E-3</v>
      </c>
      <c r="K220" s="108">
        <f t="shared" ref="K220" si="122">J220</f>
        <v>-1.1470656025856056E-3</v>
      </c>
      <c r="L220" s="108">
        <f t="shared" ref="L220" si="123">K220</f>
        <v>-1.1470656025856056E-3</v>
      </c>
      <c r="M220" s="108">
        <f t="shared" si="117"/>
        <v>-1.1470656025856056E-3</v>
      </c>
    </row>
    <row r="221" spans="2:28" x14ac:dyDescent="0.2">
      <c r="E221" s="176"/>
      <c r="F221" s="26"/>
      <c r="G221" s="26"/>
      <c r="H221" s="26"/>
      <c r="I221" s="26"/>
      <c r="J221" s="26"/>
      <c r="K221" s="26"/>
      <c r="L221" s="26"/>
      <c r="M221" s="26"/>
    </row>
  </sheetData>
  <mergeCells count="3">
    <mergeCell ref="AC33:AC34"/>
    <mergeCell ref="Q34:Q36"/>
    <mergeCell ref="AC35:AC39"/>
  </mergeCells>
  <conditionalFormatting sqref="S4:AA4">
    <cfRule type="aboveAverage" dxfId="32" priority="46"/>
  </conditionalFormatting>
  <conditionalFormatting sqref="S8:AA9 S13:AA14 S18:AA19">
    <cfRule type="aboveAverage" dxfId="31" priority="45"/>
  </conditionalFormatting>
  <conditionalFormatting sqref="S5:AA5">
    <cfRule type="aboveAverage" dxfId="30" priority="44"/>
  </conditionalFormatting>
  <conditionalFormatting sqref="S6:AA6">
    <cfRule type="aboveAverage" dxfId="29" priority="43"/>
  </conditionalFormatting>
  <conditionalFormatting sqref="S7:AA7">
    <cfRule type="aboveAverage" dxfId="28" priority="42"/>
  </conditionalFormatting>
  <conditionalFormatting sqref="S12:AA12">
    <cfRule type="aboveAverage" dxfId="27" priority="39"/>
  </conditionalFormatting>
  <conditionalFormatting sqref="S15:AA15">
    <cfRule type="aboveAverage" dxfId="26" priority="38"/>
  </conditionalFormatting>
  <conditionalFormatting sqref="S16:AA16">
    <cfRule type="aboveAverage" dxfId="25" priority="11" equalAverage="1"/>
    <cfRule type="aboveAverage" dxfId="24" priority="34"/>
  </conditionalFormatting>
  <conditionalFormatting sqref="S20:AA20">
    <cfRule type="aboveAverage" dxfId="23" priority="17" equalAverage="1"/>
    <cfRule type="aboveAverage" dxfId="22" priority="33"/>
  </conditionalFormatting>
  <conditionalFormatting sqref="S21:AA21">
    <cfRule type="aboveAverage" dxfId="21" priority="32"/>
  </conditionalFormatting>
  <conditionalFormatting sqref="U22:AA22">
    <cfRule type="aboveAverage" dxfId="20" priority="30" aboveAverage="0"/>
  </conditionalFormatting>
  <conditionalFormatting sqref="S23:AA23">
    <cfRule type="aboveAverage" dxfId="19" priority="29" aboveAverage="0"/>
  </conditionalFormatting>
  <conditionalFormatting sqref="S32:AA32">
    <cfRule type="aboveAverage" dxfId="18" priority="28"/>
  </conditionalFormatting>
  <conditionalFormatting sqref="S34:AA34">
    <cfRule type="aboveAverage" dxfId="17" priority="27"/>
  </conditionalFormatting>
  <conditionalFormatting sqref="S36:AA36">
    <cfRule type="aboveAverage" dxfId="16" priority="26"/>
  </conditionalFormatting>
  <conditionalFormatting sqref="S37:AA37">
    <cfRule type="aboveAverage" dxfId="15" priority="22"/>
  </conditionalFormatting>
  <conditionalFormatting sqref="S35:AA35">
    <cfRule type="aboveAverage" dxfId="14" priority="21"/>
  </conditionalFormatting>
  <conditionalFormatting sqref="S10:AA10">
    <cfRule type="aboveAverage" dxfId="13" priority="19" aboveAverage="0"/>
  </conditionalFormatting>
  <conditionalFormatting sqref="S11:AA11">
    <cfRule type="aboveAverage" dxfId="12" priority="18" aboveAverage="0"/>
  </conditionalFormatting>
  <conditionalFormatting sqref="S33:AA33">
    <cfRule type="aboveAverage" dxfId="11" priority="14" aboveAverage="0"/>
  </conditionalFormatting>
  <conditionalFormatting sqref="S39:AA39">
    <cfRule type="aboveAverage" dxfId="10" priority="13" equalAverage="1"/>
  </conditionalFormatting>
  <conditionalFormatting sqref="S38:AA38">
    <cfRule type="aboveAverage" dxfId="9" priority="12" equalAverage="1"/>
  </conditionalFormatting>
  <conditionalFormatting sqref="S17:AA17">
    <cfRule type="aboveAverage" dxfId="8" priority="9" equalAverage="1"/>
    <cfRule type="aboveAverage" dxfId="7" priority="10"/>
  </conditionalFormatting>
  <conditionalFormatting sqref="S25:AA25">
    <cfRule type="aboveAverage" dxfId="6" priority="7" equalAverage="1"/>
    <cfRule type="aboveAverage" dxfId="5" priority="8"/>
  </conditionalFormatting>
  <conditionalFormatting sqref="S26:AA26">
    <cfRule type="aboveAverage" dxfId="4" priority="5" equalAverage="1"/>
    <cfRule type="aboveAverage" dxfId="3" priority="6"/>
  </conditionalFormatting>
  <conditionalFormatting sqref="S27:AA27">
    <cfRule type="aboveAverage" dxfId="2" priority="4"/>
  </conditionalFormatting>
  <conditionalFormatting sqref="S28:AA28">
    <cfRule type="aboveAverage" dxfId="1" priority="3"/>
  </conditionalFormatting>
  <conditionalFormatting sqref="S29:AA29">
    <cfRule type="aboveAverage" dxfId="0" priority="2"/>
  </conditionalFormatting>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2022-03-06T19:33:50Z</dcterms:modified>
</cp:coreProperties>
</file>