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vl/Desktop/PycharmProjects/GitHub/Fundamental/"/>
    </mc:Choice>
  </mc:AlternateContent>
  <xr:revisionPtr revIDLastSave="0" documentId="13_ncr:1_{E3131E5C-CB71-8C4C-B599-3F117F1DE2FB}" xr6:coauthVersionLast="47" xr6:coauthVersionMax="47" xr10:uidLastSave="{00000000-0000-0000-0000-000000000000}"/>
  <bookViews>
    <workbookView xWindow="41160" yWindow="500" windowWidth="53340" windowHeight="28300" xr2:uid="{FB38C9C3-63EC-E541-8926-FAD826E7071A}"/>
  </bookViews>
  <sheets>
    <sheet name="DCF" sheetId="1" r:id="rId1"/>
    <sheet name="Revenue" sheetId="2" r:id="rId2"/>
    <sheet name="Financial Statement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73" i="1" l="1"/>
  <c r="F64" i="1"/>
  <c r="N73" i="1" s="1"/>
  <c r="M73" i="1"/>
  <c r="D64" i="1"/>
  <c r="L73" i="1" s="1"/>
  <c r="M64" i="1"/>
  <c r="S63" i="1"/>
  <c r="S6" i="1" a="1"/>
  <c r="S6" i="1" s="1"/>
  <c r="S5" i="1" a="1"/>
  <c r="S5" i="1" s="1"/>
  <c r="S12" i="1"/>
  <c r="S13" i="1" s="1"/>
  <c r="I9" i="2"/>
  <c r="I10" i="2" s="1"/>
  <c r="I39" i="2"/>
  <c r="I40" i="2"/>
  <c r="I38" i="2"/>
  <c r="I37" i="2"/>
  <c r="J33" i="2"/>
  <c r="I34" i="2"/>
  <c r="I33" i="2"/>
  <c r="I35" i="2"/>
  <c r="I32" i="2"/>
  <c r="H29" i="2"/>
  <c r="S18" i="1"/>
  <c r="E51" i="1"/>
  <c r="F51" i="1" s="1"/>
  <c r="G51" i="1" s="1"/>
  <c r="M42" i="1"/>
  <c r="L42" i="1" s="1"/>
  <c r="K42" i="1" s="1"/>
  <c r="M51" i="1"/>
  <c r="N51" i="1" s="1"/>
  <c r="O51" i="1" s="1"/>
  <c r="K35" i="2"/>
  <c r="I15" i="2" s="1"/>
  <c r="K34" i="2"/>
  <c r="I14" i="2" s="1"/>
  <c r="E34" i="3"/>
  <c r="G34" i="3"/>
  <c r="H34" i="3"/>
  <c r="I34" i="3"/>
  <c r="W29" i="3" s="1"/>
  <c r="H3" i="3"/>
  <c r="V36" i="3" s="1"/>
  <c r="E3" i="3"/>
  <c r="S24" i="3" s="1"/>
  <c r="F3" i="3"/>
  <c r="F25" i="3" s="1"/>
  <c r="G3" i="3"/>
  <c r="U24" i="3" s="1"/>
  <c r="Y30" i="3"/>
  <c r="AB30" i="3" s="1"/>
  <c r="Z30" i="3"/>
  <c r="AA30" i="3"/>
  <c r="S23" i="3"/>
  <c r="T23" i="3"/>
  <c r="U23" i="3"/>
  <c r="V23" i="3"/>
  <c r="AB23" i="3" s="1"/>
  <c r="E33" i="3"/>
  <c r="I33" i="3" s="1"/>
  <c r="G33" i="3"/>
  <c r="H33" i="3"/>
  <c r="AG26" i="3"/>
  <c r="S34" i="3"/>
  <c r="T34" i="3"/>
  <c r="U34" i="3"/>
  <c r="V34" i="3"/>
  <c r="AB34" i="3"/>
  <c r="S40" i="3"/>
  <c r="T40" i="3"/>
  <c r="U40" i="3"/>
  <c r="V40" i="3"/>
  <c r="AB40" i="3" s="1"/>
  <c r="S39" i="3"/>
  <c r="AB39" i="3" s="1"/>
  <c r="T39" i="3"/>
  <c r="U39" i="3"/>
  <c r="V39" i="3"/>
  <c r="S35" i="3"/>
  <c r="T35" i="3"/>
  <c r="U35" i="3"/>
  <c r="V35" i="3"/>
  <c r="AB35" i="3"/>
  <c r="S33" i="3"/>
  <c r="T33" i="3"/>
  <c r="U33" i="3"/>
  <c r="V33" i="3"/>
  <c r="AB33" i="3" s="1"/>
  <c r="E137" i="3"/>
  <c r="S17" i="3"/>
  <c r="F137" i="3"/>
  <c r="T17" i="3" s="1"/>
  <c r="G137" i="3"/>
  <c r="U17" i="3" s="1"/>
  <c r="H137" i="3"/>
  <c r="V17" i="3" s="1"/>
  <c r="S16" i="3"/>
  <c r="AB16" i="3" s="1"/>
  <c r="T16" i="3"/>
  <c r="U16" i="3"/>
  <c r="V16" i="3"/>
  <c r="S12" i="3"/>
  <c r="T12" i="3"/>
  <c r="U12" i="3"/>
  <c r="V12" i="3"/>
  <c r="AB12" i="3"/>
  <c r="S11" i="3"/>
  <c r="T11" i="3"/>
  <c r="U11" i="3"/>
  <c r="V11" i="3"/>
  <c r="AB11" i="3" s="1"/>
  <c r="S10" i="3"/>
  <c r="AB10" i="3" s="1"/>
  <c r="T10" i="3"/>
  <c r="U10" i="3"/>
  <c r="V10" i="3"/>
  <c r="S5" i="3"/>
  <c r="T5" i="3"/>
  <c r="AB5" i="3" s="1"/>
  <c r="U5" i="3"/>
  <c r="V5" i="3"/>
  <c r="S6" i="3"/>
  <c r="AB6" i="3" s="1"/>
  <c r="T6" i="3"/>
  <c r="U6" i="3"/>
  <c r="V6" i="3"/>
  <c r="S7" i="3"/>
  <c r="AB7" i="3" s="1"/>
  <c r="T7" i="3"/>
  <c r="U7" i="3"/>
  <c r="V7" i="3"/>
  <c r="S4" i="3"/>
  <c r="T4" i="3"/>
  <c r="U4" i="3"/>
  <c r="AB4" i="3" s="1"/>
  <c r="V4" i="3"/>
  <c r="E25" i="3"/>
  <c r="E22" i="3"/>
  <c r="F22" i="3"/>
  <c r="G22" i="3"/>
  <c r="H22" i="3"/>
  <c r="S8" i="1" s="1"/>
  <c r="E21" i="3"/>
  <c r="I21" i="3" s="1"/>
  <c r="F21" i="3"/>
  <c r="G21" i="3"/>
  <c r="H21" i="3"/>
  <c r="E43" i="3"/>
  <c r="F43" i="3"/>
  <c r="G43" i="3"/>
  <c r="H43" i="3"/>
  <c r="E42" i="3"/>
  <c r="F42" i="3"/>
  <c r="G42" i="3"/>
  <c r="H42" i="3"/>
  <c r="E41" i="3"/>
  <c r="F41" i="3"/>
  <c r="G41" i="3"/>
  <c r="H41" i="3"/>
  <c r="E39" i="3"/>
  <c r="F39" i="3"/>
  <c r="G39" i="3"/>
  <c r="H39" i="3"/>
  <c r="F32" i="3"/>
  <c r="E95" i="3"/>
  <c r="H100" i="3"/>
  <c r="I60" i="3"/>
  <c r="F101" i="3"/>
  <c r="F214" i="3"/>
  <c r="I214" i="3" s="1"/>
  <c r="J214" i="3" s="1"/>
  <c r="K214" i="3" s="1"/>
  <c r="L214" i="3" s="1"/>
  <c r="M214" i="3" s="1"/>
  <c r="G214" i="3"/>
  <c r="H214" i="3"/>
  <c r="I86" i="3"/>
  <c r="E215" i="3"/>
  <c r="F215" i="3"/>
  <c r="G215" i="3"/>
  <c r="I215" i="3"/>
  <c r="J215" i="3" s="1"/>
  <c r="K215" i="3" s="1"/>
  <c r="L215" i="3" s="1"/>
  <c r="M215" i="3" s="1"/>
  <c r="G216" i="3"/>
  <c r="I216" i="3" s="1"/>
  <c r="J216" i="3" s="1"/>
  <c r="K216" i="3" s="1"/>
  <c r="L216" i="3" s="1"/>
  <c r="M216" i="3" s="1"/>
  <c r="H216" i="3"/>
  <c r="E217" i="3"/>
  <c r="F217" i="3"/>
  <c r="G217" i="3"/>
  <c r="H217" i="3"/>
  <c r="I217" i="3"/>
  <c r="E218" i="3"/>
  <c r="I218" i="3" s="1"/>
  <c r="J218" i="3" s="1"/>
  <c r="K218" i="3" s="1"/>
  <c r="L218" i="3" s="1"/>
  <c r="M218" i="3" s="1"/>
  <c r="F218" i="3"/>
  <c r="G218" i="3"/>
  <c r="H218" i="3"/>
  <c r="E219" i="3"/>
  <c r="I219" i="3" s="1"/>
  <c r="J219" i="3" s="1"/>
  <c r="K219" i="3" s="1"/>
  <c r="L219" i="3" s="1"/>
  <c r="M219" i="3" s="1"/>
  <c r="F219" i="3"/>
  <c r="G219" i="3"/>
  <c r="H219" i="3"/>
  <c r="E220" i="3"/>
  <c r="F220" i="3"/>
  <c r="G220" i="3"/>
  <c r="H220" i="3"/>
  <c r="I220" i="3"/>
  <c r="J220" i="3" s="1"/>
  <c r="K220" i="3" s="1"/>
  <c r="L220" i="3" s="1"/>
  <c r="M220" i="3" s="1"/>
  <c r="F96" i="3"/>
  <c r="E105" i="3"/>
  <c r="F107" i="3"/>
  <c r="H107" i="3"/>
  <c r="J60" i="3"/>
  <c r="J86" i="3"/>
  <c r="J217" i="3"/>
  <c r="K217" i="3" s="1"/>
  <c r="L217" i="3" s="1"/>
  <c r="M217" i="3" s="1"/>
  <c r="K60" i="3"/>
  <c r="K86" i="3"/>
  <c r="L60" i="3"/>
  <c r="L86" i="3"/>
  <c r="M60" i="3"/>
  <c r="M86" i="3"/>
  <c r="D137" i="3"/>
  <c r="D138" i="3"/>
  <c r="D146" i="3" s="1"/>
  <c r="F23" i="1" s="1"/>
  <c r="D140" i="3"/>
  <c r="D141" i="3"/>
  <c r="D142" i="3"/>
  <c r="D143" i="3"/>
  <c r="D144" i="3"/>
  <c r="D145" i="3"/>
  <c r="F21" i="1"/>
  <c r="H21" i="1"/>
  <c r="I21" i="1"/>
  <c r="J21" i="1"/>
  <c r="G21" i="1"/>
  <c r="E18" i="1"/>
  <c r="F18" i="1"/>
  <c r="H18" i="1"/>
  <c r="I18" i="1"/>
  <c r="J18" i="1"/>
  <c r="G18" i="1"/>
  <c r="E14" i="1"/>
  <c r="F14" i="1"/>
  <c r="H14" i="1"/>
  <c r="I14" i="1"/>
  <c r="I8" i="1" s="1"/>
  <c r="U22" i="3" s="1"/>
  <c r="J14" i="1"/>
  <c r="J16" i="1" s="1"/>
  <c r="G14" i="1"/>
  <c r="G8" i="1" s="1"/>
  <c r="S22" i="3" s="1"/>
  <c r="E12" i="1"/>
  <c r="F12" i="1"/>
  <c r="G12" i="1"/>
  <c r="H12" i="1"/>
  <c r="I12" i="1"/>
  <c r="J12" i="1"/>
  <c r="J21" i="3"/>
  <c r="S9" i="1"/>
  <c r="E5" i="1"/>
  <c r="F5" i="1"/>
  <c r="G5" i="1"/>
  <c r="H5" i="1"/>
  <c r="I5" i="1"/>
  <c r="I6" i="1" s="1"/>
  <c r="J5" i="1"/>
  <c r="H205" i="3"/>
  <c r="R39" i="1"/>
  <c r="R40" i="1" s="1"/>
  <c r="R41" i="1" s="1"/>
  <c r="R42" i="1" s="1"/>
  <c r="R43" i="1" s="1"/>
  <c r="S39" i="1"/>
  <c r="S40" i="1" s="1"/>
  <c r="S41" i="1" s="1"/>
  <c r="S42" i="1" s="1"/>
  <c r="S43" i="1" s="1"/>
  <c r="E214" i="3"/>
  <c r="F205" i="3"/>
  <c r="G205" i="3"/>
  <c r="E205" i="3"/>
  <c r="F216" i="3"/>
  <c r="E216" i="3"/>
  <c r="H215" i="3"/>
  <c r="E167" i="3"/>
  <c r="F167" i="3"/>
  <c r="G167" i="3"/>
  <c r="H167" i="3"/>
  <c r="E168" i="3"/>
  <c r="E170" i="3" s="1"/>
  <c r="F168" i="3"/>
  <c r="F170" i="3" s="1"/>
  <c r="G168" i="3"/>
  <c r="H168" i="3"/>
  <c r="G170" i="3"/>
  <c r="H170" i="3"/>
  <c r="F138" i="3"/>
  <c r="F146" i="3" s="1"/>
  <c r="H23" i="1" s="1"/>
  <c r="F140" i="3"/>
  <c r="F141" i="3"/>
  <c r="F142" i="3"/>
  <c r="F143" i="3"/>
  <c r="F144" i="3"/>
  <c r="F145" i="3"/>
  <c r="G138" i="3"/>
  <c r="G146" i="3" s="1"/>
  <c r="I23" i="1" s="1"/>
  <c r="G140" i="3"/>
  <c r="G141" i="3"/>
  <c r="G142" i="3"/>
  <c r="G143" i="3"/>
  <c r="G144" i="3"/>
  <c r="G145" i="3"/>
  <c r="H138" i="3"/>
  <c r="H146" i="3" s="1"/>
  <c r="J23" i="1" s="1"/>
  <c r="H140" i="3"/>
  <c r="H141" i="3"/>
  <c r="H142" i="3"/>
  <c r="H143" i="3"/>
  <c r="H145" i="3"/>
  <c r="E138" i="3"/>
  <c r="E146" i="3" s="1"/>
  <c r="G23" i="1" s="1"/>
  <c r="E140" i="3"/>
  <c r="E141" i="3"/>
  <c r="E142" i="3"/>
  <c r="E143" i="3"/>
  <c r="E144" i="3"/>
  <c r="E145" i="3"/>
  <c r="F114" i="3"/>
  <c r="F98" i="3"/>
  <c r="K9" i="2"/>
  <c r="J9" i="2"/>
  <c r="G29" i="2"/>
  <c r="F9" i="2"/>
  <c r="E9" i="2"/>
  <c r="G9" i="2"/>
  <c r="G10" i="2" s="1"/>
  <c r="H9" i="2"/>
  <c r="E29" i="2"/>
  <c r="E38" i="2"/>
  <c r="F38" i="2"/>
  <c r="G38" i="2"/>
  <c r="H38" i="2"/>
  <c r="I23" i="2"/>
  <c r="E39" i="2"/>
  <c r="F39" i="2"/>
  <c r="G39" i="2"/>
  <c r="H39" i="2"/>
  <c r="E40" i="2"/>
  <c r="F40" i="2"/>
  <c r="G40" i="2"/>
  <c r="H40" i="2"/>
  <c r="J37" i="2"/>
  <c r="H40" i="3"/>
  <c r="G40" i="3"/>
  <c r="F40" i="3"/>
  <c r="D28" i="3"/>
  <c r="L9" i="2"/>
  <c r="M9" i="2"/>
  <c r="F29" i="2"/>
  <c r="E91" i="3"/>
  <c r="E17" i="2"/>
  <c r="E18" i="2"/>
  <c r="E19" i="2"/>
  <c r="L29" i="1"/>
  <c r="M29" i="1" s="1"/>
  <c r="N29" i="1" s="1"/>
  <c r="O29" i="1" s="1"/>
  <c r="D155" i="3"/>
  <c r="F12" i="2"/>
  <c r="F17" i="2" s="1"/>
  <c r="F13" i="2"/>
  <c r="K33" i="2" s="1"/>
  <c r="I13" i="2" s="1"/>
  <c r="F19" i="2"/>
  <c r="G17" i="2"/>
  <c r="G18" i="2"/>
  <c r="G19" i="2"/>
  <c r="G20" i="2"/>
  <c r="H17" i="2"/>
  <c r="H18" i="2"/>
  <c r="H19" i="2"/>
  <c r="H20" i="2"/>
  <c r="J32" i="2"/>
  <c r="J34" i="2"/>
  <c r="J35" i="2"/>
  <c r="O28" i="2"/>
  <c r="F42" i="1"/>
  <c r="G42" i="1" s="1"/>
  <c r="D42" i="1"/>
  <c r="C42" i="1" s="1"/>
  <c r="D210" i="3"/>
  <c r="C210" i="3"/>
  <c r="F91" i="3"/>
  <c r="G91" i="3"/>
  <c r="H91" i="3"/>
  <c r="E81" i="3"/>
  <c r="F81" i="3"/>
  <c r="G81" i="3"/>
  <c r="H81" i="3"/>
  <c r="F113" i="3"/>
  <c r="H65" i="3"/>
  <c r="G65" i="3"/>
  <c r="F65" i="3"/>
  <c r="E65" i="3"/>
  <c r="D65" i="3"/>
  <c r="C65" i="3"/>
  <c r="D43" i="3"/>
  <c r="D42" i="3"/>
  <c r="D41" i="3"/>
  <c r="D39" i="3"/>
  <c r="H38" i="3"/>
  <c r="G38" i="3"/>
  <c r="F38" i="3"/>
  <c r="E38" i="3"/>
  <c r="D32" i="3"/>
  <c r="C32" i="3"/>
  <c r="D31" i="3"/>
  <c r="C31" i="3"/>
  <c r="D30" i="3"/>
  <c r="C30" i="3"/>
  <c r="D27" i="3"/>
  <c r="C27" i="3"/>
  <c r="D26" i="3"/>
  <c r="C26" i="3"/>
  <c r="D25" i="3"/>
  <c r="C25" i="3"/>
  <c r="D21" i="3"/>
  <c r="C21" i="3"/>
  <c r="D40" i="2"/>
  <c r="D39" i="2"/>
  <c r="D38" i="2"/>
  <c r="H37" i="2"/>
  <c r="G37" i="2"/>
  <c r="H35" i="2"/>
  <c r="G35" i="2"/>
  <c r="H34" i="2"/>
  <c r="G34" i="2"/>
  <c r="F34" i="2"/>
  <c r="E34" i="2"/>
  <c r="H33" i="2"/>
  <c r="G33" i="2"/>
  <c r="N7" i="2" s="1"/>
  <c r="O7" i="2" s="1"/>
  <c r="F33" i="2"/>
  <c r="E33" i="2"/>
  <c r="H32" i="2"/>
  <c r="G32" i="2"/>
  <c r="F32" i="2"/>
  <c r="E32" i="2"/>
  <c r="N28" i="2"/>
  <c r="T9" i="2"/>
  <c r="F16" i="1"/>
  <c r="E15" i="1" l="1"/>
  <c r="D51" i="1"/>
  <c r="C51" i="1" s="1"/>
  <c r="F8" i="1"/>
  <c r="F9" i="1" s="1"/>
  <c r="E8" i="1"/>
  <c r="N42" i="1"/>
  <c r="O42" i="1" s="1"/>
  <c r="N64" i="1"/>
  <c r="I16" i="1"/>
  <c r="E25" i="1"/>
  <c r="E26" i="1" s="1"/>
  <c r="F73" i="1"/>
  <c r="C64" i="1"/>
  <c r="G64" i="1"/>
  <c r="O73" i="1" s="1"/>
  <c r="L64" i="1"/>
  <c r="D73" i="1"/>
  <c r="G15" i="1"/>
  <c r="L51" i="1"/>
  <c r="K51" i="1" s="1"/>
  <c r="W28" i="3"/>
  <c r="J33" i="3"/>
  <c r="K33" i="3" s="1"/>
  <c r="L33" i="3" s="1"/>
  <c r="M33" i="3" s="1"/>
  <c r="N33" i="3"/>
  <c r="S10" i="1"/>
  <c r="X29" i="3"/>
  <c r="AB17" i="3"/>
  <c r="J22" i="3"/>
  <c r="G25" i="1"/>
  <c r="G26" i="1" s="1"/>
  <c r="I22" i="3"/>
  <c r="M21" i="3"/>
  <c r="F100" i="3"/>
  <c r="L21" i="3"/>
  <c r="F94" i="3"/>
  <c r="K21" i="3"/>
  <c r="T37" i="3"/>
  <c r="J34" i="3"/>
  <c r="S11" i="1"/>
  <c r="G96" i="3"/>
  <c r="G30" i="3"/>
  <c r="H114" i="3"/>
  <c r="J114" i="3" s="1"/>
  <c r="F111" i="3"/>
  <c r="F112" i="3"/>
  <c r="H106" i="3"/>
  <c r="H210" i="3"/>
  <c r="H99" i="3"/>
  <c r="F30" i="3"/>
  <c r="F26" i="3"/>
  <c r="T15" i="3"/>
  <c r="T21" i="3"/>
  <c r="F110" i="3"/>
  <c r="F106" i="3"/>
  <c r="F210" i="3"/>
  <c r="H97" i="3"/>
  <c r="F31" i="3"/>
  <c r="F108" i="3"/>
  <c r="H212" i="3"/>
  <c r="H105" i="3"/>
  <c r="H102" i="3"/>
  <c r="F97" i="3"/>
  <c r="H28" i="3"/>
  <c r="H112" i="3"/>
  <c r="T20" i="3"/>
  <c r="F212" i="3"/>
  <c r="F105" i="3"/>
  <c r="F102" i="3"/>
  <c r="H94" i="3"/>
  <c r="H32" i="3"/>
  <c r="F28" i="3"/>
  <c r="V37" i="3"/>
  <c r="H109" i="3"/>
  <c r="F27" i="3"/>
  <c r="F109" i="3"/>
  <c r="H96" i="3"/>
  <c r="H95" i="3"/>
  <c r="V38" i="3"/>
  <c r="I26" i="2"/>
  <c r="F18" i="2"/>
  <c r="F21" i="2" s="1"/>
  <c r="F24" i="2" s="1"/>
  <c r="G212" i="3"/>
  <c r="G99" i="3"/>
  <c r="G27" i="3"/>
  <c r="F99" i="3"/>
  <c r="F95" i="3"/>
  <c r="I95" i="3" s="1"/>
  <c r="J95" i="3" s="1"/>
  <c r="K95" i="3" s="1"/>
  <c r="L95" i="3" s="1"/>
  <c r="M95" i="3" s="1"/>
  <c r="I15" i="1"/>
  <c r="H101" i="3"/>
  <c r="H98" i="3"/>
  <c r="T36" i="3"/>
  <c r="P29" i="2"/>
  <c r="K114" i="3"/>
  <c r="G26" i="3"/>
  <c r="F6" i="1"/>
  <c r="G94" i="3"/>
  <c r="U21" i="3"/>
  <c r="T38" i="3"/>
  <c r="J14" i="2"/>
  <c r="K14" i="2" s="1"/>
  <c r="I19" i="2"/>
  <c r="H21" i="2"/>
  <c r="H24" i="2" s="1"/>
  <c r="E21" i="2"/>
  <c r="E24" i="2" s="1"/>
  <c r="J40" i="2"/>
  <c r="K40" i="2" s="1"/>
  <c r="L40" i="2" s="1"/>
  <c r="M40" i="2" s="1"/>
  <c r="F10" i="2"/>
  <c r="G106" i="3"/>
  <c r="G101" i="3"/>
  <c r="H31" i="3"/>
  <c r="H37" i="3"/>
  <c r="H111" i="3"/>
  <c r="I111" i="3" s="1"/>
  <c r="H25" i="3"/>
  <c r="U38" i="3"/>
  <c r="T24" i="3"/>
  <c r="AB24" i="3" s="1"/>
  <c r="I22" i="2"/>
  <c r="G114" i="3"/>
  <c r="G112" i="3"/>
  <c r="G31" i="3"/>
  <c r="G37" i="3"/>
  <c r="H110" i="3"/>
  <c r="I110" i="3" s="1"/>
  <c r="J110" i="3" s="1"/>
  <c r="G25" i="3"/>
  <c r="L25" i="3" s="1"/>
  <c r="V15" i="3"/>
  <c r="G109" i="3"/>
  <c r="G210" i="3"/>
  <c r="G98" i="3"/>
  <c r="G95" i="3"/>
  <c r="G28" i="3"/>
  <c r="U15" i="3"/>
  <c r="V20" i="3"/>
  <c r="U36" i="3"/>
  <c r="K32" i="2"/>
  <c r="I12" i="2" s="1"/>
  <c r="I17" i="2" s="1"/>
  <c r="G111" i="3"/>
  <c r="G105" i="3"/>
  <c r="H27" i="3"/>
  <c r="I27" i="3" s="1"/>
  <c r="U20" i="3"/>
  <c r="V24" i="3"/>
  <c r="G21" i="2"/>
  <c r="G24" i="2" s="1"/>
  <c r="H10" i="2"/>
  <c r="G100" i="3"/>
  <c r="G97" i="3"/>
  <c r="J23" i="2"/>
  <c r="G110" i="3"/>
  <c r="G107" i="3"/>
  <c r="I105" i="3"/>
  <c r="J105" i="3" s="1"/>
  <c r="K105" i="3" s="1"/>
  <c r="L105" i="3" s="1"/>
  <c r="M105" i="3" s="1"/>
  <c r="G102" i="3"/>
  <c r="H30" i="3"/>
  <c r="G32" i="3"/>
  <c r="H26" i="3"/>
  <c r="V21" i="3"/>
  <c r="U37" i="3"/>
  <c r="I18" i="2"/>
  <c r="J13" i="2"/>
  <c r="I20" i="2"/>
  <c r="J15" i="2"/>
  <c r="E111" i="3"/>
  <c r="E109" i="3"/>
  <c r="E27" i="3"/>
  <c r="E99" i="3"/>
  <c r="E210" i="3"/>
  <c r="E100" i="3"/>
  <c r="E30" i="3"/>
  <c r="S36" i="3"/>
  <c r="E108" i="3"/>
  <c r="E9" i="1"/>
  <c r="E106" i="3"/>
  <c r="F37" i="3"/>
  <c r="S15" i="3"/>
  <c r="S21" i="3"/>
  <c r="K37" i="2"/>
  <c r="L37" i="2" s="1"/>
  <c r="M37" i="2" s="1"/>
  <c r="E114" i="3"/>
  <c r="J6" i="1"/>
  <c r="H15" i="1"/>
  <c r="E212" i="3"/>
  <c r="E101" i="3"/>
  <c r="E31" i="3"/>
  <c r="E37" i="3"/>
  <c r="L114" i="3"/>
  <c r="S38" i="3"/>
  <c r="AB38" i="3" s="1"/>
  <c r="E98" i="3"/>
  <c r="E110" i="3"/>
  <c r="E96" i="3"/>
  <c r="E28" i="3"/>
  <c r="E113" i="3"/>
  <c r="H6" i="1"/>
  <c r="E112" i="3"/>
  <c r="E107" i="3"/>
  <c r="E97" i="3"/>
  <c r="S20" i="3"/>
  <c r="E26" i="3"/>
  <c r="E102" i="3"/>
  <c r="E94" i="3"/>
  <c r="E32" i="3"/>
  <c r="S37" i="3"/>
  <c r="F25" i="1"/>
  <c r="I25" i="1"/>
  <c r="I9" i="1"/>
  <c r="F15" i="1"/>
  <c r="J8" i="1"/>
  <c r="V22" i="3" s="1"/>
  <c r="J15" i="1"/>
  <c r="H8" i="1"/>
  <c r="T22" i="3" s="1"/>
  <c r="G9" i="1"/>
  <c r="H16" i="1"/>
  <c r="L10" i="2"/>
  <c r="M10" i="2"/>
  <c r="K10" i="2"/>
  <c r="J10" i="2"/>
  <c r="G10" i="1" l="1"/>
  <c r="F10" i="1"/>
  <c r="I10" i="1"/>
  <c r="AB22" i="3"/>
  <c r="S62" i="1" s="1"/>
  <c r="O64" i="1"/>
  <c r="G73" i="1"/>
  <c r="C73" i="1"/>
  <c r="K73" i="1"/>
  <c r="K64" i="1"/>
  <c r="Y29" i="3"/>
  <c r="S14" i="1"/>
  <c r="K22" i="3"/>
  <c r="K34" i="3"/>
  <c r="L34" i="3" s="1"/>
  <c r="M34" i="3" s="1"/>
  <c r="N34" i="3"/>
  <c r="X28" i="3"/>
  <c r="Y28" i="3" s="1"/>
  <c r="Z28" i="3" s="1"/>
  <c r="AA28" i="3" s="1"/>
  <c r="AB28" i="3"/>
  <c r="J38" i="2"/>
  <c r="K38" i="2" s="1"/>
  <c r="L38" i="2" s="1"/>
  <c r="M38" i="2" s="1"/>
  <c r="I25" i="3"/>
  <c r="AB20" i="3"/>
  <c r="J39" i="2"/>
  <c r="K39" i="2" s="1"/>
  <c r="L39" i="2" s="1"/>
  <c r="M39" i="2" s="1"/>
  <c r="N112" i="3"/>
  <c r="M99" i="3"/>
  <c r="N121" i="3"/>
  <c r="J25" i="3"/>
  <c r="M26" i="3"/>
  <c r="N102" i="3"/>
  <c r="I212" i="3"/>
  <c r="J212" i="3" s="1"/>
  <c r="K212" i="3" s="1"/>
  <c r="L212" i="3" s="1"/>
  <c r="M212" i="3" s="1"/>
  <c r="N106" i="3"/>
  <c r="L99" i="3"/>
  <c r="K99" i="3"/>
  <c r="I98" i="3"/>
  <c r="M114" i="3"/>
  <c r="I114" i="3"/>
  <c r="AB15" i="3"/>
  <c r="I99" i="3"/>
  <c r="L98" i="3"/>
  <c r="J99" i="3"/>
  <c r="P10" i="2"/>
  <c r="I21" i="2"/>
  <c r="I24" i="2" s="1"/>
  <c r="K26" i="3"/>
  <c r="J19" i="2"/>
  <c r="K19" i="2"/>
  <c r="L14" i="2"/>
  <c r="AB37" i="3"/>
  <c r="M25" i="3"/>
  <c r="J98" i="3"/>
  <c r="N117" i="3"/>
  <c r="K25" i="3"/>
  <c r="AB36" i="3"/>
  <c r="J12" i="2"/>
  <c r="I27" i="2"/>
  <c r="J27" i="2" s="1"/>
  <c r="K27" i="2" s="1"/>
  <c r="L27" i="2" s="1"/>
  <c r="M27" i="2" s="1"/>
  <c r="J26" i="3"/>
  <c r="K98" i="3"/>
  <c r="N105" i="3"/>
  <c r="AB21" i="3"/>
  <c r="N118" i="3"/>
  <c r="I26" i="3"/>
  <c r="K27" i="3"/>
  <c r="J27" i="3"/>
  <c r="L26" i="3"/>
  <c r="J111" i="3"/>
  <c r="L111" i="3"/>
  <c r="M111" i="3"/>
  <c r="I210" i="3"/>
  <c r="J210" i="3" s="1"/>
  <c r="K210" i="3" s="1"/>
  <c r="L210" i="3" s="1"/>
  <c r="M210" i="3" s="1"/>
  <c r="M98" i="3"/>
  <c r="K111" i="3"/>
  <c r="N103" i="3"/>
  <c r="I96" i="3"/>
  <c r="J96" i="3" s="1"/>
  <c r="K96" i="3" s="1"/>
  <c r="L96" i="3" s="1"/>
  <c r="M96" i="3" s="1"/>
  <c r="I32" i="3"/>
  <c r="J32" i="3" s="1"/>
  <c r="K32" i="3" s="1"/>
  <c r="L32" i="3" s="1"/>
  <c r="M32" i="3" s="1"/>
  <c r="I31" i="3"/>
  <c r="J31" i="3" s="1"/>
  <c r="K31" i="3" s="1"/>
  <c r="L31" i="3" s="1"/>
  <c r="M31" i="3" s="1"/>
  <c r="N115" i="3"/>
  <c r="I108" i="3"/>
  <c r="J108" i="3" s="1"/>
  <c r="K108" i="3" s="1"/>
  <c r="L108" i="3" s="1"/>
  <c r="M108" i="3" s="1"/>
  <c r="N116" i="3"/>
  <c r="I109" i="3"/>
  <c r="J109" i="3" s="1"/>
  <c r="K109" i="3" s="1"/>
  <c r="L109" i="3" s="1"/>
  <c r="M109" i="3" s="1"/>
  <c r="J22" i="2"/>
  <c r="K22" i="2" s="1"/>
  <c r="L22" i="2" s="1"/>
  <c r="M22" i="2" s="1"/>
  <c r="N22" i="2" s="1"/>
  <c r="O22" i="2" s="1"/>
  <c r="L102" i="3"/>
  <c r="N109" i="3"/>
  <c r="K102" i="3"/>
  <c r="I102" i="3"/>
  <c r="M102" i="3"/>
  <c r="J102" i="3"/>
  <c r="K12" i="2"/>
  <c r="J17" i="2"/>
  <c r="I30" i="3"/>
  <c r="J30" i="3" s="1"/>
  <c r="K30" i="3" s="1"/>
  <c r="L30" i="3" s="1"/>
  <c r="M30" i="3" s="1"/>
  <c r="I106" i="3"/>
  <c r="J106" i="3" s="1"/>
  <c r="K106" i="3" s="1"/>
  <c r="L106" i="3" s="1"/>
  <c r="M106" i="3" s="1"/>
  <c r="N113" i="3"/>
  <c r="K100" i="3"/>
  <c r="I100" i="3"/>
  <c r="M100" i="3"/>
  <c r="J100" i="3"/>
  <c r="L100" i="3"/>
  <c r="N107" i="3"/>
  <c r="K23" i="2"/>
  <c r="L23" i="2" s="1"/>
  <c r="M23" i="2" s="1"/>
  <c r="N23" i="2" s="1"/>
  <c r="O23" i="2" s="1"/>
  <c r="K13" i="2"/>
  <c r="J18" i="2"/>
  <c r="J97" i="3"/>
  <c r="N104" i="3"/>
  <c r="L97" i="3"/>
  <c r="M97" i="3"/>
  <c r="I97" i="3"/>
  <c r="K97" i="3"/>
  <c r="I107" i="3"/>
  <c r="J107" i="3" s="1"/>
  <c r="K107" i="3" s="1"/>
  <c r="L107" i="3" s="1"/>
  <c r="M107" i="3" s="1"/>
  <c r="N114" i="3"/>
  <c r="N101" i="3"/>
  <c r="I94" i="3"/>
  <c r="J94" i="3" s="1"/>
  <c r="K94" i="3" s="1"/>
  <c r="L94" i="3" s="1"/>
  <c r="M94" i="3" s="1"/>
  <c r="L112" i="3"/>
  <c r="M112" i="3"/>
  <c r="N119" i="3"/>
  <c r="K112" i="3"/>
  <c r="I112" i="3"/>
  <c r="J112" i="3"/>
  <c r="K101" i="3"/>
  <c r="I101" i="3"/>
  <c r="L101" i="3"/>
  <c r="N108" i="3"/>
  <c r="M101" i="3"/>
  <c r="J101" i="3"/>
  <c r="K28" i="3"/>
  <c r="M28" i="3"/>
  <c r="J28" i="3"/>
  <c r="L28" i="3"/>
  <c r="I28" i="3"/>
  <c r="K15" i="2"/>
  <c r="J20" i="2"/>
  <c r="K110" i="3"/>
  <c r="I26" i="1"/>
  <c r="H10" i="1"/>
  <c r="H9" i="1"/>
  <c r="H25" i="1"/>
  <c r="F26" i="1"/>
  <c r="F27" i="1"/>
  <c r="J25" i="1"/>
  <c r="J10" i="1"/>
  <c r="J9" i="1"/>
  <c r="B67" i="1" l="1"/>
  <c r="B68" i="1" s="1"/>
  <c r="J68" i="1" s="1"/>
  <c r="J77" i="1" s="1"/>
  <c r="G32" i="1"/>
  <c r="B45" i="1"/>
  <c r="B54" i="1" s="1"/>
  <c r="Z29" i="3"/>
  <c r="AA29" i="3" s="1"/>
  <c r="AB29" i="3"/>
  <c r="L22" i="3"/>
  <c r="M22" i="3" s="1"/>
  <c r="J26" i="2"/>
  <c r="K26" i="2" s="1"/>
  <c r="L26" i="2" s="1"/>
  <c r="M26" i="2" s="1"/>
  <c r="N30" i="3"/>
  <c r="M14" i="2"/>
  <c r="M19" i="2" s="1"/>
  <c r="L19" i="2"/>
  <c r="M27" i="3"/>
  <c r="L27" i="3"/>
  <c r="I28" i="2"/>
  <c r="I29" i="2" s="1"/>
  <c r="L110" i="3"/>
  <c r="M110" i="3" s="1"/>
  <c r="L13" i="2"/>
  <c r="K18" i="2"/>
  <c r="L15" i="2"/>
  <c r="K20" i="2"/>
  <c r="N31" i="3"/>
  <c r="J21" i="2"/>
  <c r="J24" i="2" s="1"/>
  <c r="J28" i="2" s="1"/>
  <c r="N32" i="3"/>
  <c r="L12" i="2"/>
  <c r="K17" i="2"/>
  <c r="J27" i="1"/>
  <c r="J26" i="1"/>
  <c r="H27" i="1"/>
  <c r="H26" i="1"/>
  <c r="I27" i="1"/>
  <c r="B77" i="1" l="1"/>
  <c r="B69" i="1"/>
  <c r="B66" i="1"/>
  <c r="B75" i="1" s="1"/>
  <c r="B76" i="1"/>
  <c r="J67" i="1"/>
  <c r="J76" i="1" s="1"/>
  <c r="J45" i="1"/>
  <c r="J54" i="1" s="1"/>
  <c r="B44" i="1"/>
  <c r="B43" i="1" s="1"/>
  <c r="J43" i="1" s="1"/>
  <c r="J52" i="1" s="1"/>
  <c r="B46" i="1"/>
  <c r="B55" i="1" s="1"/>
  <c r="G31" i="1"/>
  <c r="G30" i="1" s="1"/>
  <c r="G33" i="1"/>
  <c r="G34" i="1" s="1"/>
  <c r="I3" i="3"/>
  <c r="K5" i="1"/>
  <c r="K6" i="1" s="1"/>
  <c r="K21" i="2"/>
  <c r="K24" i="2" s="1"/>
  <c r="K28" i="2" s="1"/>
  <c r="M12" i="2"/>
  <c r="M17" i="2" s="1"/>
  <c r="L17" i="2"/>
  <c r="M13" i="2"/>
  <c r="M18" i="2" s="1"/>
  <c r="L18" i="2"/>
  <c r="M15" i="2"/>
  <c r="M20" i="2" s="1"/>
  <c r="L20" i="2"/>
  <c r="L5" i="1"/>
  <c r="J3" i="3"/>
  <c r="J29" i="2"/>
  <c r="J69" i="1"/>
  <c r="J78" i="1" s="1"/>
  <c r="B78" i="1"/>
  <c r="B53" i="1" l="1"/>
  <c r="B52" i="1"/>
  <c r="B65" i="1"/>
  <c r="B74" i="1" s="1"/>
  <c r="J66" i="1"/>
  <c r="J75" i="1" s="1"/>
  <c r="J65" i="1"/>
  <c r="J74" i="1" s="1"/>
  <c r="J46" i="1"/>
  <c r="J55" i="1" s="1"/>
  <c r="B47" i="1"/>
  <c r="B56" i="1" s="1"/>
  <c r="J44" i="1"/>
  <c r="J53" i="1" s="1"/>
  <c r="L6" i="1"/>
  <c r="I55" i="3"/>
  <c r="I120" i="3"/>
  <c r="K12" i="1" s="1"/>
  <c r="I51" i="3"/>
  <c r="I138" i="3" s="1"/>
  <c r="I71" i="3"/>
  <c r="I143" i="3" s="1"/>
  <c r="I5" i="3"/>
  <c r="I52" i="3"/>
  <c r="I140" i="3" s="1"/>
  <c r="I78" i="3"/>
  <c r="I37" i="3"/>
  <c r="I80" i="3"/>
  <c r="I61" i="3"/>
  <c r="I6" i="3"/>
  <c r="I7" i="3"/>
  <c r="I69" i="3"/>
  <c r="I74" i="3"/>
  <c r="I17" i="3"/>
  <c r="I77" i="3"/>
  <c r="I50" i="3"/>
  <c r="I137" i="3" s="1"/>
  <c r="I56" i="3"/>
  <c r="I157" i="3" s="1"/>
  <c r="I58" i="3"/>
  <c r="I57" i="3"/>
  <c r="I156" i="3"/>
  <c r="K21" i="1" s="1"/>
  <c r="I70" i="3"/>
  <c r="I142" i="3" s="1"/>
  <c r="W24" i="3"/>
  <c r="I73" i="3"/>
  <c r="I145" i="3" s="1"/>
  <c r="I64" i="3"/>
  <c r="I147" i="3" s="1"/>
  <c r="M21" i="2"/>
  <c r="M24" i="2" s="1"/>
  <c r="M28" i="2" s="1"/>
  <c r="L21" i="2"/>
  <c r="L24" i="2" s="1"/>
  <c r="L28" i="2" s="1"/>
  <c r="J56" i="3"/>
  <c r="J70" i="3"/>
  <c r="J37" i="3"/>
  <c r="J73" i="3"/>
  <c r="J80" i="3"/>
  <c r="J17" i="3"/>
  <c r="J74" i="3"/>
  <c r="J78" i="3"/>
  <c r="J64" i="3"/>
  <c r="J71" i="3"/>
  <c r="J120" i="3"/>
  <c r="L12" i="1" s="1"/>
  <c r="J7" i="3"/>
  <c r="J6" i="3"/>
  <c r="J58" i="3"/>
  <c r="J50" i="3"/>
  <c r="J55" i="3"/>
  <c r="J57" i="3"/>
  <c r="J156" i="3"/>
  <c r="L21" i="1" s="1"/>
  <c r="J52" i="3"/>
  <c r="J51" i="3"/>
  <c r="J69" i="3"/>
  <c r="J5" i="3"/>
  <c r="X24" i="3"/>
  <c r="J77" i="3"/>
  <c r="J61" i="3"/>
  <c r="K3" i="3"/>
  <c r="K29" i="2"/>
  <c r="M5" i="1"/>
  <c r="M6" i="1" s="1"/>
  <c r="J47" i="1" l="1"/>
  <c r="J56" i="1" s="1"/>
  <c r="J9" i="3"/>
  <c r="J10" i="3" s="1"/>
  <c r="I81" i="3"/>
  <c r="J143" i="3"/>
  <c r="I9" i="3"/>
  <c r="I10" i="3" s="1"/>
  <c r="I141" i="3"/>
  <c r="I146" i="3" s="1"/>
  <c r="K23" i="1" s="1"/>
  <c r="I75" i="3"/>
  <c r="I82" i="3" s="1"/>
  <c r="I4" i="3"/>
  <c r="W20" i="3"/>
  <c r="I39" i="3"/>
  <c r="J145" i="3"/>
  <c r="J142" i="3"/>
  <c r="I164" i="3"/>
  <c r="I12" i="3"/>
  <c r="I167" i="3"/>
  <c r="I182" i="3"/>
  <c r="I188" i="3"/>
  <c r="I174" i="3"/>
  <c r="I183" i="3"/>
  <c r="W17" i="3"/>
  <c r="I168" i="3"/>
  <c r="I180" i="3"/>
  <c r="I152" i="3"/>
  <c r="I65" i="3"/>
  <c r="J157" i="3"/>
  <c r="J164" i="3" s="1"/>
  <c r="L3" i="3"/>
  <c r="N5" i="1"/>
  <c r="N6" i="1" s="1"/>
  <c r="L29" i="2"/>
  <c r="X20" i="3"/>
  <c r="J39" i="3"/>
  <c r="J4" i="3"/>
  <c r="J180" i="3"/>
  <c r="J152" i="3"/>
  <c r="J168" i="3"/>
  <c r="J138" i="3"/>
  <c r="J141" i="3"/>
  <c r="J75" i="3"/>
  <c r="J140" i="3"/>
  <c r="K5" i="3"/>
  <c r="K7" i="3"/>
  <c r="K64" i="3"/>
  <c r="K147" i="3" s="1"/>
  <c r="K77" i="3"/>
  <c r="K80" i="3"/>
  <c r="K55" i="3"/>
  <c r="K61" i="3"/>
  <c r="K52" i="3"/>
  <c r="K57" i="3"/>
  <c r="K51" i="3"/>
  <c r="K138" i="3" s="1"/>
  <c r="K73" i="3"/>
  <c r="K145" i="3" s="1"/>
  <c r="K71" i="3"/>
  <c r="K143" i="3" s="1"/>
  <c r="K70" i="3"/>
  <c r="K142" i="3" s="1"/>
  <c r="K58" i="3"/>
  <c r="K156" i="3"/>
  <c r="M21" i="1" s="1"/>
  <c r="K56" i="3"/>
  <c r="K157" i="3" s="1"/>
  <c r="K50" i="3"/>
  <c r="K6" i="3"/>
  <c r="K120" i="3"/>
  <c r="M12" i="1" s="1"/>
  <c r="K74" i="3"/>
  <c r="Y24" i="3"/>
  <c r="K17" i="3"/>
  <c r="K78" i="3"/>
  <c r="K69" i="3"/>
  <c r="K37" i="3"/>
  <c r="J147" i="3"/>
  <c r="J81" i="3"/>
  <c r="J65" i="3"/>
  <c r="J137" i="3"/>
  <c r="J167" i="3"/>
  <c r="J183" i="3"/>
  <c r="J174" i="3"/>
  <c r="J12" i="3"/>
  <c r="J182" i="3"/>
  <c r="J188" i="3"/>
  <c r="M3" i="3"/>
  <c r="O5" i="1"/>
  <c r="M29" i="2"/>
  <c r="K9" i="3" l="1"/>
  <c r="K40" i="3" s="1"/>
  <c r="K164" i="3"/>
  <c r="I40" i="3"/>
  <c r="J40" i="3"/>
  <c r="K168" i="3"/>
  <c r="J170" i="3"/>
  <c r="I14" i="3"/>
  <c r="W38" i="3"/>
  <c r="K14" i="1"/>
  <c r="I41" i="3"/>
  <c r="W21" i="3"/>
  <c r="N10" i="2"/>
  <c r="I170" i="3"/>
  <c r="I38" i="3"/>
  <c r="W16" i="3"/>
  <c r="L55" i="3"/>
  <c r="L52" i="3"/>
  <c r="L140" i="3" s="1"/>
  <c r="L156" i="3"/>
  <c r="N21" i="1" s="1"/>
  <c r="L7" i="3"/>
  <c r="L37" i="3"/>
  <c r="L71" i="3"/>
  <c r="L143" i="3" s="1"/>
  <c r="L80" i="3"/>
  <c r="L50" i="3"/>
  <c r="L78" i="3"/>
  <c r="L120" i="3"/>
  <c r="N12" i="1" s="1"/>
  <c r="L61" i="3"/>
  <c r="L6" i="3"/>
  <c r="L58" i="3"/>
  <c r="L17" i="3"/>
  <c r="L51" i="3"/>
  <c r="L138" i="3" s="1"/>
  <c r="L69" i="3"/>
  <c r="L70" i="3"/>
  <c r="L142" i="3" s="1"/>
  <c r="L64" i="3"/>
  <c r="L74" i="3"/>
  <c r="L57" i="3"/>
  <c r="L5" i="3"/>
  <c r="L4" i="3" s="1"/>
  <c r="L73" i="3"/>
  <c r="L145" i="3" s="1"/>
  <c r="Z24" i="3"/>
  <c r="L77" i="3"/>
  <c r="L56" i="3"/>
  <c r="L157" i="3" s="1"/>
  <c r="K4" i="3"/>
  <c r="Y16" i="3" s="1"/>
  <c r="Y20" i="3"/>
  <c r="K39" i="3"/>
  <c r="O6" i="1"/>
  <c r="X17" i="3"/>
  <c r="J146" i="3"/>
  <c r="L23" i="1" s="1"/>
  <c r="M55" i="3"/>
  <c r="M64" i="3"/>
  <c r="M6" i="3"/>
  <c r="M80" i="3"/>
  <c r="M69" i="3"/>
  <c r="M58" i="3"/>
  <c r="M51" i="3"/>
  <c r="M57" i="3"/>
  <c r="AA24" i="3"/>
  <c r="M56" i="3"/>
  <c r="M70" i="3"/>
  <c r="M156" i="3"/>
  <c r="O21" i="1" s="1"/>
  <c r="M52" i="3"/>
  <c r="M61" i="3"/>
  <c r="M120" i="3"/>
  <c r="O12" i="1" s="1"/>
  <c r="M78" i="3"/>
  <c r="M5" i="3"/>
  <c r="M17" i="3"/>
  <c r="M7" i="3"/>
  <c r="M74" i="3"/>
  <c r="M77" i="3"/>
  <c r="M73" i="3"/>
  <c r="M71" i="3"/>
  <c r="M50" i="3"/>
  <c r="M37" i="3"/>
  <c r="K180" i="3"/>
  <c r="K152" i="3"/>
  <c r="K167" i="3"/>
  <c r="K182" i="3"/>
  <c r="K188" i="3"/>
  <c r="K12" i="3"/>
  <c r="K183" i="3"/>
  <c r="K174" i="3"/>
  <c r="K81" i="3"/>
  <c r="K75" i="3"/>
  <c r="K141" i="3"/>
  <c r="K140" i="3"/>
  <c r="K137" i="3"/>
  <c r="K65" i="3"/>
  <c r="X16" i="3"/>
  <c r="J38" i="3"/>
  <c r="J82" i="3"/>
  <c r="J41" i="3"/>
  <c r="L14" i="1"/>
  <c r="J14" i="3"/>
  <c r="X21" i="3"/>
  <c r="X38" i="3"/>
  <c r="K10" i="3" l="1"/>
  <c r="K14" i="3" s="1"/>
  <c r="M142" i="3"/>
  <c r="K170" i="3"/>
  <c r="N37" i="3"/>
  <c r="L164" i="3"/>
  <c r="K38" i="3"/>
  <c r="L81" i="3"/>
  <c r="K82" i="3"/>
  <c r="L9" i="3"/>
  <c r="L40" i="3" s="1"/>
  <c r="M147" i="3"/>
  <c r="K16" i="1"/>
  <c r="K15" i="1"/>
  <c r="K8" i="1"/>
  <c r="W22" i="3" s="1"/>
  <c r="M143" i="3"/>
  <c r="I42" i="3"/>
  <c r="I15" i="3"/>
  <c r="I16" i="3" s="1"/>
  <c r="W39" i="3"/>
  <c r="Y17" i="3"/>
  <c r="K146" i="3"/>
  <c r="M23" i="1" s="1"/>
  <c r="Z16" i="3"/>
  <c r="L38" i="3"/>
  <c r="L147" i="3"/>
  <c r="M9" i="3"/>
  <c r="L39" i="3"/>
  <c r="Z20" i="3"/>
  <c r="M4" i="3"/>
  <c r="AA20" i="3"/>
  <c r="M39" i="3"/>
  <c r="M65" i="3"/>
  <c r="L182" i="3"/>
  <c r="L183" i="3"/>
  <c r="L12" i="3"/>
  <c r="L167" i="3"/>
  <c r="L188" i="3"/>
  <c r="L174" i="3"/>
  <c r="M140" i="3"/>
  <c r="L16" i="1"/>
  <c r="L15" i="1"/>
  <c r="L8" i="1"/>
  <c r="M145" i="3"/>
  <c r="M157" i="3"/>
  <c r="M164" i="3" s="1"/>
  <c r="L65" i="3"/>
  <c r="J42" i="3"/>
  <c r="X39" i="3"/>
  <c r="J15" i="3"/>
  <c r="M81" i="3"/>
  <c r="M75" i="3"/>
  <c r="M141" i="3"/>
  <c r="L75" i="3"/>
  <c r="L141" i="3"/>
  <c r="M137" i="3"/>
  <c r="M174" i="3"/>
  <c r="M12" i="3"/>
  <c r="M183" i="3"/>
  <c r="M182" i="3"/>
  <c r="M188" i="3"/>
  <c r="M167" i="3"/>
  <c r="M180" i="3"/>
  <c r="M168" i="3"/>
  <c r="M152" i="3"/>
  <c r="L137" i="3"/>
  <c r="M138" i="3"/>
  <c r="L180" i="3"/>
  <c r="L152" i="3"/>
  <c r="L168" i="3"/>
  <c r="Y38" i="3" l="1"/>
  <c r="M14" i="1"/>
  <c r="M16" i="1" s="1"/>
  <c r="Y21" i="3"/>
  <c r="K41" i="3"/>
  <c r="L82" i="3"/>
  <c r="N39" i="3"/>
  <c r="L10" i="3"/>
  <c r="N14" i="1" s="1"/>
  <c r="I186" i="3"/>
  <c r="W37" i="3"/>
  <c r="I185" i="3"/>
  <c r="I18" i="3"/>
  <c r="I118" i="3"/>
  <c r="I153" i="3" s="1"/>
  <c r="W7" i="3" s="1"/>
  <c r="W40" i="3"/>
  <c r="I43" i="3"/>
  <c r="I88" i="3"/>
  <c r="I89" i="3" s="1"/>
  <c r="M82" i="3"/>
  <c r="K9" i="1"/>
  <c r="K10" i="1"/>
  <c r="L170" i="3"/>
  <c r="W12" i="3"/>
  <c r="K18" i="1"/>
  <c r="K25" i="1" s="1"/>
  <c r="L10" i="1"/>
  <c r="L9" i="1"/>
  <c r="M10" i="3"/>
  <c r="M40" i="3"/>
  <c r="N40" i="3" s="1"/>
  <c r="Z17" i="3"/>
  <c r="L146" i="3"/>
  <c r="N23" i="1" s="1"/>
  <c r="J16" i="3"/>
  <c r="L18" i="1"/>
  <c r="L25" i="1" s="1"/>
  <c r="X12" i="3"/>
  <c r="AA17" i="3"/>
  <c r="M146" i="3"/>
  <c r="O23" i="1" s="1"/>
  <c r="AA16" i="3"/>
  <c r="M38" i="3"/>
  <c r="N38" i="3" s="1"/>
  <c r="M170" i="3"/>
  <c r="K42" i="3"/>
  <c r="Y39" i="3"/>
  <c r="K15" i="3"/>
  <c r="K16" i="3" s="1"/>
  <c r="M15" i="1" l="1"/>
  <c r="M8" i="1"/>
  <c r="M9" i="1" s="1"/>
  <c r="I190" i="3"/>
  <c r="I205" i="3" s="1"/>
  <c r="I47" i="3" s="1"/>
  <c r="L14" i="3"/>
  <c r="Z39" i="3" s="1"/>
  <c r="Z21" i="3"/>
  <c r="Z38" i="3"/>
  <c r="L41" i="3"/>
  <c r="I90" i="3"/>
  <c r="W11" i="3"/>
  <c r="K32" i="1"/>
  <c r="K26" i="1"/>
  <c r="K33" i="1"/>
  <c r="K34" i="1"/>
  <c r="K30" i="1"/>
  <c r="K27" i="1"/>
  <c r="K31" i="1"/>
  <c r="W27" i="3"/>
  <c r="W23" i="3" s="1"/>
  <c r="W26" i="3"/>
  <c r="W33" i="3"/>
  <c r="L15" i="3"/>
  <c r="L42" i="3"/>
  <c r="L34" i="1"/>
  <c r="L31" i="1"/>
  <c r="L27" i="1"/>
  <c r="L30" i="1"/>
  <c r="L32" i="1"/>
  <c r="L33" i="1"/>
  <c r="L26" i="1"/>
  <c r="O14" i="1"/>
  <c r="AA21" i="3"/>
  <c r="M14" i="3"/>
  <c r="AA38" i="3"/>
  <c r="M41" i="3"/>
  <c r="K186" i="3"/>
  <c r="K43" i="3"/>
  <c r="Y40" i="3"/>
  <c r="K118" i="3"/>
  <c r="K153" i="3" s="1"/>
  <c r="Y7" i="3" s="1"/>
  <c r="K18" i="3"/>
  <c r="K185" i="3"/>
  <c r="Y37" i="3"/>
  <c r="M18" i="1"/>
  <c r="Y12" i="3"/>
  <c r="J18" i="3"/>
  <c r="J186" i="3"/>
  <c r="X40" i="3"/>
  <c r="X37" i="3"/>
  <c r="J118" i="3"/>
  <c r="J153" i="3" s="1"/>
  <c r="X7" i="3" s="1"/>
  <c r="J43" i="3"/>
  <c r="J185" i="3"/>
  <c r="J88" i="3"/>
  <c r="N15" i="1"/>
  <c r="N16" i="1"/>
  <c r="N8" i="1"/>
  <c r="M25" i="1" l="1"/>
  <c r="M10" i="1"/>
  <c r="N41" i="3"/>
  <c r="I53" i="3"/>
  <c r="W6" i="3"/>
  <c r="X27" i="3"/>
  <c r="X23" i="3" s="1"/>
  <c r="X26" i="3"/>
  <c r="AA39" i="3"/>
  <c r="M15" i="3"/>
  <c r="M42" i="3"/>
  <c r="N42" i="3" s="1"/>
  <c r="Y27" i="3"/>
  <c r="Y23" i="3" s="1"/>
  <c r="Y26" i="3"/>
  <c r="K88" i="3"/>
  <c r="J89" i="3"/>
  <c r="X33" i="3" s="1"/>
  <c r="J190" i="3"/>
  <c r="J205" i="3" s="1"/>
  <c r="J47" i="3" s="1"/>
  <c r="X22" i="3" s="1"/>
  <c r="O8" i="1"/>
  <c r="O15" i="1"/>
  <c r="O16" i="1"/>
  <c r="L16" i="3"/>
  <c r="N18" i="1"/>
  <c r="N25" i="1" s="1"/>
  <c r="Z12" i="3"/>
  <c r="M32" i="1"/>
  <c r="M34" i="1"/>
  <c r="M31" i="1"/>
  <c r="M26" i="1"/>
  <c r="M33" i="1"/>
  <c r="M30" i="1"/>
  <c r="M27" i="1"/>
  <c r="N10" i="1"/>
  <c r="N9" i="1"/>
  <c r="K190" i="3"/>
  <c r="K205" i="3" s="1"/>
  <c r="W4" i="3" l="1"/>
  <c r="W5" i="3"/>
  <c r="I66" i="3"/>
  <c r="E65" i="1"/>
  <c r="C69" i="1"/>
  <c r="C65" i="1"/>
  <c r="F68" i="1"/>
  <c r="G66" i="1"/>
  <c r="E69" i="1"/>
  <c r="D65" i="1"/>
  <c r="C68" i="1"/>
  <c r="E68" i="1"/>
  <c r="C67" i="1"/>
  <c r="G65" i="1"/>
  <c r="F67" i="1"/>
  <c r="F65" i="1"/>
  <c r="D67" i="1"/>
  <c r="D68" i="1"/>
  <c r="C66" i="1"/>
  <c r="F69" i="1"/>
  <c r="D66" i="1"/>
  <c r="D69" i="1"/>
  <c r="E67" i="1"/>
  <c r="G69" i="1"/>
  <c r="G67" i="1"/>
  <c r="F66" i="1"/>
  <c r="G68" i="1"/>
  <c r="E66" i="1"/>
  <c r="O9" i="1"/>
  <c r="O10" i="1"/>
  <c r="M16" i="3"/>
  <c r="O18" i="1"/>
  <c r="O25" i="1" s="1"/>
  <c r="AA12" i="3"/>
  <c r="J53" i="3"/>
  <c r="K47" i="3"/>
  <c r="Y22" i="3" s="1"/>
  <c r="X6" i="3"/>
  <c r="N33" i="1"/>
  <c r="N27" i="1"/>
  <c r="N31" i="1"/>
  <c r="N26" i="1"/>
  <c r="N32" i="1"/>
  <c r="N30" i="1"/>
  <c r="N34" i="1"/>
  <c r="J90" i="3"/>
  <c r="X11" i="3"/>
  <c r="L186" i="3"/>
  <c r="Z37" i="3"/>
  <c r="L118" i="3"/>
  <c r="L153" i="3" s="1"/>
  <c r="Z7" i="3" s="1"/>
  <c r="L185" i="3"/>
  <c r="Z40" i="3"/>
  <c r="L18" i="3"/>
  <c r="L43" i="3"/>
  <c r="K89" i="3"/>
  <c r="L88" i="3"/>
  <c r="W36" i="3" l="1"/>
  <c r="W34" i="3"/>
  <c r="W35" i="3"/>
  <c r="W15" i="3"/>
  <c r="W10" i="3"/>
  <c r="L190" i="3"/>
  <c r="L205" i="3" s="1"/>
  <c r="L47" i="3" s="1"/>
  <c r="C46" i="1"/>
  <c r="E44" i="1"/>
  <c r="F47" i="1"/>
  <c r="E46" i="1"/>
  <c r="C43" i="1"/>
  <c r="O30" i="1"/>
  <c r="H30" i="1" s="1"/>
  <c r="L65" i="1" s="1"/>
  <c r="D74" i="1" s="1"/>
  <c r="L74" i="1" s="1"/>
  <c r="F43" i="1"/>
  <c r="G44" i="1"/>
  <c r="G47" i="1"/>
  <c r="F45" i="1"/>
  <c r="C44" i="1"/>
  <c r="D47" i="1"/>
  <c r="E43" i="1"/>
  <c r="O26" i="1"/>
  <c r="F46" i="1"/>
  <c r="C45" i="1"/>
  <c r="O31" i="1"/>
  <c r="H31" i="1" s="1"/>
  <c r="O34" i="1"/>
  <c r="H34" i="1" s="1"/>
  <c r="E47" i="1"/>
  <c r="E45" i="1"/>
  <c r="G45" i="1"/>
  <c r="D46" i="1"/>
  <c r="G46" i="1"/>
  <c r="O32" i="1"/>
  <c r="H32" i="1" s="1"/>
  <c r="O33" i="1"/>
  <c r="H33" i="1" s="1"/>
  <c r="G43" i="1"/>
  <c r="D44" i="1"/>
  <c r="C47" i="1"/>
  <c r="D45" i="1"/>
  <c r="D43" i="1"/>
  <c r="F44" i="1"/>
  <c r="O27" i="1"/>
  <c r="X5" i="3"/>
  <c r="J66" i="3"/>
  <c r="X4" i="3"/>
  <c r="M185" i="3"/>
  <c r="AA40" i="3"/>
  <c r="AA37" i="3"/>
  <c r="M186" i="3"/>
  <c r="M18" i="3"/>
  <c r="M118" i="3"/>
  <c r="M153" i="3" s="1"/>
  <c r="AA7" i="3" s="1"/>
  <c r="M43" i="3"/>
  <c r="N43" i="3" s="1"/>
  <c r="L89" i="3"/>
  <c r="Z33" i="3" s="1"/>
  <c r="M88" i="3"/>
  <c r="M89" i="3" s="1"/>
  <c r="Y11" i="3"/>
  <c r="K90" i="3"/>
  <c r="Y33" i="3"/>
  <c r="Z27" i="3"/>
  <c r="Z26" i="3"/>
  <c r="K53" i="3"/>
  <c r="Y6" i="3"/>
  <c r="L53" i="3" l="1"/>
  <c r="Z22" i="3"/>
  <c r="Z6" i="3"/>
  <c r="M69" i="1"/>
  <c r="E78" i="1" s="1"/>
  <c r="M78" i="1" s="1"/>
  <c r="O69" i="1"/>
  <c r="G78" i="1" s="1"/>
  <c r="O78" i="1" s="1"/>
  <c r="N69" i="1"/>
  <c r="F78" i="1" s="1"/>
  <c r="N78" i="1" s="1"/>
  <c r="K69" i="1"/>
  <c r="C78" i="1" s="1"/>
  <c r="K78" i="1" s="1"/>
  <c r="L69" i="1"/>
  <c r="D78" i="1" s="1"/>
  <c r="L78" i="1" s="1"/>
  <c r="O66" i="1"/>
  <c r="G75" i="1" s="1"/>
  <c r="O75" i="1" s="1"/>
  <c r="N66" i="1"/>
  <c r="F75" i="1" s="1"/>
  <c r="N75" i="1" s="1"/>
  <c r="M66" i="1"/>
  <c r="E75" i="1" s="1"/>
  <c r="M75" i="1" s="1"/>
  <c r="L66" i="1"/>
  <c r="D75" i="1" s="1"/>
  <c r="L75" i="1" s="1"/>
  <c r="M68" i="1"/>
  <c r="E77" i="1" s="1"/>
  <c r="M77" i="1" s="1"/>
  <c r="L68" i="1"/>
  <c r="D77" i="1" s="1"/>
  <c r="L77" i="1" s="1"/>
  <c r="O68" i="1"/>
  <c r="G77" i="1" s="1"/>
  <c r="O77" i="1" s="1"/>
  <c r="N44" i="1"/>
  <c r="F53" i="1" s="1"/>
  <c r="N53" i="1" s="1"/>
  <c r="O44" i="1"/>
  <c r="G53" i="1" s="1"/>
  <c r="O53" i="1" s="1"/>
  <c r="M190" i="3"/>
  <c r="M205" i="3" s="1"/>
  <c r="M47" i="3" s="1"/>
  <c r="O67" i="1"/>
  <c r="G76" i="1" s="1"/>
  <c r="O76" i="1" s="1"/>
  <c r="K67" i="1"/>
  <c r="C76" i="1" s="1"/>
  <c r="K76" i="1" s="1"/>
  <c r="N67" i="1"/>
  <c r="F76" i="1" s="1"/>
  <c r="N76" i="1" s="1"/>
  <c r="M67" i="1"/>
  <c r="E76" i="1" s="1"/>
  <c r="M76" i="1" s="1"/>
  <c r="L67" i="1"/>
  <c r="D76" i="1" s="1"/>
  <c r="L76" i="1" s="1"/>
  <c r="Z23" i="3"/>
  <c r="K45" i="1"/>
  <c r="C54" i="1" s="1"/>
  <c r="K54" i="1" s="1"/>
  <c r="O46" i="1"/>
  <c r="G55" i="1" s="1"/>
  <c r="O55" i="1" s="1"/>
  <c r="N46" i="1"/>
  <c r="F55" i="1" s="1"/>
  <c r="N55" i="1" s="1"/>
  <c r="N43" i="1"/>
  <c r="F52" i="1" s="1"/>
  <c r="N52" i="1" s="1"/>
  <c r="L43" i="1"/>
  <c r="D52" i="1" s="1"/>
  <c r="L52" i="1" s="1"/>
  <c r="L46" i="1"/>
  <c r="D55" i="1" s="1"/>
  <c r="L55" i="1" s="1"/>
  <c r="N65" i="1"/>
  <c r="F74" i="1" s="1"/>
  <c r="N74" i="1" s="1"/>
  <c r="O65" i="1"/>
  <c r="G74" i="1" s="1"/>
  <c r="O74" i="1" s="1"/>
  <c r="N68" i="1"/>
  <c r="F77" i="1" s="1"/>
  <c r="N77" i="1" s="1"/>
  <c r="X34" i="3"/>
  <c r="X10" i="3"/>
  <c r="X15" i="3"/>
  <c r="X36" i="3"/>
  <c r="X35" i="3"/>
  <c r="K43" i="1"/>
  <c r="C52" i="1" s="1"/>
  <c r="K52" i="1" s="1"/>
  <c r="M43" i="1"/>
  <c r="E52" i="1" s="1"/>
  <c r="M52" i="1" s="1"/>
  <c r="AA26" i="3"/>
  <c r="AB26" i="3" s="1"/>
  <c r="AA27" i="3"/>
  <c r="AA23" i="3" s="1"/>
  <c r="AA33" i="3"/>
  <c r="K47" i="1"/>
  <c r="C56" i="1" s="1"/>
  <c r="K56" i="1" s="1"/>
  <c r="M45" i="1"/>
  <c r="E54" i="1" s="1"/>
  <c r="M54" i="1" s="1"/>
  <c r="L47" i="1"/>
  <c r="D56" i="1" s="1"/>
  <c r="L56" i="1" s="1"/>
  <c r="M46" i="1"/>
  <c r="E55" i="1" s="1"/>
  <c r="M55" i="1" s="1"/>
  <c r="L44" i="1"/>
  <c r="D53" i="1" s="1"/>
  <c r="L53" i="1" s="1"/>
  <c r="M47" i="1"/>
  <c r="E56" i="1" s="1"/>
  <c r="M56" i="1" s="1"/>
  <c r="K44" i="1"/>
  <c r="C53" i="1" s="1"/>
  <c r="K53" i="1" s="1"/>
  <c r="N47" i="1"/>
  <c r="F56" i="1" s="1"/>
  <c r="N56" i="1" s="1"/>
  <c r="K65" i="1"/>
  <c r="C74" i="1" s="1"/>
  <c r="K74" i="1" s="1"/>
  <c r="M65" i="1"/>
  <c r="E74" i="1" s="1"/>
  <c r="M74" i="1" s="1"/>
  <c r="L45" i="1"/>
  <c r="D54" i="1" s="1"/>
  <c r="L54" i="1" s="1"/>
  <c r="AA11" i="3"/>
  <c r="M90" i="3"/>
  <c r="K68" i="1"/>
  <c r="C77" i="1" s="1"/>
  <c r="K77" i="1" s="1"/>
  <c r="O43" i="1"/>
  <c r="G52" i="1" s="1"/>
  <c r="O52" i="1" s="1"/>
  <c r="N45" i="1"/>
  <c r="F54" i="1" s="1"/>
  <c r="N54" i="1" s="1"/>
  <c r="M44" i="1"/>
  <c r="E53" i="1" s="1"/>
  <c r="M53" i="1" s="1"/>
  <c r="O45" i="1"/>
  <c r="G54" i="1" s="1"/>
  <c r="O54" i="1" s="1"/>
  <c r="K66" i="1"/>
  <c r="C75" i="1" s="1"/>
  <c r="K75" i="1" s="1"/>
  <c r="K66" i="3"/>
  <c r="Y34" i="3" s="1"/>
  <c r="Y4" i="3"/>
  <c r="Y5" i="3"/>
  <c r="Z5" i="3"/>
  <c r="L66" i="3"/>
  <c r="Z4" i="3"/>
  <c r="L90" i="3"/>
  <c r="Z11" i="3"/>
  <c r="O47" i="1"/>
  <c r="G56" i="1" s="1"/>
  <c r="O56" i="1" s="1"/>
  <c r="K46" i="1"/>
  <c r="C55" i="1" s="1"/>
  <c r="K55" i="1" s="1"/>
  <c r="M53" i="3" l="1"/>
  <c r="AA4" i="3" s="1"/>
  <c r="AA22" i="3"/>
  <c r="AA6" i="3"/>
  <c r="AA5" i="3"/>
  <c r="Z34" i="3"/>
  <c r="Z15" i="3"/>
  <c r="Z10" i="3"/>
  <c r="Z36" i="3"/>
  <c r="Y35" i="3"/>
  <c r="Y10" i="3"/>
  <c r="Y36" i="3"/>
  <c r="Y15" i="3"/>
  <c r="Z35" i="3"/>
  <c r="AB27" i="3"/>
  <c r="M66" i="3" l="1"/>
  <c r="AA35" i="3" s="1"/>
  <c r="AA34" i="3"/>
  <c r="AA10" i="3"/>
  <c r="AA15" i="3"/>
  <c r="AA36"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tc={8568886A-E766-7844-A8CF-11EFF6D85465}</author>
    <author>tc={A1950392-E495-BF47-9E9F-A1C8F1417553}</author>
  </authors>
  <commentList>
    <comment ref="F10" authorId="0" shapeId="0" xr:uid="{8568886A-E766-7844-A8CF-11EFF6D85465}">
      <text>
        <t xml:space="preserve">[Threaded comment]
Your version of Excel allows you to read this threaded comment; however, any edits to it will get removed if the file is opened in a newer version of Excel. Learn more: https://go.microsoft.com/fwlink/?linkid=870924
Comment:
    very bad and irregular year, exclude 2016~2017
</t>
      </text>
    </comment>
    <comment ref="B18" authorId="1" shapeId="0" xr:uid="{A1950392-E495-BF47-9E9F-A1C8F1417553}">
      <text>
        <t xml:space="preserve">[Threaded comment]
Your version of Excel allows you to read this threaded comment; however, any edits to it will get removed if the file is opened in a newer version of Excel. Learn more: https://go.microsoft.com/fwlink/?linkid=870924
Comment:
    use tax provision?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tc={B55D1FD2-124E-7B4C-A8DD-F39C2806407D}</author>
    <author>tc={E93A2F9F-1177-9C4B-BEE0-32941EF37364}</author>
    <author>tc={18A2B793-9A60-0D4D-B7D8-ED326F66A5AD}</author>
    <author>tc={9814490C-E085-034F-979B-B7D5A7C29FD2}</author>
    <author>tc={742676E8-BE6B-E841-8564-EC7E53808807}</author>
    <author>tc={42480A5F-5406-DD4E-9E7B-EA70635B87A2}</author>
    <author>tc={BC0DC706-1BFA-EA42-ADF5-766AF6E86F44}</author>
    <author>tc={48507F03-E342-B647-82F9-304DF4029F86}</author>
    <author>tc={FA6E1852-9977-DE4A-BCCF-5769CD0319DC}</author>
    <author>tc={7D9F76E9-5DE1-7C40-8784-EAB1E71FA2D8}</author>
  </authors>
  <commentList>
    <comment ref="D10" authorId="0" shapeId="0" xr:uid="{B55D1FD2-124E-7B4C-A8DD-F39C2806407D}">
      <text>
        <t>[Threaded comment]
Your version of Excel allows you to read this threaded comment; however, any edits to it will get removed if the file is opened in a newer version of Excel. Learn more: https://go.microsoft.com/fwlink/?linkid=870924
Comment:
    rarely bad year, ignore?</t>
      </text>
    </comment>
    <comment ref="T29" authorId="1" shapeId="0" xr:uid="{E93A2F9F-1177-9C4B-BEE0-32941EF37364}">
      <text>
        <t xml:space="preserve">[Threaded comment]
Your version of Excel allows you to read this threaded comment; however, any edits to it will get removed if the file is opened in a newer version of Excel. Learn more: https://go.microsoft.com/fwlink/?linkid=870924
Comment:
    这一年的shares不统一 19年的表显示177， 21年的表显示887 见sheet1
</t>
      </text>
    </comment>
    <comment ref="I30" authorId="2" shapeId="0" xr:uid="{18A2B793-9A60-0D4D-B7D8-ED326F66A5AD}">
      <text>
        <t xml:space="preserve">[Threaded comment]
Your version of Excel allows you to read this threaded comment; however, any edits to it will get removed if the file is opened in a newer version of Excel. Learn more: https://go.microsoft.com/fwlink/?linkid=870924
Comment:
    negative number - adjusted by using only past 4 years 
</t>
      </text>
    </comment>
    <comment ref="G42" authorId="3" shapeId="0" xr:uid="{9814490C-E085-034F-979B-B7D5A7C29FD2}">
      <text>
        <t xml:space="preserve">[Threaded comment]
Your version of Excel allows you to read this threaded comment; however, any edits to it will get removed if the file is opened in a newer version of Excel. Learn more: https://go.microsoft.com/fwlink/?linkid=870924
Comment:
    遇到有些减小的负数 手动调整吗
</t>
      </text>
    </comment>
    <comment ref="B48" authorId="4" shapeId="0" xr:uid="{742676E8-BE6B-E841-8564-EC7E53808807}">
      <text>
        <t xml:space="preserve">[Threaded comment]
Your version of Excel allows you to read this threaded comment; however, any edits to it will get removed if the file is opened in a newer version of Excel. Learn more: https://go.microsoft.com/fwlink/?linkid=870924
Comment:
    ignore?
</t>
      </text>
    </comment>
    <comment ref="B87" authorId="5" shapeId="0" xr:uid="{42480A5F-5406-DD4E-9E7B-EA70635B87A2}">
      <text>
        <t>[Threaded comment]
Your version of Excel allows you to read this threaded comment; however, any edits to it will get removed if the file is opened in a newer version of Excel. Learn more: https://go.microsoft.com/fwlink/?linkid=870924
Comment:
    diff with comprehensive income on income statement?</t>
      </text>
    </comment>
    <comment ref="E91" authorId="6" shapeId="0" xr:uid="{BC0DC706-1BFA-EA42-ADF5-766AF6E86F44}">
      <text>
        <t>[Threaded comment]
Your version of Excel allows you to read this threaded comment; however, any edits to it will get removed if the file is opened in a newer version of Excel. Learn more: https://go.microsoft.com/fwlink/?linkid=870924
Comment:
    historical dont balance</t>
      </text>
    </comment>
    <comment ref="B95" authorId="7" shapeId="0" xr:uid="{48507F03-E342-B647-82F9-304DF4029F86}">
      <text>
        <t xml:space="preserve">[Threaded comment]
Your version of Excel allows you to read this threaded comment; however, any edits to it will get removed if the file is opened in a newer version of Excel. Learn more: https://go.microsoft.com/fwlink/?linkid=870924
Comment:
    怎么理解turnover ratio and days
</t>
      </text>
    </comment>
    <comment ref="B117" authorId="8" shapeId="0" xr:uid="{FA6E1852-9977-DE4A-BCCF-5769CD0319DC}">
      <text>
        <t>[Threaded comment]
Your version of Excel allows you to read this threaded comment; however, any edits to it will get removed if the file is opened in a newer version of Excel. Learn more: https://go.microsoft.com/fwlink/?linkid=870924
Comment:
    是不是笔记之外的其他项目直接不考虑了?  然后重新计算最后的汇总
Reply:
    还有很多其他项目 数额会不会相差太大了？</t>
      </text>
    </comment>
    <comment ref="B133" authorId="9" shapeId="0" xr:uid="{7D9F76E9-5DE1-7C40-8784-EAB1E71FA2D8}">
      <text>
        <t>[Threaded comment]
Your version of Excel allows you to read this threaded comment; however, any edits to it will get removed if the file is opened in a newer version of Excel. Learn more: https://go.microsoft.com/fwlink/?linkid=870924
Comment:
    grey are original, but  do not match with number calculating from balance sheet
also, lease vehicles is not current asset? see picture, listed after total current asset</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<sst xmlns="http://schemas.openxmlformats.org/spreadsheetml/2006/main" count="363" uniqueCount="277">
  <si>
    <t>Unit in thousand</t>
  </si>
  <si>
    <t>Revenue Recognition</t>
  </si>
  <si>
    <t>Production Capacity in 2022~2023</t>
  </si>
  <si>
    <t>Model S</t>
  </si>
  <si>
    <t>Fremont</t>
  </si>
  <si>
    <t>Model X</t>
  </si>
  <si>
    <t>Gigafactory Shanghai</t>
  </si>
  <si>
    <t>Model 3</t>
  </si>
  <si>
    <t>Gigafactory Berlin</t>
  </si>
  <si>
    <t>Model Y</t>
  </si>
  <si>
    <t>Gigafactory Texas</t>
  </si>
  <si>
    <t>Total Unit</t>
  </si>
  <si>
    <t>Total Production</t>
  </si>
  <si>
    <t>Average Selling Price Model S</t>
  </si>
  <si>
    <t>Average Selling Price Model X</t>
  </si>
  <si>
    <t>Average Selling Price Model 3</t>
  </si>
  <si>
    <t>Average Selling Price Model Y</t>
  </si>
  <si>
    <t>Revenue Model S</t>
  </si>
  <si>
    <t>Revenue Model X</t>
  </si>
  <si>
    <t>Revenue Model 3</t>
  </si>
  <si>
    <t>Revenue Model Y</t>
  </si>
  <si>
    <t>Total Automotive sales</t>
  </si>
  <si>
    <t>Automotive leasing</t>
  </si>
  <si>
    <t>Automotive regulatory credits</t>
  </si>
  <si>
    <t>Total automotive revenues</t>
  </si>
  <si>
    <t>Energy generation and storage</t>
  </si>
  <si>
    <t>Services and other</t>
  </si>
  <si>
    <t>Total Revenues(M)</t>
  </si>
  <si>
    <t>Growth</t>
  </si>
  <si>
    <t>Unit change</t>
  </si>
  <si>
    <t>avg unit</t>
  </si>
  <si>
    <t>avg price</t>
  </si>
  <si>
    <t>Total Revenues</t>
  </si>
  <si>
    <t>Income Statement</t>
  </si>
  <si>
    <t>COGS</t>
  </si>
  <si>
    <t>Gross Profit</t>
  </si>
  <si>
    <t>Research and development</t>
  </si>
  <si>
    <t>Selling, general and administrative</t>
  </si>
  <si>
    <t>Restructuring and other</t>
  </si>
  <si>
    <t>Total operating expenses</t>
  </si>
  <si>
    <t>EBIT</t>
  </si>
  <si>
    <t>EBITDA</t>
  </si>
  <si>
    <t>Interest income</t>
  </si>
  <si>
    <t>Interest expense</t>
  </si>
  <si>
    <t>Other income (expense), net</t>
  </si>
  <si>
    <t>Pre-tax Income</t>
  </si>
  <si>
    <t>Provision for income taxes</t>
  </si>
  <si>
    <t>Net Income</t>
  </si>
  <si>
    <t>Basic EPS</t>
  </si>
  <si>
    <t>Diluted EPS</t>
  </si>
  <si>
    <t>Shares outstanding</t>
  </si>
  <si>
    <t xml:space="preserve">Effective Tax Rate </t>
  </si>
  <si>
    <t xml:space="preserve">Effective Interest Rate </t>
  </si>
  <si>
    <t>% Margins</t>
  </si>
  <si>
    <t>Selling General &amp; Administrative Expense</t>
  </si>
  <si>
    <t>Capital Expenditures</t>
  </si>
  <si>
    <t>Average</t>
  </si>
  <si>
    <t xml:space="preserve">YoY Growth </t>
  </si>
  <si>
    <t>operating cost</t>
  </si>
  <si>
    <t>Pre-tax Income EBT</t>
  </si>
  <si>
    <t>Net income (loss)</t>
  </si>
  <si>
    <t>Balance Sheet</t>
  </si>
  <si>
    <t>Current assets</t>
  </si>
  <si>
    <t>Cash and cash equivalents</t>
  </si>
  <si>
    <t>Restricted cash</t>
  </si>
  <si>
    <t>Short-term marketable securities</t>
  </si>
  <si>
    <t>Accounts receivable, net</t>
  </si>
  <si>
    <t>Inventory</t>
  </si>
  <si>
    <t>Prepaid expenses and other current assets</t>
  </si>
  <si>
    <t>Total current assets</t>
  </si>
  <si>
    <t>NonCurrent Assets</t>
  </si>
  <si>
    <t>Operating lease vehicles, net</t>
  </si>
  <si>
    <t>Solar energy systems, net</t>
  </si>
  <si>
    <t>Property, plant and equipment, net</t>
  </si>
  <si>
    <t>Operating lease right-of-use assets</t>
  </si>
  <si>
    <t>Digital assets, net</t>
  </si>
  <si>
    <t>Intangible assets, net</t>
  </si>
  <si>
    <t>Goodwill</t>
  </si>
  <si>
    <t>MyPower customer notes receivable, net of current portion</t>
  </si>
  <si>
    <t>Restricted cash, net of current portion</t>
  </si>
  <si>
    <t>Other non-current assets</t>
  </si>
  <si>
    <t>Total non-current assets</t>
  </si>
  <si>
    <t>Total assets</t>
  </si>
  <si>
    <t>Current liabilities</t>
  </si>
  <si>
    <t>Accounts payable</t>
  </si>
  <si>
    <t>Accrued liabilities and other</t>
  </si>
  <si>
    <t>Deferred revenue</t>
  </si>
  <si>
    <t>Resale value guarantees</t>
  </si>
  <si>
    <t>Customer deposits</t>
  </si>
  <si>
    <t>Current portion of debt and finance leases</t>
  </si>
  <si>
    <t>Total current liabilities</t>
  </si>
  <si>
    <t>NonCurrent Liabilities</t>
  </si>
  <si>
    <t>Debt and finance leases, net of current portion</t>
  </si>
  <si>
    <t>Deferred revenue, net of current portion</t>
  </si>
  <si>
    <t>Resale value guarantees, net of current portion</t>
  </si>
  <si>
    <t>Other long-term liabilities</t>
  </si>
  <si>
    <t>Total liabilities</t>
  </si>
  <si>
    <t>Equity</t>
  </si>
  <si>
    <t>Common stock</t>
  </si>
  <si>
    <t>Additional paid-in capital</t>
  </si>
  <si>
    <t>Accumulated other comprehensive income</t>
  </si>
  <si>
    <t>Retained earnings (accumulated deficit)</t>
  </si>
  <si>
    <t>Total stockholders' equity</t>
  </si>
  <si>
    <t>Total liabilities and equity</t>
  </si>
  <si>
    <t>Accounts receivable, net (turnover days)</t>
  </si>
  <si>
    <t>Inventory (turnover days)</t>
  </si>
  <si>
    <t>Prepaid expenses and other current assets (% margin)</t>
  </si>
  <si>
    <t>Accounts payable (turnover days)</t>
  </si>
  <si>
    <t>Accrued liabilities and other (% margin)</t>
  </si>
  <si>
    <t>Deferred revenue (% margin)</t>
  </si>
  <si>
    <t>Resale value guarantees  (% margin)</t>
  </si>
  <si>
    <t>Customer deposits (% margin)</t>
  </si>
  <si>
    <t>∆ in working capital:</t>
  </si>
  <si>
    <t>Property, plant and equipment, net (turnover)</t>
  </si>
  <si>
    <t>Operating lease vehicles, net (margin %)</t>
  </si>
  <si>
    <t>Assets</t>
  </si>
  <si>
    <t>Liablities</t>
  </si>
  <si>
    <t>Total non-current liabilities</t>
  </si>
  <si>
    <t>Cashflow Statement</t>
  </si>
  <si>
    <t>Cash Flows from Operating Activities</t>
  </si>
  <si>
    <t>Adjustments to reconcile net income (loss) to net cash provided by operating activities:</t>
  </si>
  <si>
    <t>Depreciation, amortization and impairment</t>
  </si>
  <si>
    <t>Stock-based compensation</t>
  </si>
  <si>
    <t>Amortization of debt discounts and issuance costs</t>
  </si>
  <si>
    <t>Inventory and purchase commitments write-downs</t>
  </si>
  <si>
    <t>Loss on disposals of fixed assets</t>
  </si>
  <si>
    <t>Foreign currency transaction net unrealized (gain) loss</t>
  </si>
  <si>
    <t>Loss (gain) related to SolarCity acquisition</t>
  </si>
  <si>
    <t>Non-cash interest and other operating activities</t>
  </si>
  <si>
    <t>Digital assets gain, net</t>
  </si>
  <si>
    <t>Operating cash flow related to repayment of discounted convertible senior notes</t>
  </si>
  <si>
    <t>Changes in operating assets and liabilities:</t>
  </si>
  <si>
    <t>Accounts receivable</t>
  </si>
  <si>
    <t>Operating lease vehicles</t>
  </si>
  <si>
    <t>Accounts payable and accrued liabilities</t>
  </si>
  <si>
    <t>Resale value guarantee</t>
  </si>
  <si>
    <t>Net cash provided by operating activities</t>
  </si>
  <si>
    <t>Cash Flows from Investing Activities</t>
  </si>
  <si>
    <t>Purchases of property and equipment excluding finance leases, net of sales</t>
  </si>
  <si>
    <t>Purchases of solar energy systems, net of sales</t>
  </si>
  <si>
    <t>Purchases of digital assets</t>
  </si>
  <si>
    <t>Proceeds from sales of digital assets</t>
  </si>
  <si>
    <t>Purchases of marketable securities</t>
  </si>
  <si>
    <t>Receipt of government grants</t>
  </si>
  <si>
    <t>Purchase of intangible assets</t>
  </si>
  <si>
    <t>Business combinations, net of cash acquired</t>
  </si>
  <si>
    <t>Net cash used in investing activities</t>
  </si>
  <si>
    <t>Cash Flows from Financing Activities</t>
  </si>
  <si>
    <t>Proceeds from issuances of common stock in public offerings, net of issuance costs</t>
  </si>
  <si>
    <t>Proceeds from issuances of convertible and other debt</t>
  </si>
  <si>
    <t>Repayments of convertible and other debt</t>
  </si>
  <si>
    <t>Repayments of borrowings issued to related parties</t>
  </si>
  <si>
    <t>Collateralized lease repayments</t>
  </si>
  <si>
    <t>Proceeds from exercises of stock options and other stock issuances</t>
  </si>
  <si>
    <t>Principal payments on finance leases</t>
  </si>
  <si>
    <t>Debt issuance costs</t>
  </si>
  <si>
    <t>Purchase of convertible note hedges</t>
  </si>
  <si>
    <t>Proceeds from issuance of warrants</t>
  </si>
  <si>
    <t>Proceeds from investments by noncontrolling interests in subsidiaries</t>
  </si>
  <si>
    <t>Payments for settlements of warrants</t>
  </si>
  <si>
    <t>Distributions paid to noncontrolling interests in subsidiaries</t>
  </si>
  <si>
    <t>Payments for buy-outs of noncontrolling interests in subsidiaries</t>
  </si>
  <si>
    <t>Net cash (used in) provided by financing activities</t>
  </si>
  <si>
    <t>Effect of exchange rate changes on cash and cash equivalents and restricted cash</t>
  </si>
  <si>
    <t>Net (decrease) increase in cash and cash equivalents and restricted cash</t>
  </si>
  <si>
    <t>Cash and cash equivalents and restricted cash, beginning of period</t>
  </si>
  <si>
    <t>Cash and cash equivalents and restricted cash, end of period</t>
  </si>
  <si>
    <t>Supplemental Non-Cash Investing and Financing Activities</t>
  </si>
  <si>
    <t>Equity issued in connection with business combination</t>
  </si>
  <si>
    <t>Acquisitions of property and equipment included in liabilities</t>
  </si>
  <si>
    <t>Estimated fair value of facilities under build-to-suit leases</t>
  </si>
  <si>
    <t>Supplemental Disclosures</t>
  </si>
  <si>
    <t>Cash paid during the period for interest, net of amounts capitalized</t>
  </si>
  <si>
    <t>Cash paid during the period for taxes, net of refunds</t>
  </si>
  <si>
    <t xml:space="preserve">USD in millions </t>
  </si>
  <si>
    <t>Discounted Cash Flow Analysis</t>
  </si>
  <si>
    <t>WACC</t>
  </si>
  <si>
    <t>Revenue</t>
  </si>
  <si>
    <t>RF rate</t>
  </si>
  <si>
    <t>YoY Growth</t>
  </si>
  <si>
    <t>Beta</t>
  </si>
  <si>
    <t>Required Return</t>
  </si>
  <si>
    <t>Cost of Debt</t>
  </si>
  <si>
    <t>% Margin</t>
  </si>
  <si>
    <t>Effctive Tax Rate</t>
  </si>
  <si>
    <t>After-tax Cost of Debt</t>
  </si>
  <si>
    <t>Cost of Equity</t>
  </si>
  <si>
    <t xml:space="preserve">Less: Depreciation &amp; Amortization </t>
  </si>
  <si>
    <t>Equity/Capital</t>
  </si>
  <si>
    <t>Debt/Capital</t>
  </si>
  <si>
    <t xml:space="preserve"> EBIT</t>
  </si>
  <si>
    <t>Less: Income Tax Expense</t>
  </si>
  <si>
    <t>Effective Tax Rate</t>
  </si>
  <si>
    <t xml:space="preserve">Less: Capital Expenditures </t>
  </si>
  <si>
    <t>Unlevered Free Cash Flow</t>
  </si>
  <si>
    <t xml:space="preserve">NPV 5yr </t>
  </si>
  <si>
    <t xml:space="preserve">Period </t>
  </si>
  <si>
    <t>NVP of Terminal Value</t>
  </si>
  <si>
    <t>Enterprise Value</t>
  </si>
  <si>
    <t>Perpetuity Growth Rate</t>
  </si>
  <si>
    <t>Equity Value</t>
  </si>
  <si>
    <t>Implied Share Price</t>
  </si>
  <si>
    <t>Net Debt</t>
  </si>
  <si>
    <t>EBITDA Exit Multiple</t>
  </si>
  <si>
    <t>Gordon Growth Model</t>
  </si>
  <si>
    <t>Cash</t>
  </si>
  <si>
    <t>Diluted Shares outstanding</t>
  </si>
  <si>
    <t>Net income to common stockholders</t>
  </si>
  <si>
    <t>NCI</t>
  </si>
  <si>
    <t>Ratios</t>
  </si>
  <si>
    <t xml:space="preserve">Liquidity ratios </t>
  </si>
  <si>
    <t xml:space="preserve">Current ratio </t>
  </si>
  <si>
    <t xml:space="preserve">Acid-test ratio </t>
  </si>
  <si>
    <t xml:space="preserve">Cash ratio </t>
  </si>
  <si>
    <t xml:space="preserve">Operating cash flow ratio </t>
  </si>
  <si>
    <t xml:space="preserve">Leverage Financial Ratios </t>
  </si>
  <si>
    <t xml:space="preserve">Debt ratio </t>
  </si>
  <si>
    <t xml:space="preserve">Debt to equity ratio </t>
  </si>
  <si>
    <t xml:space="preserve">interest coverage ratio </t>
  </si>
  <si>
    <t>Asset turnover ratio</t>
  </si>
  <si>
    <t xml:space="preserve">Inventory turnover ratio </t>
  </si>
  <si>
    <t xml:space="preserve">Gross margin ratio </t>
  </si>
  <si>
    <t xml:space="preserve">Operating margin ratio </t>
  </si>
  <si>
    <t xml:space="preserve">Price-earnings ratio </t>
  </si>
  <si>
    <t>Efficiency Ratios</t>
  </si>
  <si>
    <t>10k 2019</t>
  </si>
  <si>
    <t>10k 2021</t>
  </si>
  <si>
    <t>NPV of Terminal Value</t>
  </si>
  <si>
    <t>avg</t>
  </si>
  <si>
    <t>Less: Increase in Working Capital</t>
  </si>
  <si>
    <t>Operating income</t>
  </si>
  <si>
    <t xml:space="preserve">Non-controlling interests </t>
  </si>
  <si>
    <t xml:space="preserve">Net Increase (Decrease) in Cash </t>
  </si>
  <si>
    <t>Increase in Short Term Debt (+)</t>
  </si>
  <si>
    <t>Increase in Long Term Debt (+)</t>
  </si>
  <si>
    <t>Increase in Common Shares (+)</t>
  </si>
  <si>
    <t>Payments:</t>
  </si>
  <si>
    <t>Proceeds:</t>
  </si>
  <si>
    <t>Expense:</t>
  </si>
  <si>
    <t>Profitability</t>
  </si>
  <si>
    <t xml:space="preserve">Price </t>
  </si>
  <si>
    <t>Price-sales ratio</t>
  </si>
  <si>
    <t xml:space="preserve">Dupont </t>
  </si>
  <si>
    <t xml:space="preserve">Leverage </t>
  </si>
  <si>
    <t xml:space="preserve">Acct. Receivables turnover ratio </t>
  </si>
  <si>
    <t>2 step</t>
  </si>
  <si>
    <t>3 step</t>
  </si>
  <si>
    <t>5 step</t>
  </si>
  <si>
    <t xml:space="preserve">Net profit margin </t>
  </si>
  <si>
    <t>Operating margin</t>
  </si>
  <si>
    <t>Tax burden (1-t)</t>
  </si>
  <si>
    <t>Interest burden (1/1+i)</t>
  </si>
  <si>
    <t xml:space="preserve">Return on assets  </t>
  </si>
  <si>
    <t xml:space="preserve">Asset turnover </t>
  </si>
  <si>
    <t xml:space="preserve">Return on equity  </t>
  </si>
  <si>
    <t>Increasing ablity in paying short term debt</t>
  </si>
  <si>
    <t xml:space="preserve">Heathier structure with decresing liability </t>
  </si>
  <si>
    <t>Expanding statge with increased sales</t>
  </si>
  <si>
    <t xml:space="preserve">Diluted Shares </t>
  </si>
  <si>
    <t xml:space="preserve">Increased margins </t>
  </si>
  <si>
    <t>avg A</t>
  </si>
  <si>
    <t xml:space="preserve">PE is below average </t>
  </si>
  <si>
    <t xml:space="preserve">Decreased leverage </t>
  </si>
  <si>
    <t xml:space="preserve">Increased return on assets </t>
  </si>
  <si>
    <t xml:space="preserve">Increased efficiency </t>
  </si>
  <si>
    <t>Increased margin</t>
  </si>
  <si>
    <t xml:space="preserve">Increased tax expense </t>
  </si>
  <si>
    <t xml:space="preserve">Increased interest expense </t>
  </si>
  <si>
    <t xml:space="preserve">Increased return on equity </t>
  </si>
  <si>
    <t xml:space="preserve">EPS huge increses in 2021 </t>
  </si>
  <si>
    <t>PS above average, need sales growth in '22</t>
  </si>
  <si>
    <t>Shares (M)</t>
  </si>
  <si>
    <t>EV/EBITDA</t>
  </si>
  <si>
    <t xml:space="preserve">Parameter </t>
  </si>
  <si>
    <t xml:space="preserve">Historical EBITDA multiple </t>
  </si>
  <si>
    <t xml:space="preserve">Excluding irrgular years </t>
  </si>
  <si>
    <t>EBITDA Exit Multiple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</si>
</sst>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2" formatCode="_(&quot;$&quot;* #,##0_);_(&quot;$&quot;* \(#,##0\);_(&quot;$&quot;* &quot;-&quot;_);_(@_)"/>
    <numFmt numFmtId="43" formatCode="_(* #,##0.00_);_(* \(#,##0.00\);_(* &quot;-&quot;??_);_(@_)"/>
    <numFmt numFmtId="164" formatCode="General\A"/>
    <numFmt numFmtId="165" formatCode="General\P"/>
    <numFmt numFmtId="166" formatCode="#,##0.0"/>
    <numFmt numFmtId="167" formatCode="0.0%"/>
    <numFmt numFmtId="168" formatCode="_(* #,##0_);_(* \(#,##0\);_(* &quot;-&quot;??_);_(@_)"/>
    <numFmt numFmtId="169" formatCode="0\A"/>
    <numFmt numFmtId="170" formatCode="0\P"/>
    <numFmt numFmtId="171" formatCode="0\x"/>
    <numFmt numFmtId="172" formatCode="_(* #,##0.0_);_(* \(#,##0.0\);_(* &quot;-&quot;??_);_(@_)"/>
    <numFmt numFmtId="173" formatCode="0.0"/>
  </numFmts>
  <fonts count="29" x14ac:knownFonts="1">
    <font>
      <sz val="12"/>
      <color theme="1"/>
      <name val="Calibri"/>
      <family val="2"/>
      <scheme val="minor"/>
    </font>
    <font>
      <sz val="12"/>
      <color theme="1"/>
      <name val="Calibri"/>
      <family val="2"/>
      <scheme val="minor"/>
    </font>
    <font>
      <sz val="12"/>
      <color rgb="FF9C5700"/>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sz val="12"/>
      <color theme="0"/>
      <name val="Calibri"/>
      <family val="2"/>
      <scheme val="minor"/>
    </font>
    <font>
      <sz val="12"/>
      <name val="Calibri"/>
      <family val="2"/>
      <scheme val="minor"/>
    </font>
    <font>
      <i/>
      <sz val="12"/>
      <color theme="1"/>
      <name val="Calibri"/>
      <family val="2"/>
      <scheme val="minor"/>
    </font>
    <font>
      <b/>
      <i/>
      <sz val="12"/>
      <color theme="1"/>
      <name val="Calibri"/>
      <family val="2"/>
      <scheme val="minor"/>
    </font>
    <font>
      <sz val="12"/>
      <color theme="0" tint="-0.249977111117893"/>
      <name val="Calibri"/>
      <family val="2"/>
      <scheme val="minor"/>
    </font>
    <font>
      <b/>
      <sz val="12"/>
      <color theme="0" tint="-0.499984740745262"/>
      <name val="Calibri"/>
      <family val="2"/>
      <scheme val="minor"/>
    </font>
    <font>
      <sz val="12"/>
      <color rgb="FF00B0F0"/>
      <name val="Calibri"/>
      <family val="2"/>
      <scheme val="minor"/>
    </font>
    <font>
      <i/>
      <sz val="12"/>
      <color theme="0" tint="-0.499984740745262"/>
      <name val="Calibri"/>
      <family val="2"/>
      <scheme val="minor"/>
    </font>
    <font>
      <i/>
      <sz val="12"/>
      <name val="Calibri"/>
      <family val="2"/>
      <scheme val="minor"/>
    </font>
    <font>
      <i/>
      <sz val="12"/>
      <color rgb="FF00B0F0"/>
      <name val="Calibri"/>
      <family val="2"/>
      <scheme val="minor"/>
    </font>
    <font>
      <sz val="12"/>
      <color theme="0" tint="-0.499984740745262"/>
      <name val="Calibri"/>
      <family val="2"/>
      <scheme val="minor"/>
    </font>
    <font>
      <b/>
      <i/>
      <sz val="12"/>
      <name val="Calibri"/>
      <family val="2"/>
      <scheme val="minor"/>
    </font>
    <font>
      <i/>
      <sz val="12"/>
      <color rgb="FFFF0000"/>
      <name val="Calibri"/>
      <family val="2"/>
      <scheme val="minor"/>
    </font>
    <font>
      <sz val="12"/>
      <color theme="0" tint="-0.34998626667073579"/>
      <name val="Calibri"/>
      <family val="2"/>
      <scheme val="minor"/>
    </font>
    <font>
      <b/>
      <sz val="11"/>
      <color theme="1"/>
      <name val="Calibri"/>
      <family val="2"/>
    </font>
    <font>
      <b/>
      <sz val="11"/>
      <color theme="1"/>
      <name val="Calibri"/>
      <family val="2"/>
      <scheme val="minor"/>
    </font>
    <font>
      <sz val="11"/>
      <color theme="1"/>
      <name val="Calibri"/>
      <family val="2"/>
      <scheme val="minor"/>
    </font>
    <font>
      <u/>
      <sz val="12"/>
      <color theme="10"/>
      <name val="Calibri"/>
      <family val="2"/>
      <scheme val="minor"/>
    </font>
    <font>
      <sz val="12"/>
      <color theme="9"/>
      <name val="Calibri"/>
      <family val="2"/>
      <scheme val="minor"/>
    </font>
    <font>
      <b/>
      <sz val="12"/>
      <color theme="9"/>
      <name val="Calibri"/>
      <family val="2"/>
      <scheme val="minor"/>
    </font>
    <font>
      <sz val="12"/>
      <color theme="4"/>
      <name val="Calibri"/>
      <family val="2"/>
      <scheme val="minor"/>
    </font>
    <font>
      <b/>
      <sz val="12"/>
      <name val="Calibri"/>
      <family val="2"/>
      <scheme val="minor"/>
    </font>
    <font>
      <sz val="12"/>
      <color rgb="FF000000"/>
      <name val="Calibri"/>
      <family val="2"/>
      <scheme val="minor"/>
    </font>
  </fonts>
  <fills count="7">
    <fill>
      <patternFill patternType="none"/>
    </fill>
    <fill>
      <patternFill patternType="gray125"/>
    </fill>
    <fill>
      <patternFill patternType="solid">
        <fgColor rgb="FFFFEB9C"/>
      </patternFill>
    </fill>
    <fill>
      <patternFill patternType="solid">
        <fgColor theme="0" tint="-4.9989318521683403E-2"/>
        <bgColor indexed="64"/>
      </patternFill>
    </fill>
    <fill>
      <patternFill patternType="solid">
        <fgColor theme="4" tint="-0.499984740745262"/>
        <bgColor indexed="64"/>
      </patternFill>
    </fill>
    <fill>
      <patternFill patternType="solid">
        <fgColor rgb="FFFFEB9C"/>
        <bgColor indexed="64"/>
      </patternFill>
    </fill>
    <fill>
      <patternFill patternType="solid">
        <fgColor rgb="FFF2F2F2"/>
        <bgColor rgb="FF000000"/>
      </patternFill>
    </fill>
  </fills>
  <borders count="41">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auto="1"/>
      </left>
      <right/>
      <top/>
      <bottom/>
      <diagonal/>
    </border>
    <border>
      <left/>
      <right/>
      <top style="thin">
        <color indexed="64"/>
      </top>
      <bottom style="double">
        <color indexed="64"/>
      </bottom>
      <diagonal/>
    </border>
    <border>
      <left/>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theme="9"/>
      </left>
      <right/>
      <top style="thin">
        <color theme="9"/>
      </top>
      <bottom/>
      <diagonal/>
    </border>
    <border>
      <left/>
      <right/>
      <top style="thin">
        <color theme="9"/>
      </top>
      <bottom/>
      <diagonal/>
    </border>
    <border>
      <left/>
      <right style="thin">
        <color theme="9"/>
      </right>
      <top style="thin">
        <color theme="9"/>
      </top>
      <bottom/>
      <diagonal/>
    </border>
    <border>
      <left/>
      <right style="thin">
        <color theme="9"/>
      </right>
      <top/>
      <bottom/>
      <diagonal/>
    </border>
    <border>
      <left style="thin">
        <color theme="9" tint="-0.249977111117893"/>
      </left>
      <right/>
      <top style="thin">
        <color theme="9" tint="-0.249977111117893"/>
      </top>
      <bottom/>
      <diagonal/>
    </border>
    <border>
      <left style="thin">
        <color theme="9" tint="-0.249977111117893"/>
      </left>
      <right/>
      <top/>
      <bottom/>
      <diagonal/>
    </border>
    <border>
      <left style="thin">
        <color theme="9" tint="-0.249977111117893"/>
      </left>
      <right/>
      <top/>
      <bottom style="thin">
        <color theme="9" tint="-0.249977111117893"/>
      </bottom>
      <diagonal/>
    </border>
    <border>
      <left/>
      <right/>
      <top/>
      <bottom style="thin">
        <color theme="9" tint="-0.249977111117893"/>
      </bottom>
      <diagonal/>
    </border>
    <border>
      <left/>
      <right style="thin">
        <color theme="9" tint="-0.249977111117893"/>
      </right>
      <top/>
      <bottom style="thin">
        <color theme="9" tint="-0.249977111117893"/>
      </bottom>
      <diagonal/>
    </border>
    <border>
      <left style="thin">
        <color theme="9"/>
      </left>
      <right/>
      <top style="thin">
        <color theme="9" tint="-0.249977111117893"/>
      </top>
      <bottom/>
      <diagonal/>
    </border>
    <border>
      <left/>
      <right/>
      <top style="thin">
        <color theme="9" tint="-0.249977111117893"/>
      </top>
      <bottom/>
      <diagonal/>
    </border>
    <border>
      <left/>
      <right style="thin">
        <color theme="9" tint="-0.249977111117893"/>
      </right>
      <top style="thin">
        <color theme="9" tint="-0.249977111117893"/>
      </top>
      <bottom/>
      <diagonal/>
    </border>
    <border>
      <left style="thin">
        <color theme="9" tint="-0.499984740745262"/>
      </left>
      <right/>
      <top style="thin">
        <color theme="9" tint="-0.499984740745262"/>
      </top>
      <bottom/>
      <diagonal/>
    </border>
    <border>
      <left/>
      <right/>
      <top style="thin">
        <color theme="9" tint="-0.499984740745262"/>
      </top>
      <bottom/>
      <diagonal/>
    </border>
    <border>
      <left/>
      <right style="thin">
        <color theme="9" tint="-0.249977111117893"/>
      </right>
      <top style="thin">
        <color theme="9" tint="-0.499984740745262"/>
      </top>
      <bottom/>
      <diagonal/>
    </border>
    <border>
      <left/>
      <right style="thin">
        <color theme="9" tint="-0.499984740745262"/>
      </right>
      <top style="thin">
        <color theme="9" tint="-0.499984740745262"/>
      </top>
      <bottom/>
      <diagonal/>
    </border>
    <border>
      <left style="thin">
        <color theme="9" tint="-0.499984740745262"/>
      </left>
      <right/>
      <top/>
      <bottom style="thin">
        <color theme="9" tint="-0.249977111117893"/>
      </bottom>
      <diagonal/>
    </border>
    <border>
      <left/>
      <right style="thin">
        <color theme="9" tint="-0.499984740745262"/>
      </right>
      <top/>
      <bottom/>
      <diagonal/>
    </border>
    <border>
      <left style="thin">
        <color theme="9" tint="-0.499984740745262"/>
      </left>
      <right/>
      <top/>
      <bottom/>
      <diagonal/>
    </border>
    <border>
      <left style="thin">
        <color theme="9" tint="-0.499984740745262"/>
      </left>
      <right/>
      <top/>
      <bottom style="thin">
        <color theme="9" tint="-0.499984740745262"/>
      </bottom>
      <diagonal/>
    </border>
    <border>
      <left/>
      <right/>
      <top/>
      <bottom style="thin">
        <color theme="9" tint="-0.499984740745262"/>
      </bottom>
      <diagonal/>
    </border>
    <border>
      <left/>
      <right style="thin">
        <color theme="9" tint="-0.499984740745262"/>
      </right>
      <top/>
      <bottom style="thin">
        <color theme="9" tint="-0.499984740745262"/>
      </bottom>
      <diagonal/>
    </border>
    <border>
      <left/>
      <right style="thin">
        <color indexed="64"/>
      </right>
      <top style="thin">
        <color theme="9"/>
      </top>
      <bottom/>
      <diagonal/>
    </border>
    <border>
      <left/>
      <right style="thin">
        <color indexed="64"/>
      </right>
      <top style="thin">
        <color theme="9" tint="-0.249977111117893"/>
      </top>
      <bottom/>
      <diagonal/>
    </border>
    <border>
      <left/>
      <right style="thin">
        <color indexed="64"/>
      </right>
      <top style="thin">
        <color theme="9" tint="-0.499984740745262"/>
      </top>
      <bottom/>
      <diagonal/>
    </border>
    <border>
      <left/>
      <right style="thin">
        <color indexed="64"/>
      </right>
      <top/>
      <bottom style="thin">
        <color theme="9" tint="-0.249977111117893"/>
      </bottom>
      <diagonal/>
    </border>
    <border>
      <left/>
      <right style="thin">
        <color indexed="64"/>
      </right>
      <top/>
      <bottom style="thin">
        <color theme="9" tint="-0.499984740745262"/>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2" borderId="0" applyNumberFormat="0" applyBorder="0" applyAlignment="0" applyProtection="0"/>
    <xf numFmtId="0" fontId="23" fillId="0" borderId="0" applyNumberFormat="0" applyFill="0" applyBorder="0" applyAlignment="0" applyProtection="0"/>
  </cellStyleXfs>
  <cellXfs count="254">
    <xf numFmtId="0" fontId="0" fillId="0" borderId="0" xfId="0"/>
    <xf numFmtId="3" fontId="0" fillId="3" borderId="0" xfId="1" applyNumberFormat="1" applyFont="1" applyFill="1"/>
    <xf numFmtId="3" fontId="0" fillId="3" borderId="1" xfId="1" applyNumberFormat="1" applyFont="1" applyFill="1" applyBorder="1"/>
    <xf numFmtId="168" fontId="0" fillId="3" borderId="0" xfId="1" applyNumberFormat="1" applyFont="1" applyFill="1"/>
    <xf numFmtId="168" fontId="0" fillId="3" borderId="1" xfId="1" applyNumberFormat="1" applyFont="1" applyFill="1" applyBorder="1"/>
    <xf numFmtId="168" fontId="0" fillId="3" borderId="0" xfId="1" applyNumberFormat="1" applyFont="1" applyFill="1" applyBorder="1"/>
    <xf numFmtId="1" fontId="7" fillId="5" borderId="0" xfId="3" applyNumberFormat="1" applyFont="1" applyFill="1"/>
    <xf numFmtId="167" fontId="7" fillId="5" borderId="0" xfId="3" applyNumberFormat="1" applyFont="1" applyFill="1"/>
    <xf numFmtId="3" fontId="0" fillId="3" borderId="0" xfId="1" applyNumberFormat="1" applyFont="1" applyFill="1" applyBorder="1"/>
    <xf numFmtId="0" fontId="8" fillId="3" borderId="0" xfId="0" applyFont="1" applyFill="1" applyAlignment="1">
      <alignment horizontal="left"/>
    </xf>
    <xf numFmtId="0" fontId="8" fillId="3" borderId="0" xfId="0" applyFont="1" applyFill="1"/>
    <xf numFmtId="167" fontId="8" fillId="3" borderId="0" xfId="2" applyNumberFormat="1" applyFont="1" applyFill="1"/>
    <xf numFmtId="167" fontId="8" fillId="3" borderId="0" xfId="0" applyNumberFormat="1" applyFont="1" applyFill="1"/>
    <xf numFmtId="0" fontId="5" fillId="3" borderId="0" xfId="0" applyFont="1" applyFill="1"/>
    <xf numFmtId="0" fontId="0" fillId="3" borderId="0" xfId="0" applyFont="1" applyFill="1"/>
    <xf numFmtId="3" fontId="0" fillId="3" borderId="1" xfId="0" applyNumberFormat="1" applyFont="1" applyFill="1" applyBorder="1"/>
    <xf numFmtId="3" fontId="0" fillId="3" borderId="0" xfId="0" applyNumberFormat="1" applyFont="1" applyFill="1" applyBorder="1"/>
    <xf numFmtId="168" fontId="5" fillId="3" borderId="1" xfId="1" applyNumberFormat="1" applyFont="1" applyFill="1" applyBorder="1"/>
    <xf numFmtId="0" fontId="8" fillId="3" borderId="0" xfId="0" applyFont="1" applyFill="1" applyAlignment="1">
      <alignment horizontal="left" indent="1"/>
    </xf>
    <xf numFmtId="0" fontId="8" fillId="3" borderId="0" xfId="0" applyFont="1" applyFill="1" applyAlignment="1">
      <alignment horizontal="left" indent="2"/>
    </xf>
    <xf numFmtId="167" fontId="8" fillId="5" borderId="0" xfId="0" applyNumberFormat="1" applyFont="1" applyFill="1"/>
    <xf numFmtId="3" fontId="8" fillId="3" borderId="0" xfId="0" applyNumberFormat="1" applyFont="1" applyFill="1"/>
    <xf numFmtId="0" fontId="9" fillId="3" borderId="0" xfId="0" applyFont="1" applyFill="1"/>
    <xf numFmtId="0" fontId="8" fillId="5" borderId="0" xfId="0" applyFont="1" applyFill="1"/>
    <xf numFmtId="3" fontId="0" fillId="3" borderId="0" xfId="0" applyNumberFormat="1" applyFont="1" applyFill="1"/>
    <xf numFmtId="0" fontId="0" fillId="3" borderId="0" xfId="0" applyFont="1" applyFill="1" applyAlignment="1">
      <alignment horizontal="left" indent="2"/>
    </xf>
    <xf numFmtId="167" fontId="0" fillId="3" borderId="0" xfId="0" applyNumberFormat="1" applyFont="1" applyFill="1"/>
    <xf numFmtId="168" fontId="0" fillId="3" borderId="5" xfId="1" applyNumberFormat="1" applyFont="1" applyFill="1" applyBorder="1"/>
    <xf numFmtId="0" fontId="8" fillId="3" borderId="0" xfId="0" applyFont="1" applyFill="1" applyBorder="1"/>
    <xf numFmtId="3" fontId="0" fillId="3" borderId="6" xfId="1" applyNumberFormat="1" applyFont="1" applyFill="1" applyBorder="1"/>
    <xf numFmtId="167" fontId="8" fillId="3" borderId="0" xfId="0" applyNumberFormat="1" applyFont="1" applyFill="1" applyBorder="1"/>
    <xf numFmtId="167" fontId="8" fillId="3" borderId="0" xfId="2" applyNumberFormat="1" applyFont="1" applyFill="1" applyBorder="1"/>
    <xf numFmtId="0" fontId="10" fillId="3" borderId="0" xfId="0" applyFont="1" applyFill="1" applyAlignment="1">
      <alignment horizontal="left" indent="1"/>
    </xf>
    <xf numFmtId="3" fontId="10" fillId="3" borderId="0" xfId="1" applyNumberFormat="1" applyFont="1" applyFill="1" applyBorder="1"/>
    <xf numFmtId="3" fontId="10" fillId="3" borderId="0" xfId="1" applyNumberFormat="1" applyFont="1" applyFill="1"/>
    <xf numFmtId="3" fontId="10" fillId="3" borderId="0" xfId="0" applyNumberFormat="1" applyFont="1" applyFill="1"/>
    <xf numFmtId="0" fontId="10" fillId="3" borderId="0" xfId="0" applyFont="1" applyFill="1"/>
    <xf numFmtId="0" fontId="10" fillId="3" borderId="0" xfId="0" applyFont="1" applyFill="1" applyAlignment="1">
      <alignment horizontal="left" indent="3"/>
    </xf>
    <xf numFmtId="0" fontId="3" fillId="4" borderId="0" xfId="0" applyFont="1" applyFill="1" applyAlignment="1">
      <alignment horizontal="center" vertical="top"/>
    </xf>
    <xf numFmtId="164" fontId="11" fillId="4" borderId="0" xfId="0" applyNumberFormat="1" applyFont="1" applyFill="1" applyAlignment="1">
      <alignment horizontal="center" vertical="top"/>
    </xf>
    <xf numFmtId="164" fontId="3" fillId="4" borderId="0" xfId="0" applyNumberFormat="1" applyFont="1" applyFill="1" applyAlignment="1">
      <alignment horizontal="center" vertical="top"/>
    </xf>
    <xf numFmtId="165" fontId="3" fillId="4" borderId="0" xfId="0" applyNumberFormat="1" applyFont="1" applyFill="1" applyAlignment="1">
      <alignment horizontal="center" vertical="top"/>
    </xf>
    <xf numFmtId="3" fontId="0" fillId="3" borderId="0" xfId="0" applyNumberFormat="1" applyFont="1" applyFill="1" applyAlignment="1">
      <alignment horizontal="right"/>
    </xf>
    <xf numFmtId="3" fontId="12" fillId="3" borderId="0" xfId="0" applyNumberFormat="1" applyFont="1" applyFill="1" applyAlignment="1">
      <alignment horizontal="right"/>
    </xf>
    <xf numFmtId="0" fontId="0" fillId="3" borderId="1" xfId="0" applyFont="1" applyFill="1" applyBorder="1"/>
    <xf numFmtId="3" fontId="0" fillId="3" borderId="1" xfId="0" applyNumberFormat="1" applyFont="1" applyFill="1" applyBorder="1" applyAlignment="1">
      <alignment horizontal="right"/>
    </xf>
    <xf numFmtId="3" fontId="12" fillId="3" borderId="1" xfId="0" applyNumberFormat="1" applyFont="1" applyFill="1" applyBorder="1" applyAlignment="1">
      <alignment horizontal="right"/>
    </xf>
    <xf numFmtId="0" fontId="0" fillId="3" borderId="0" xfId="0" applyFont="1" applyFill="1" applyAlignment="1">
      <alignment horizontal="left"/>
    </xf>
    <xf numFmtId="166" fontId="0" fillId="3" borderId="0" xfId="0" applyNumberFormat="1" applyFont="1" applyFill="1" applyAlignment="1">
      <alignment horizontal="right"/>
    </xf>
    <xf numFmtId="3" fontId="7" fillId="3" borderId="0" xfId="0" applyNumberFormat="1" applyFont="1" applyFill="1"/>
    <xf numFmtId="0" fontId="5" fillId="3" borderId="0" xfId="0" applyFont="1" applyFill="1" applyAlignment="1">
      <alignment horizontal="left" vertical="center"/>
    </xf>
    <xf numFmtId="3" fontId="5" fillId="3" borderId="0" xfId="0" applyNumberFormat="1" applyFont="1" applyFill="1"/>
    <xf numFmtId="3" fontId="8" fillId="5" borderId="0" xfId="0" applyNumberFormat="1" applyFont="1" applyFill="1"/>
    <xf numFmtId="3" fontId="0" fillId="5" borderId="0" xfId="0" applyNumberFormat="1" applyFont="1" applyFill="1"/>
    <xf numFmtId="0" fontId="8" fillId="3" borderId="0" xfId="0" applyFont="1" applyFill="1" applyAlignment="1">
      <alignment horizontal="left" vertical="center"/>
    </xf>
    <xf numFmtId="167" fontId="13" fillId="3" borderId="0" xfId="1" applyNumberFormat="1" applyFont="1" applyFill="1"/>
    <xf numFmtId="167" fontId="13" fillId="3" borderId="0" xfId="1" applyNumberFormat="1" applyFont="1" applyFill="1" applyBorder="1"/>
    <xf numFmtId="167" fontId="14" fillId="3" borderId="0" xfId="1" applyNumberFormat="1" applyFont="1" applyFill="1" applyBorder="1"/>
    <xf numFmtId="167" fontId="14" fillId="3" borderId="0" xfId="1" applyNumberFormat="1" applyFont="1" applyFill="1"/>
    <xf numFmtId="167" fontId="15" fillId="2" borderId="0" xfId="3" applyNumberFormat="1" applyFont="1"/>
    <xf numFmtId="167" fontId="14" fillId="2" borderId="0" xfId="3" applyNumberFormat="1" applyFont="1"/>
    <xf numFmtId="167" fontId="13" fillId="3" borderId="0" xfId="0" applyNumberFormat="1" applyFont="1" applyFill="1" applyAlignment="1">
      <alignment horizontal="left"/>
    </xf>
    <xf numFmtId="164" fontId="11" fillId="4" borderId="0" xfId="0" applyNumberFormat="1" applyFont="1" applyFill="1" applyBorder="1" applyAlignment="1">
      <alignment horizontal="center" vertical="top"/>
    </xf>
    <xf numFmtId="164" fontId="3" fillId="4" borderId="0" xfId="0" applyNumberFormat="1" applyFont="1" applyFill="1" applyBorder="1" applyAlignment="1">
      <alignment horizontal="center" vertical="top"/>
    </xf>
    <xf numFmtId="3" fontId="11" fillId="3" borderId="0" xfId="1" applyNumberFormat="1" applyFont="1" applyFill="1"/>
    <xf numFmtId="3" fontId="11" fillId="3" borderId="0" xfId="1" applyNumberFormat="1" applyFont="1" applyFill="1" applyBorder="1"/>
    <xf numFmtId="3" fontId="5" fillId="3" borderId="0" xfId="1" applyNumberFormat="1" applyFont="1" applyFill="1" applyBorder="1"/>
    <xf numFmtId="3" fontId="5" fillId="3" borderId="0" xfId="1" applyNumberFormat="1" applyFont="1" applyFill="1"/>
    <xf numFmtId="3" fontId="16" fillId="3" borderId="1" xfId="1" applyNumberFormat="1" applyFont="1" applyFill="1" applyBorder="1"/>
    <xf numFmtId="3" fontId="16" fillId="3" borderId="0" xfId="1" applyNumberFormat="1" applyFont="1" applyFill="1"/>
    <xf numFmtId="3" fontId="16" fillId="3" borderId="0" xfId="1" applyNumberFormat="1" applyFont="1" applyFill="1" applyBorder="1"/>
    <xf numFmtId="3" fontId="17" fillId="3" borderId="0" xfId="1" applyNumberFormat="1" applyFont="1" applyFill="1" applyBorder="1"/>
    <xf numFmtId="0" fontId="7" fillId="3" borderId="0" xfId="0" applyFont="1" applyFill="1"/>
    <xf numFmtId="0" fontId="16" fillId="3" borderId="0" xfId="0" applyFont="1" applyFill="1"/>
    <xf numFmtId="3" fontId="7" fillId="3" borderId="0" xfId="1" applyNumberFormat="1" applyFont="1" applyFill="1" applyBorder="1"/>
    <xf numFmtId="3" fontId="7" fillId="3" borderId="0" xfId="1" applyNumberFormat="1" applyFont="1" applyFill="1"/>
    <xf numFmtId="43" fontId="0" fillId="3" borderId="0" xfId="0" applyNumberFormat="1" applyFont="1" applyFill="1"/>
    <xf numFmtId="0" fontId="14" fillId="3" borderId="0" xfId="0" applyFont="1" applyFill="1"/>
    <xf numFmtId="167" fontId="16" fillId="3" borderId="0" xfId="2" applyNumberFormat="1" applyFont="1" applyFill="1"/>
    <xf numFmtId="167" fontId="16" fillId="3" borderId="0" xfId="2" applyNumberFormat="1" applyFont="1" applyFill="1" applyBorder="1"/>
    <xf numFmtId="167" fontId="7" fillId="3" borderId="0" xfId="2" applyNumberFormat="1" applyFont="1" applyFill="1" applyBorder="1"/>
    <xf numFmtId="167" fontId="7" fillId="3" borderId="0" xfId="2" applyNumberFormat="1" applyFont="1" applyFill="1"/>
    <xf numFmtId="167" fontId="7" fillId="2" borderId="0" xfId="3" applyNumberFormat="1" applyFont="1"/>
    <xf numFmtId="43" fontId="7" fillId="3" borderId="0" xfId="0" applyNumberFormat="1" applyFont="1" applyFill="1"/>
    <xf numFmtId="42" fontId="14" fillId="3" borderId="0" xfId="1" applyNumberFormat="1" applyFont="1" applyFill="1" applyBorder="1" applyAlignment="1"/>
    <xf numFmtId="3" fontId="14" fillId="3" borderId="0" xfId="1" applyNumberFormat="1" applyFont="1" applyFill="1" applyBorder="1"/>
    <xf numFmtId="167" fontId="14" fillId="3" borderId="0" xfId="0" applyNumberFormat="1" applyFont="1" applyFill="1"/>
    <xf numFmtId="0" fontId="16" fillId="3" borderId="0" xfId="0" applyFont="1" applyFill="1" applyBorder="1"/>
    <xf numFmtId="0" fontId="0" fillId="3" borderId="0" xfId="0" applyFont="1" applyFill="1" applyBorder="1"/>
    <xf numFmtId="0" fontId="8" fillId="3" borderId="0" xfId="0" applyFont="1" applyFill="1" applyAlignment="1">
      <alignment horizontal="right"/>
    </xf>
    <xf numFmtId="167" fontId="7" fillId="3" borderId="0" xfId="3" applyNumberFormat="1" applyFont="1" applyFill="1"/>
    <xf numFmtId="3" fontId="14" fillId="3" borderId="0" xfId="1" applyNumberFormat="1" applyFont="1" applyFill="1" applyBorder="1" applyAlignment="1"/>
    <xf numFmtId="167" fontId="14" fillId="3" borderId="0" xfId="3" applyNumberFormat="1" applyFont="1" applyFill="1"/>
    <xf numFmtId="167" fontId="18" fillId="3" borderId="0" xfId="1" applyNumberFormat="1" applyFont="1" applyFill="1"/>
    <xf numFmtId="1" fontId="0" fillId="3" borderId="0" xfId="0" applyNumberFormat="1" applyFont="1" applyFill="1"/>
    <xf numFmtId="1" fontId="0" fillId="3" borderId="0" xfId="0" applyNumberFormat="1" applyFont="1" applyFill="1" applyBorder="1"/>
    <xf numFmtId="168" fontId="5" fillId="3" borderId="0" xfId="1" applyNumberFormat="1" applyFont="1" applyFill="1"/>
    <xf numFmtId="168" fontId="5" fillId="3" borderId="0" xfId="1" applyNumberFormat="1" applyFont="1" applyFill="1" applyBorder="1"/>
    <xf numFmtId="3" fontId="5" fillId="3" borderId="5" xfId="1" applyNumberFormat="1" applyFont="1" applyFill="1" applyBorder="1"/>
    <xf numFmtId="3" fontId="0" fillId="3" borderId="5" xfId="0" applyNumberFormat="1" applyFont="1" applyFill="1" applyBorder="1"/>
    <xf numFmtId="3" fontId="9" fillId="3" borderId="0" xfId="1" applyNumberFormat="1" applyFont="1" applyFill="1"/>
    <xf numFmtId="3" fontId="9" fillId="3" borderId="0" xfId="1" applyNumberFormat="1" applyFont="1" applyFill="1" applyBorder="1"/>
    <xf numFmtId="1" fontId="8" fillId="3" borderId="0" xfId="1" applyNumberFormat="1" applyFont="1" applyFill="1"/>
    <xf numFmtId="1" fontId="8" fillId="3" borderId="0" xfId="1" applyNumberFormat="1" applyFont="1" applyFill="1" applyBorder="1"/>
    <xf numFmtId="1" fontId="14" fillId="5" borderId="0" xfId="0" applyNumberFormat="1" applyFont="1" applyFill="1"/>
    <xf numFmtId="167" fontId="8" fillId="3" borderId="0" xfId="1" applyNumberFormat="1" applyFont="1" applyFill="1"/>
    <xf numFmtId="167" fontId="8" fillId="3" borderId="0" xfId="1" applyNumberFormat="1" applyFont="1" applyFill="1" applyBorder="1"/>
    <xf numFmtId="167" fontId="14" fillId="5" borderId="0" xfId="0" applyNumberFormat="1" applyFont="1" applyFill="1"/>
    <xf numFmtId="168" fontId="8" fillId="3" borderId="0" xfId="1" applyNumberFormat="1" applyFont="1" applyFill="1"/>
    <xf numFmtId="168" fontId="8" fillId="3" borderId="0" xfId="1" applyNumberFormat="1" applyFont="1" applyFill="1" applyBorder="1"/>
    <xf numFmtId="3" fontId="8" fillId="3" borderId="0" xfId="1" applyNumberFormat="1" applyFont="1" applyFill="1" applyBorder="1"/>
    <xf numFmtId="3" fontId="8" fillId="3" borderId="0" xfId="1" applyNumberFormat="1" applyFont="1" applyFill="1"/>
    <xf numFmtId="3" fontId="8" fillId="5" borderId="0" xfId="1" applyNumberFormat="1" applyFont="1" applyFill="1"/>
    <xf numFmtId="0" fontId="0" fillId="3" borderId="0" xfId="0" applyFont="1" applyFill="1" applyAlignment="1">
      <alignment horizontal="left" indent="1"/>
    </xf>
    <xf numFmtId="0" fontId="0" fillId="3" borderId="0" xfId="0" applyFont="1" applyFill="1" applyAlignment="1">
      <alignment horizontal="left" indent="3"/>
    </xf>
    <xf numFmtId="3" fontId="13" fillId="3" borderId="0" xfId="1" applyNumberFormat="1" applyFont="1" applyFill="1" applyBorder="1"/>
    <xf numFmtId="3" fontId="16" fillId="3" borderId="6" xfId="1" applyNumberFormat="1" applyFont="1" applyFill="1" applyBorder="1"/>
    <xf numFmtId="3" fontId="0" fillId="3" borderId="6" xfId="0" applyNumberFormat="1" applyFont="1" applyFill="1" applyBorder="1"/>
    <xf numFmtId="0" fontId="5" fillId="3" borderId="0" xfId="0" applyFont="1" applyFill="1" applyAlignment="1">
      <alignment horizontal="left" indent="1"/>
    </xf>
    <xf numFmtId="0" fontId="5" fillId="3" borderId="0" xfId="0" applyFont="1" applyFill="1" applyAlignment="1">
      <alignment horizontal="left"/>
    </xf>
    <xf numFmtId="3" fontId="14" fillId="3" borderId="0" xfId="1" applyNumberFormat="1" applyFont="1" applyFill="1" applyBorder="1" applyAlignment="1">
      <alignment horizontal="left" indent="1"/>
    </xf>
    <xf numFmtId="0" fontId="19" fillId="3" borderId="0" xfId="0" applyFont="1" applyFill="1"/>
    <xf numFmtId="167" fontId="19" fillId="3" borderId="0" xfId="0" applyNumberFormat="1" applyFont="1" applyFill="1"/>
    <xf numFmtId="166" fontId="0" fillId="3" borderId="0" xfId="0" applyNumberFormat="1" applyFont="1" applyFill="1"/>
    <xf numFmtId="167" fontId="4" fillId="3" borderId="0" xfId="0" applyNumberFormat="1" applyFont="1" applyFill="1"/>
    <xf numFmtId="0" fontId="5" fillId="3" borderId="7" xfId="0" applyFont="1" applyFill="1" applyBorder="1"/>
    <xf numFmtId="0" fontId="8" fillId="3" borderId="8" xfId="0" applyFont="1" applyFill="1" applyBorder="1"/>
    <xf numFmtId="167" fontId="8" fillId="3" borderId="9" xfId="2" applyNumberFormat="1" applyFont="1" applyFill="1" applyBorder="1"/>
    <xf numFmtId="0" fontId="0" fillId="3" borderId="3" xfId="0" applyFont="1" applyFill="1" applyBorder="1" applyAlignment="1">
      <alignment horizontal="right"/>
    </xf>
    <xf numFmtId="0" fontId="0" fillId="3" borderId="1" xfId="0" applyFont="1" applyFill="1" applyBorder="1" applyAlignment="1">
      <alignment horizontal="right"/>
    </xf>
    <xf numFmtId="0" fontId="0" fillId="3" borderId="0" xfId="0" applyFont="1" applyFill="1" applyAlignment="1">
      <alignment horizontal="right"/>
    </xf>
    <xf numFmtId="0" fontId="12" fillId="3" borderId="0" xfId="0" applyFont="1" applyFill="1"/>
    <xf numFmtId="167" fontId="0" fillId="3" borderId="2" xfId="0" applyNumberFormat="1" applyFont="1" applyFill="1" applyBorder="1"/>
    <xf numFmtId="167" fontId="0" fillId="3" borderId="3" xfId="0" applyNumberFormat="1" applyFont="1" applyFill="1" applyBorder="1" applyAlignment="1">
      <alignment horizontal="right"/>
    </xf>
    <xf numFmtId="167" fontId="0" fillId="3" borderId="1" xfId="0" applyNumberFormat="1" applyFont="1" applyFill="1" applyBorder="1" applyAlignment="1">
      <alignment horizontal="center"/>
    </xf>
    <xf numFmtId="167" fontId="12" fillId="3" borderId="1" xfId="0" applyNumberFormat="1" applyFont="1" applyFill="1" applyBorder="1" applyAlignment="1">
      <alignment horizontal="center"/>
    </xf>
    <xf numFmtId="0" fontId="0" fillId="3" borderId="0" xfId="0" applyFont="1" applyFill="1" applyAlignment="1">
      <alignment horizontal="center"/>
    </xf>
    <xf numFmtId="167" fontId="0" fillId="3" borderId="3" xfId="0" applyNumberFormat="1" applyFont="1" applyFill="1" applyBorder="1" applyAlignment="1">
      <alignment horizontal="center"/>
    </xf>
    <xf numFmtId="3" fontId="0" fillId="3" borderId="0" xfId="0" applyNumberFormat="1" applyFont="1" applyFill="1" applyAlignment="1">
      <alignment horizontal="center"/>
    </xf>
    <xf numFmtId="167" fontId="0" fillId="3" borderId="2" xfId="0" applyNumberFormat="1" applyFont="1" applyFill="1" applyBorder="1" applyAlignment="1">
      <alignment horizontal="center"/>
    </xf>
    <xf numFmtId="3" fontId="0" fillId="3" borderId="10" xfId="0" applyNumberFormat="1" applyFont="1" applyFill="1" applyBorder="1" applyAlignment="1">
      <alignment horizontal="center"/>
    </xf>
    <xf numFmtId="3" fontId="0" fillId="3" borderId="11" xfId="0" applyNumberFormat="1" applyFont="1" applyFill="1" applyBorder="1" applyAlignment="1">
      <alignment horizontal="center"/>
    </xf>
    <xf numFmtId="3" fontId="0" fillId="3" borderId="12" xfId="0" applyNumberFormat="1" applyFont="1" applyFill="1" applyBorder="1" applyAlignment="1">
      <alignment horizontal="center"/>
    </xf>
    <xf numFmtId="3" fontId="0" fillId="3" borderId="4" xfId="0" applyNumberFormat="1" applyFont="1" applyFill="1" applyBorder="1" applyAlignment="1">
      <alignment horizontal="center"/>
    </xf>
    <xf numFmtId="3" fontId="0" fillId="3" borderId="2" xfId="0" applyNumberFormat="1" applyFont="1" applyFill="1" applyBorder="1" applyAlignment="1">
      <alignment horizontal="center"/>
    </xf>
    <xf numFmtId="3" fontId="0" fillId="3" borderId="13" xfId="0" applyNumberFormat="1" applyFont="1" applyFill="1" applyBorder="1" applyAlignment="1">
      <alignment horizontal="center"/>
    </xf>
    <xf numFmtId="3" fontId="0" fillId="3" borderId="1" xfId="0" applyNumberFormat="1" applyFont="1" applyFill="1" applyBorder="1" applyAlignment="1">
      <alignment horizontal="center"/>
    </xf>
    <xf numFmtId="3" fontId="0" fillId="3" borderId="3" xfId="0" applyNumberFormat="1" applyFont="1" applyFill="1" applyBorder="1" applyAlignment="1">
      <alignment horizontal="center"/>
    </xf>
    <xf numFmtId="171" fontId="0" fillId="3" borderId="1" xfId="0" applyNumberFormat="1" applyFont="1" applyFill="1" applyBorder="1" applyAlignment="1">
      <alignment horizontal="center"/>
    </xf>
    <xf numFmtId="171" fontId="12" fillId="3" borderId="1" xfId="0" applyNumberFormat="1" applyFont="1" applyFill="1" applyBorder="1" applyAlignment="1">
      <alignment horizontal="center"/>
    </xf>
    <xf numFmtId="0" fontId="3" fillId="3" borderId="0" xfId="0" applyFont="1" applyFill="1" applyAlignment="1"/>
    <xf numFmtId="0" fontId="0" fillId="3" borderId="0" xfId="0" applyFill="1"/>
    <xf numFmtId="4" fontId="20" fillId="3" borderId="0" xfId="0" applyNumberFormat="1" applyFont="1" applyFill="1"/>
    <xf numFmtId="0" fontId="21" fillId="3" borderId="0" xfId="0" applyFont="1" applyFill="1"/>
    <xf numFmtId="4" fontId="0" fillId="3" borderId="0" xfId="0" applyNumberFormat="1" applyFill="1" applyAlignment="1">
      <alignment horizontal="left" indent="2"/>
    </xf>
    <xf numFmtId="0" fontId="0" fillId="3" borderId="0" xfId="0" applyFill="1" applyAlignment="1">
      <alignment horizontal="left" indent="2"/>
    </xf>
    <xf numFmtId="0" fontId="22" fillId="3" borderId="0" xfId="0" applyFont="1" applyFill="1" applyAlignment="1">
      <alignment horizontal="left" indent="2"/>
    </xf>
    <xf numFmtId="0" fontId="23" fillId="3" borderId="0" xfId="4" applyFill="1"/>
    <xf numFmtId="0" fontId="6" fillId="4" borderId="0" xfId="0" applyFont="1" applyFill="1"/>
    <xf numFmtId="169" fontId="6" fillId="4" borderId="0" xfId="0" applyNumberFormat="1" applyFont="1" applyFill="1"/>
    <xf numFmtId="170" fontId="6" fillId="4" borderId="0" xfId="0" applyNumberFormat="1" applyFont="1" applyFill="1"/>
    <xf numFmtId="0" fontId="6" fillId="4" borderId="0" xfId="0" applyFont="1" applyFill="1" applyAlignment="1">
      <alignment horizontal="center" vertical="center"/>
    </xf>
    <xf numFmtId="172" fontId="0" fillId="3" borderId="0" xfId="1" applyNumberFormat="1" applyFont="1" applyFill="1" applyBorder="1"/>
    <xf numFmtId="172" fontId="0" fillId="3" borderId="0" xfId="1" applyNumberFormat="1" applyFont="1" applyFill="1"/>
    <xf numFmtId="0" fontId="8" fillId="3" borderId="0" xfId="0" applyFont="1" applyFill="1" applyBorder="1" applyAlignment="1">
      <alignment horizontal="left" indent="2"/>
    </xf>
    <xf numFmtId="9" fontId="0" fillId="3" borderId="0" xfId="0" applyNumberFormat="1" applyFont="1" applyFill="1"/>
    <xf numFmtId="43" fontId="0" fillId="3" borderId="0" xfId="1" applyFont="1" applyFill="1"/>
    <xf numFmtId="3" fontId="24" fillId="3" borderId="0" xfId="0" applyNumberFormat="1" applyFont="1" applyFill="1"/>
    <xf numFmtId="0" fontId="24" fillId="3" borderId="0" xfId="0" applyFont="1" applyFill="1"/>
    <xf numFmtId="3" fontId="25" fillId="3" borderId="0" xfId="1" applyNumberFormat="1" applyFont="1" applyFill="1" applyBorder="1"/>
    <xf numFmtId="167" fontId="0" fillId="3" borderId="0" xfId="2" applyNumberFormat="1" applyFont="1" applyFill="1"/>
    <xf numFmtId="4" fontId="5" fillId="3" borderId="0" xfId="0" applyNumberFormat="1" applyFont="1" applyFill="1"/>
    <xf numFmtId="172" fontId="0" fillId="3" borderId="0" xfId="0" applyNumberFormat="1" applyFont="1" applyFill="1"/>
    <xf numFmtId="0" fontId="7" fillId="3" borderId="0" xfId="0" applyFont="1" applyFill="1" applyAlignment="1">
      <alignment horizontal="left" indent="3"/>
    </xf>
    <xf numFmtId="0" fontId="14" fillId="3" borderId="0" xfId="0" applyFont="1" applyFill="1" applyAlignment="1">
      <alignment horizontal="left" indent="2"/>
    </xf>
    <xf numFmtId="167" fontId="0" fillId="3" borderId="0" xfId="0" applyNumberFormat="1" applyFont="1" applyFill="1" applyBorder="1"/>
    <xf numFmtId="3" fontId="7" fillId="3" borderId="0" xfId="3" applyNumberFormat="1" applyFont="1" applyFill="1"/>
    <xf numFmtId="167" fontId="0" fillId="3" borderId="0" xfId="1" applyNumberFormat="1" applyFont="1" applyFill="1"/>
    <xf numFmtId="167" fontId="26" fillId="3" borderId="0" xfId="3" applyNumberFormat="1" applyFont="1" applyFill="1"/>
    <xf numFmtId="2" fontId="0" fillId="3" borderId="0" xfId="0" applyNumberFormat="1" applyFont="1" applyFill="1"/>
    <xf numFmtId="167" fontId="7" fillId="3" borderId="0" xfId="0" applyNumberFormat="1" applyFont="1" applyFill="1"/>
    <xf numFmtId="0" fontId="0" fillId="3" borderId="0" xfId="0" applyFont="1" applyFill="1" applyAlignment="1">
      <alignment horizontal="center" vertical="center"/>
    </xf>
    <xf numFmtId="0" fontId="0" fillId="3" borderId="0" xfId="0" applyFont="1" applyFill="1" applyBorder="1" applyAlignment="1">
      <alignment horizontal="left" indent="1"/>
    </xf>
    <xf numFmtId="2" fontId="0" fillId="3" borderId="2" xfId="0" applyNumberFormat="1" applyFont="1" applyFill="1" applyBorder="1"/>
    <xf numFmtId="0" fontId="0" fillId="3" borderId="0" xfId="0" applyFill="1" applyBorder="1" applyAlignment="1">
      <alignment horizontal="left"/>
    </xf>
    <xf numFmtId="0" fontId="0" fillId="3" borderId="14" xfId="0" applyFont="1" applyFill="1" applyBorder="1" applyAlignment="1">
      <alignment horizontal="left" indent="1"/>
    </xf>
    <xf numFmtId="0" fontId="0" fillId="3" borderId="23" xfId="0" applyFill="1" applyBorder="1" applyAlignment="1">
      <alignment horizontal="left" indent="1"/>
    </xf>
    <xf numFmtId="4" fontId="0" fillId="3" borderId="26" xfId="0" applyNumberFormat="1" applyFill="1" applyBorder="1" applyAlignment="1">
      <alignment horizontal="left" indent="2"/>
    </xf>
    <xf numFmtId="0" fontId="0" fillId="3" borderId="30" xfId="0" applyFont="1" applyFill="1" applyBorder="1" applyAlignment="1">
      <alignment horizontal="left" indent="2"/>
    </xf>
    <xf numFmtId="0" fontId="0" fillId="3" borderId="32" xfId="0" applyFont="1" applyFill="1" applyBorder="1" applyAlignment="1">
      <alignment horizontal="left" indent="3"/>
    </xf>
    <xf numFmtId="0" fontId="0" fillId="3" borderId="33" xfId="0" applyFont="1" applyFill="1" applyBorder="1" applyAlignment="1">
      <alignment horizontal="left" indent="3"/>
    </xf>
    <xf numFmtId="0" fontId="0" fillId="3" borderId="0" xfId="0" applyFont="1" applyFill="1" applyAlignment="1">
      <alignment vertical="top"/>
    </xf>
    <xf numFmtId="173" fontId="0" fillId="3" borderId="0" xfId="0" applyNumberFormat="1" applyFont="1" applyFill="1"/>
    <xf numFmtId="173" fontId="5" fillId="3" borderId="0" xfId="0" applyNumberFormat="1" applyFont="1" applyFill="1"/>
    <xf numFmtId="173" fontId="0" fillId="3" borderId="0" xfId="0" applyNumberFormat="1" applyFont="1" applyFill="1" applyBorder="1"/>
    <xf numFmtId="173" fontId="0" fillId="3" borderId="15" xfId="0" applyNumberFormat="1" applyFont="1" applyFill="1" applyBorder="1"/>
    <xf numFmtId="173" fontId="0" fillId="3" borderId="24" xfId="0" applyNumberFormat="1" applyFont="1" applyFill="1" applyBorder="1"/>
    <xf numFmtId="173" fontId="0" fillId="3" borderId="25" xfId="0" applyNumberFormat="1" applyFont="1" applyFill="1" applyBorder="1"/>
    <xf numFmtId="173" fontId="0" fillId="3" borderId="27" xfId="0" applyNumberFormat="1" applyFont="1" applyFill="1" applyBorder="1"/>
    <xf numFmtId="173" fontId="0" fillId="3" borderId="28" xfId="0" applyNumberFormat="1" applyFont="1" applyFill="1" applyBorder="1"/>
    <xf numFmtId="173" fontId="0" fillId="3" borderId="21" xfId="0" applyNumberFormat="1" applyFont="1" applyFill="1" applyBorder="1"/>
    <xf numFmtId="173" fontId="0" fillId="3" borderId="22" xfId="0" applyNumberFormat="1" applyFont="1" applyFill="1" applyBorder="1"/>
    <xf numFmtId="173" fontId="0" fillId="3" borderId="34" xfId="0" applyNumberFormat="1" applyFont="1" applyFill="1" applyBorder="1"/>
    <xf numFmtId="0" fontId="7" fillId="3" borderId="0" xfId="0" applyFont="1" applyFill="1" applyAlignment="1">
      <alignment horizontal="left" indent="2"/>
    </xf>
    <xf numFmtId="0" fontId="4" fillId="3" borderId="0" xfId="0" applyFont="1" applyFill="1"/>
    <xf numFmtId="3" fontId="4" fillId="3" borderId="0" xfId="1" applyNumberFormat="1" applyFont="1" applyFill="1" applyBorder="1"/>
    <xf numFmtId="0" fontId="4" fillId="3" borderId="0" xfId="0" applyFont="1" applyFill="1" applyBorder="1"/>
    <xf numFmtId="164" fontId="3" fillId="4" borderId="2" xfId="0" applyNumberFormat="1" applyFont="1" applyFill="1" applyBorder="1" applyAlignment="1">
      <alignment horizontal="center" vertical="top"/>
    </xf>
    <xf numFmtId="0" fontId="0" fillId="3" borderId="2" xfId="0" applyFont="1" applyFill="1" applyBorder="1"/>
    <xf numFmtId="173" fontId="0" fillId="3" borderId="2" xfId="0" applyNumberFormat="1" applyFont="1" applyFill="1" applyBorder="1"/>
    <xf numFmtId="1" fontId="0" fillId="3" borderId="2" xfId="0" applyNumberFormat="1" applyFont="1" applyFill="1" applyBorder="1"/>
    <xf numFmtId="3" fontId="7" fillId="3" borderId="2" xfId="1" applyNumberFormat="1" applyFont="1" applyFill="1" applyBorder="1"/>
    <xf numFmtId="173" fontId="0" fillId="3" borderId="36" xfId="0" applyNumberFormat="1" applyFont="1" applyFill="1" applyBorder="1"/>
    <xf numFmtId="173" fontId="0" fillId="3" borderId="37" xfId="0" applyNumberFormat="1" applyFont="1" applyFill="1" applyBorder="1"/>
    <xf numFmtId="173" fontId="0" fillId="3" borderId="38" xfId="0" applyNumberFormat="1" applyFont="1" applyFill="1" applyBorder="1"/>
    <xf numFmtId="173" fontId="0" fillId="3" borderId="39" xfId="0" applyNumberFormat="1" applyFont="1" applyFill="1" applyBorder="1"/>
    <xf numFmtId="173" fontId="0" fillId="3" borderId="40" xfId="0" applyNumberFormat="1" applyFont="1" applyFill="1" applyBorder="1"/>
    <xf numFmtId="0" fontId="4" fillId="3" borderId="0" xfId="0" applyFont="1" applyFill="1" applyAlignment="1">
      <alignment vertical="top"/>
    </xf>
    <xf numFmtId="0" fontId="24" fillId="3" borderId="0" xfId="0" applyFont="1" applyFill="1" applyAlignment="1">
      <alignment vertical="top"/>
    </xf>
    <xf numFmtId="0" fontId="24" fillId="3" borderId="0" xfId="0" applyFont="1" applyFill="1" applyBorder="1"/>
    <xf numFmtId="9" fontId="24" fillId="3" borderId="0" xfId="2" applyFont="1" applyFill="1"/>
    <xf numFmtId="9" fontId="24" fillId="3" borderId="0" xfId="2" applyFont="1" applyFill="1" applyAlignment="1">
      <alignment vertical="top"/>
    </xf>
    <xf numFmtId="3" fontId="7" fillId="3" borderId="0" xfId="0" applyNumberFormat="1" applyFont="1" applyFill="1" applyAlignment="1">
      <alignment horizontal="center"/>
    </xf>
    <xf numFmtId="0" fontId="7" fillId="3" borderId="0" xfId="0" applyFont="1" applyFill="1" applyAlignment="1">
      <alignment horizontal="center"/>
    </xf>
    <xf numFmtId="167" fontId="7" fillId="3" borderId="2" xfId="0" applyNumberFormat="1" applyFont="1" applyFill="1" applyBorder="1" applyAlignment="1">
      <alignment horizontal="center"/>
    </xf>
    <xf numFmtId="0" fontId="7" fillId="3" borderId="0" xfId="0" applyFont="1" applyFill="1" applyAlignment="1">
      <alignment horizontal="center"/>
    </xf>
    <xf numFmtId="171" fontId="7" fillId="3" borderId="1" xfId="0" applyNumberFormat="1" applyFont="1" applyFill="1" applyBorder="1" applyAlignment="1">
      <alignment horizontal="center"/>
    </xf>
    <xf numFmtId="167" fontId="7" fillId="3" borderId="3" xfId="0" applyNumberFormat="1" applyFont="1" applyFill="1" applyBorder="1" applyAlignment="1">
      <alignment horizontal="center"/>
    </xf>
    <xf numFmtId="167" fontId="7" fillId="3" borderId="1" xfId="0" applyNumberFormat="1" applyFont="1" applyFill="1" applyBorder="1" applyAlignment="1">
      <alignment horizontal="center"/>
    </xf>
    <xf numFmtId="3" fontId="7" fillId="3" borderId="10" xfId="0" applyNumberFormat="1" applyFont="1" applyFill="1" applyBorder="1" applyAlignment="1">
      <alignment horizontal="center"/>
    </xf>
    <xf numFmtId="3" fontId="7" fillId="3" borderId="11" xfId="0" applyNumberFormat="1" applyFont="1" applyFill="1" applyBorder="1" applyAlignment="1">
      <alignment horizontal="center"/>
    </xf>
    <xf numFmtId="3" fontId="7" fillId="3" borderId="12" xfId="0" applyNumberFormat="1" applyFont="1" applyFill="1" applyBorder="1" applyAlignment="1">
      <alignment horizontal="center"/>
    </xf>
    <xf numFmtId="3" fontId="7" fillId="3" borderId="4" xfId="0" applyNumberFormat="1" applyFont="1" applyFill="1" applyBorder="1" applyAlignment="1">
      <alignment horizontal="center"/>
    </xf>
    <xf numFmtId="3" fontId="7" fillId="3" borderId="2" xfId="0" applyNumberFormat="1" applyFont="1" applyFill="1" applyBorder="1" applyAlignment="1">
      <alignment horizontal="center"/>
    </xf>
    <xf numFmtId="3" fontId="7" fillId="3" borderId="13" xfId="0" applyNumberFormat="1" applyFont="1" applyFill="1" applyBorder="1" applyAlignment="1">
      <alignment horizontal="center"/>
    </xf>
    <xf numFmtId="3" fontId="7" fillId="3" borderId="1" xfId="0" applyNumberFormat="1" applyFont="1" applyFill="1" applyBorder="1" applyAlignment="1">
      <alignment horizontal="center"/>
    </xf>
    <xf numFmtId="3" fontId="7" fillId="3" borderId="3" xfId="0" applyNumberFormat="1" applyFont="1" applyFill="1" applyBorder="1" applyAlignment="1">
      <alignment horizontal="center"/>
    </xf>
    <xf numFmtId="171" fontId="28" fillId="6" borderId="1" xfId="0" applyNumberFormat="1" applyFont="1" applyFill="1" applyBorder="1" applyAlignment="1">
      <alignment horizontal="center"/>
    </xf>
    <xf numFmtId="171" fontId="7" fillId="6" borderId="1" xfId="0" applyNumberFormat="1" applyFont="1" applyFill="1" applyBorder="1" applyAlignment="1">
      <alignment horizontal="center"/>
    </xf>
    <xf numFmtId="0" fontId="6" fillId="4" borderId="0" xfId="0" applyFont="1" applyFill="1" applyAlignment="1">
      <alignment horizontal="center"/>
    </xf>
    <xf numFmtId="0" fontId="0" fillId="3" borderId="0" xfId="0" applyFont="1" applyFill="1" applyAlignment="1">
      <alignment horizontal="center"/>
    </xf>
    <xf numFmtId="0" fontId="5" fillId="3" borderId="0" xfId="0" applyFont="1" applyFill="1" applyAlignment="1">
      <alignment horizontal="center"/>
    </xf>
    <xf numFmtId="0" fontId="3" fillId="4" borderId="0" xfId="0" applyFont="1" applyFill="1" applyAlignment="1">
      <alignment horizontal="center"/>
    </xf>
    <xf numFmtId="0" fontId="7" fillId="3" borderId="0" xfId="0" applyFont="1" applyFill="1" applyAlignment="1">
      <alignment horizontal="center"/>
    </xf>
    <xf numFmtId="0" fontId="27" fillId="3" borderId="0" xfId="0" applyFont="1" applyFill="1" applyAlignment="1">
      <alignment horizontal="center"/>
    </xf>
    <xf numFmtId="0" fontId="6" fillId="3" borderId="0" xfId="0" applyFont="1" applyFill="1" applyAlignment="1">
      <alignment horizontal="center"/>
    </xf>
    <xf numFmtId="0" fontId="0" fillId="3" borderId="16" xfId="0" applyFont="1" applyFill="1" applyBorder="1" applyAlignment="1">
      <alignment horizontal="center" vertical="center"/>
    </xf>
    <xf numFmtId="0" fontId="0" fillId="3" borderId="17" xfId="0" applyFont="1" applyFill="1" applyBorder="1" applyAlignment="1">
      <alignment horizontal="center" vertical="center"/>
    </xf>
    <xf numFmtId="0" fontId="0" fillId="3" borderId="18" xfId="0" applyFont="1" applyFill="1" applyBorder="1" applyAlignment="1">
      <alignment horizontal="center" vertical="center"/>
    </xf>
    <xf numFmtId="0" fontId="0" fillId="3" borderId="19" xfId="0" applyFont="1" applyFill="1" applyBorder="1" applyAlignment="1">
      <alignment horizontal="center" vertical="center"/>
    </xf>
    <xf numFmtId="0" fontId="0" fillId="3" borderId="20" xfId="0" applyFont="1" applyFill="1" applyBorder="1" applyAlignment="1">
      <alignment horizontal="center" vertical="center"/>
    </xf>
    <xf numFmtId="0" fontId="0" fillId="3" borderId="29" xfId="0" applyFont="1" applyFill="1" applyBorder="1" applyAlignment="1">
      <alignment horizontal="center" vertical="center"/>
    </xf>
    <xf numFmtId="0" fontId="0" fillId="3" borderId="31" xfId="0" applyFont="1" applyFill="1" applyBorder="1" applyAlignment="1">
      <alignment horizontal="center" vertical="center"/>
    </xf>
    <xf numFmtId="0" fontId="0" fillId="3" borderId="35" xfId="0" applyFont="1" applyFill="1" applyBorder="1" applyAlignment="1">
      <alignment horizontal="center" vertical="center"/>
    </xf>
  </cellXfs>
  <cellStyles count="5">
    <cellStyle name="Comma" xfId="1" builtinId="3"/>
    <cellStyle name="Hyperlink" xfId="4" builtinId="8"/>
    <cellStyle name="Neutral" xfId="3" builtinId="28"/>
    <cellStyle name="Normal" xfId="0" builtinId="0"/>
    <cellStyle name="Percent" xfId="2" builtinId="5"/>
  </cellStyles>
  <dxfs count="33">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mruColors>
      <color rgb="FFFFEB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Car</a:t>
            </a:r>
            <a:r>
              <a:rPr lang="en-US" baseline="0"/>
              <a:t> Deliveries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Revenue!$B$5</c:f>
              <c:strCache>
                <c:ptCount val="1"/>
                <c:pt idx="0">
                  <c:v>Model S</c:v>
                </c:pt>
              </c:strCache>
            </c:strRef>
          </c:tx>
          <c:spPr>
            <a:ln w="28575" cap="rnd">
              <a:solidFill>
                <a:schemeClr val="accent1"/>
              </a:solidFill>
              <a:round/>
            </a:ln>
            <a:effectLst/>
          </c:spPr>
          <c:marker>
            <c:symbol val="none"/>
          </c:marker>
          <c:val>
            <c:numRef>
              <c:f>Revenue!$C$5:$M$5</c:f>
              <c:numCache>
                <c:formatCode>#,##0</c:formatCode>
                <c:ptCount val="9"/>
                <c:pt idx="0">
                  <c:v>50.7</c:v>
                </c:pt>
                <c:pt idx="1">
                  <c:v>34.299999999999997</c:v>
                </c:pt>
                <c:pt idx="2">
                  <c:v>28.535499999999999</c:v>
                </c:pt>
                <c:pt idx="3">
                  <c:v>22.940999999999999</c:v>
                </c:pt>
                <c:pt idx="4">
                  <c:v>30</c:v>
                </c:pt>
                <c:pt idx="5">
                  <c:v>40</c:v>
                </c:pt>
                <c:pt idx="6">
                  <c:v>50</c:v>
                </c:pt>
                <c:pt idx="7">
                  <c:v>60</c:v>
                </c:pt>
                <c:pt idx="8">
                  <c:v>70</c:v>
                </c:pt>
              </c:numCache>
            </c:numRef>
          </c:val>
          <c:smooth val="0"/>
          <c:extLst>
            <c:ext xmlns:c16="http://schemas.microsoft.com/office/drawing/2014/chart" uri="{C3380CC4-5D6E-409C-BE32-E72D297353CC}">
              <c16:uniqueId val="{00000000-D81A-5F4F-B76E-D29A5AAF274D}"/>
            </c:ext>
          </c:extLst>
        </c:ser>
        <c:ser>
          <c:idx val="1"/>
          <c:order val="1"/>
          <c:tx>
            <c:strRef>
              <c:f>Revenue!$B$6</c:f>
              <c:strCache>
                <c:ptCount val="1"/>
                <c:pt idx="0">
                  <c:v>Model X</c:v>
                </c:pt>
              </c:strCache>
            </c:strRef>
          </c:tx>
          <c:spPr>
            <a:ln w="28575" cap="rnd">
              <a:solidFill>
                <a:schemeClr val="accent2"/>
              </a:solidFill>
              <a:round/>
            </a:ln>
            <a:effectLst/>
          </c:spPr>
          <c:marker>
            <c:symbol val="none"/>
          </c:marker>
          <c:val>
            <c:numRef>
              <c:f>Revenue!$C$6:$M$6</c:f>
              <c:numCache>
                <c:formatCode>#,##0</c:formatCode>
                <c:ptCount val="9"/>
                <c:pt idx="0">
                  <c:v>48.7</c:v>
                </c:pt>
                <c:pt idx="1">
                  <c:v>32.4</c:v>
                </c:pt>
                <c:pt idx="2">
                  <c:v>27.513999999999999</c:v>
                </c:pt>
                <c:pt idx="3">
                  <c:v>2.3069999999999999</c:v>
                </c:pt>
                <c:pt idx="4">
                  <c:v>20</c:v>
                </c:pt>
                <c:pt idx="5">
                  <c:v>30</c:v>
                </c:pt>
                <c:pt idx="6">
                  <c:v>40</c:v>
                </c:pt>
                <c:pt idx="7">
                  <c:v>50</c:v>
                </c:pt>
                <c:pt idx="8">
                  <c:v>60</c:v>
                </c:pt>
              </c:numCache>
            </c:numRef>
          </c:val>
          <c:smooth val="0"/>
          <c:extLst>
            <c:ext xmlns:c16="http://schemas.microsoft.com/office/drawing/2014/chart" uri="{C3380CC4-5D6E-409C-BE32-E72D297353CC}">
              <c16:uniqueId val="{00000001-D81A-5F4F-B76E-D29A5AAF274D}"/>
            </c:ext>
          </c:extLst>
        </c:ser>
        <c:ser>
          <c:idx val="2"/>
          <c:order val="2"/>
          <c:tx>
            <c:strRef>
              <c:f>Revenue!$B$7</c:f>
              <c:strCache>
                <c:ptCount val="1"/>
                <c:pt idx="0">
                  <c:v>Model 3</c:v>
                </c:pt>
              </c:strCache>
            </c:strRef>
          </c:tx>
          <c:spPr>
            <a:ln w="28575" cap="rnd">
              <a:solidFill>
                <a:schemeClr val="accent3"/>
              </a:solidFill>
              <a:round/>
            </a:ln>
            <a:effectLst/>
          </c:spPr>
          <c:marker>
            <c:symbol val="none"/>
          </c:marker>
          <c:val>
            <c:numRef>
              <c:f>Revenue!$C$7:$M$7</c:f>
              <c:numCache>
                <c:formatCode>#,##0</c:formatCode>
                <c:ptCount val="9"/>
                <c:pt idx="0">
                  <c:v>146.1</c:v>
                </c:pt>
                <c:pt idx="1">
                  <c:v>300.89999999999998</c:v>
                </c:pt>
                <c:pt idx="2">
                  <c:v>364.42099999999999</c:v>
                </c:pt>
                <c:pt idx="3">
                  <c:v>487.64600000000002</c:v>
                </c:pt>
                <c:pt idx="4">
                  <c:v>650</c:v>
                </c:pt>
                <c:pt idx="5">
                  <c:v>900</c:v>
                </c:pt>
                <c:pt idx="6">
                  <c:v>1200</c:v>
                </c:pt>
                <c:pt idx="7">
                  <c:v>1400</c:v>
                </c:pt>
                <c:pt idx="8">
                  <c:v>1500</c:v>
                </c:pt>
              </c:numCache>
            </c:numRef>
          </c:val>
          <c:smooth val="0"/>
          <c:extLst>
            <c:ext xmlns:c16="http://schemas.microsoft.com/office/drawing/2014/chart" uri="{C3380CC4-5D6E-409C-BE32-E72D297353CC}">
              <c16:uniqueId val="{00000002-D81A-5F4F-B76E-D29A5AAF274D}"/>
            </c:ext>
          </c:extLst>
        </c:ser>
        <c:ser>
          <c:idx val="3"/>
          <c:order val="3"/>
          <c:tx>
            <c:strRef>
              <c:f>Revenue!$B$8</c:f>
              <c:strCache>
                <c:ptCount val="1"/>
                <c:pt idx="0">
                  <c:v>Model Y</c:v>
                </c:pt>
              </c:strCache>
            </c:strRef>
          </c:tx>
          <c:spPr>
            <a:ln w="28575" cap="rnd">
              <a:solidFill>
                <a:schemeClr val="accent4"/>
              </a:solidFill>
              <a:round/>
            </a:ln>
            <a:effectLst/>
          </c:spPr>
          <c:marker>
            <c:symbol val="none"/>
          </c:marker>
          <c:val>
            <c:numRef>
              <c:f>Revenue!$C$8:$M$8</c:f>
              <c:numCache>
                <c:formatCode>#,##0</c:formatCode>
                <c:ptCount val="9"/>
                <c:pt idx="2">
                  <c:v>80</c:v>
                </c:pt>
                <c:pt idx="3">
                  <c:v>434.06599999999997</c:v>
                </c:pt>
                <c:pt idx="4">
                  <c:v>800</c:v>
                </c:pt>
                <c:pt idx="5">
                  <c:v>1250</c:v>
                </c:pt>
                <c:pt idx="6">
                  <c:v>1700</c:v>
                </c:pt>
                <c:pt idx="7">
                  <c:v>1800</c:v>
                </c:pt>
                <c:pt idx="8">
                  <c:v>1925</c:v>
                </c:pt>
              </c:numCache>
            </c:numRef>
          </c:val>
          <c:smooth val="0"/>
          <c:extLst>
            <c:ext xmlns:c16="http://schemas.microsoft.com/office/drawing/2014/chart" uri="{C3380CC4-5D6E-409C-BE32-E72D297353CC}">
              <c16:uniqueId val="{00000003-D81A-5F4F-B76E-D29A5AAF274D}"/>
            </c:ext>
          </c:extLst>
        </c:ser>
        <c:ser>
          <c:idx val="4"/>
          <c:order val="4"/>
          <c:tx>
            <c:strRef>
              <c:f>Revenue!$B$9</c:f>
              <c:strCache>
                <c:ptCount val="1"/>
                <c:pt idx="0">
                  <c:v>Total Unit</c:v>
                </c:pt>
              </c:strCache>
            </c:strRef>
          </c:tx>
          <c:spPr>
            <a:ln w="28575" cap="rnd">
              <a:solidFill>
                <a:schemeClr val="accent5"/>
              </a:solidFill>
              <a:round/>
            </a:ln>
            <a:effectLst/>
          </c:spPr>
          <c:marker>
            <c:symbol val="none"/>
          </c:marker>
          <c:val>
            <c:numRef>
              <c:f>Revenue!$C$9:$M$9</c:f>
              <c:numCache>
                <c:formatCode>#,##0</c:formatCode>
                <c:ptCount val="9"/>
                <c:pt idx="0">
                  <c:v>245.5</c:v>
                </c:pt>
                <c:pt idx="1">
                  <c:v>367.59999999999997</c:v>
                </c:pt>
                <c:pt idx="2">
                  <c:v>500.47050000000002</c:v>
                </c:pt>
                <c:pt idx="3">
                  <c:v>946.96</c:v>
                </c:pt>
                <c:pt idx="4">
                  <c:v>1500</c:v>
                </c:pt>
                <c:pt idx="5">
                  <c:v>2220</c:v>
                </c:pt>
                <c:pt idx="6">
                  <c:v>2990</c:v>
                </c:pt>
                <c:pt idx="7">
                  <c:v>3310</c:v>
                </c:pt>
                <c:pt idx="8">
                  <c:v>3555</c:v>
                </c:pt>
              </c:numCache>
            </c:numRef>
          </c:val>
          <c:smooth val="0"/>
          <c:extLst>
            <c:ext xmlns:c16="http://schemas.microsoft.com/office/drawing/2014/chart" uri="{C3380CC4-5D6E-409C-BE32-E72D297353CC}">
              <c16:uniqueId val="{00000004-D81A-5F4F-B76E-D29A5AAF274D}"/>
            </c:ext>
          </c:extLst>
        </c:ser>
        <c:dLbls>
          <c:showLegendKey val="0"/>
          <c:showVal val="0"/>
          <c:showCatName val="0"/>
          <c:showSerName val="0"/>
          <c:showPercent val="0"/>
          <c:showBubbleSize val="0"/>
        </c:dLbls>
        <c:smooth val="0"/>
        <c:axId val="1850112239"/>
        <c:axId val="1859442991"/>
      </c:lineChart>
      <c:catAx>
        <c:axId val="1850112239"/>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442991"/>
        <c:crosses val="autoZero"/>
        <c:auto val="1"/>
        <c:lblAlgn val="ctr"/>
        <c:lblOffset val="100"/>
        <c:noMultiLvlLbl val="0"/>
      </c:catAx>
      <c:valAx>
        <c:axId val="185944299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01122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16</xdr:col>
      <xdr:colOff>537308</xdr:colOff>
      <xdr:row>10</xdr:row>
      <xdr:rowOff>195386</xdr:rowOff>
    </xdr:from>
    <xdr:to>
      <xdr:col>24</xdr:col>
      <xdr:colOff>371232</xdr:colOff>
      <xdr:row>35</xdr:row>
      <xdr:rowOff>179755</xdr:rowOff>
    </xdr:to>
    <xdr:graphicFrame macro="">
      <xdr:nvGraphicFramePr>
        <xdr:cNvPr id="2" name="Chart 1">
          <a:extLst>
            <a:ext uri="{FF2B5EF4-FFF2-40B4-BE49-F238E27FC236}">
              <a16:creationId xmlns:a16="http://schemas.microsoft.com/office/drawing/2014/main" id="{0BB25660-82BC-5C4A-A5D6-50F697518A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15</xdr:col>
      <xdr:colOff>338667</xdr:colOff>
      <xdr:row>45</xdr:row>
      <xdr:rowOff>169334</xdr:rowOff>
    </xdr:from>
    <xdr:to>
      <xdr:col>30</xdr:col>
      <xdr:colOff>330201</xdr:colOff>
      <xdr:row>84</xdr:row>
      <xdr:rowOff>25400</xdr:rowOff>
    </xdr:to>
    <xdr:sp macro="" textlink="">
      <xdr:nvSpPr>
        <xdr:cNvPr id="2" name="TextBox 1">
          <a:extLst>
            <a:ext uri="{FF2B5EF4-FFF2-40B4-BE49-F238E27FC236}">
              <a16:creationId xmlns:a16="http://schemas.microsoft.com/office/drawing/2014/main" id="{A9385366-9B7F-5445-A710-01158100D9A4}"/>
            </a:ext>
          </a:extLst>
        </xdr:cNvPr>
        <xdr:cNvSpPr txBox="1"/>
      </xdr:nvSpPr>
      <xdr:spPr>
        <a:xfrm>
          <a:off x="15248467" y="9347201"/>
          <a:ext cx="11497734" cy="78147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Commentatry</a:t>
          </a:r>
        </a:p>
        <a:p>
          <a:endParaRPr lang="en-US" sz="1100"/>
        </a:p>
        <a:p>
          <a:r>
            <a:rPr lang="en-US" sz="1100"/>
            <a:t>Macro factors </a:t>
          </a:r>
        </a:p>
        <a:p>
          <a:r>
            <a:rPr lang="en-US" sz="1100"/>
            <a:t>Pros:</a:t>
          </a:r>
        </a:p>
        <a:p>
          <a:r>
            <a:rPr lang="en-US" sz="1100"/>
            <a:t>Biden</a:t>
          </a:r>
          <a:r>
            <a:rPr lang="en-US" sz="1100" baseline="0"/>
            <a:t> administreation favor green energy over oil - calling for greater adaption for EVs</a:t>
          </a:r>
        </a:p>
        <a:p>
          <a:r>
            <a:rPr lang="en-US" sz="1100" baseline="0"/>
            <a:t>Current Russian oil sanctions as well as global warmming - favor an energy alternative  </a:t>
          </a:r>
        </a:p>
        <a:p>
          <a:endParaRPr lang="en-US" sz="1100"/>
        </a:p>
        <a:p>
          <a:r>
            <a:rPr lang="en-US" sz="1100"/>
            <a:t>Cons:</a:t>
          </a:r>
        </a:p>
        <a:p>
          <a:r>
            <a:rPr lang="en-US" sz="1100"/>
            <a:t>Current supply chian disruptction and proposed interest rate</a:t>
          </a:r>
          <a:r>
            <a:rPr lang="en-US" sz="1100" baseline="0"/>
            <a:t> hikes - market risk off </a:t>
          </a:r>
          <a:endParaRPr lang="en-US" sz="1100"/>
        </a:p>
        <a:p>
          <a:endParaRPr lang="en-US" sz="1100"/>
        </a:p>
        <a:p>
          <a:r>
            <a:rPr lang="en-US" sz="1100"/>
            <a:t>Evaluate</a:t>
          </a:r>
        </a:p>
        <a:p>
          <a:r>
            <a:rPr lang="en-US" sz="1100"/>
            <a:t>1</a:t>
          </a:r>
          <a:r>
            <a:rPr lang="en-US" sz="1100" baseline="0"/>
            <a:t> delivery and supply chian: </a:t>
          </a:r>
        </a:p>
        <a:p>
          <a:r>
            <a:rPr lang="en-US" sz="1100"/>
            <a:t>Tesla's deliveries had 89% increase in 2021, reaching close to 1M cars delivered - signs of being </a:t>
          </a:r>
          <a:r>
            <a:rPr lang="en-US" sz="1100" baseline="0"/>
            <a:t>relatively easy in attating resources </a:t>
          </a:r>
        </a:p>
        <a:p>
          <a:endParaRPr lang="en-US" sz="1100" baseline="0"/>
        </a:p>
        <a:p>
          <a:r>
            <a:rPr lang="en-US" sz="1100" baseline="0"/>
            <a:t>2: profitability: </a:t>
          </a:r>
        </a:p>
        <a:p>
          <a:r>
            <a:rPr lang="en-US" sz="1100" baseline="0"/>
            <a:t>Since 2018 Q3, Tesla's EBITDA became positive (and with increasing EBITDA margin), in 2019 Q3, opertion income also became positive  -  a profitable company with growing cashflow generation </a:t>
          </a:r>
        </a:p>
        <a:p>
          <a:r>
            <a:rPr lang="en-US" sz="1100" baseline="0"/>
            <a:t>Also, the YoY growth in gross profit is higher than growth in revenue and operating expense (increasing operating margin) - stronger profitatbility and cost effciency </a:t>
          </a:r>
        </a:p>
        <a:p>
          <a:endParaRPr lang="en-US" sz="1100"/>
        </a:p>
        <a:p>
          <a:r>
            <a:rPr lang="en-US" sz="1100"/>
            <a:t>3. long-term protentials</a:t>
          </a:r>
        </a:p>
        <a:p>
          <a:r>
            <a:rPr lang="en-US" sz="1100"/>
            <a:t>Tesla</a:t>
          </a:r>
          <a:r>
            <a:rPr lang="en-US" sz="1100" baseline="0"/>
            <a:t> is disruptive and with exponential growth, none liner, when full self drive matures </a:t>
          </a:r>
        </a:p>
        <a:p>
          <a:endParaRPr lang="en-US" sz="1100"/>
        </a:p>
        <a:p>
          <a:r>
            <a:rPr lang="en-US" sz="1100"/>
            <a:t>Comparision</a:t>
          </a:r>
        </a:p>
        <a:p>
          <a:r>
            <a:rPr lang="en-US" sz="1100"/>
            <a:t>EV makers </a:t>
          </a:r>
        </a:p>
        <a:p>
          <a:pPr marL="0" marR="0" lvl="0" indent="0" defTabSz="914400" eaLnBrk="1" fontAlgn="auto" latinLnBrk="0" hangingPunct="1">
            <a:lnSpc>
              <a:spcPct val="100000"/>
            </a:lnSpc>
            <a:spcBef>
              <a:spcPts val="0"/>
            </a:spcBef>
            <a:spcAft>
              <a:spcPts val="0"/>
            </a:spcAft>
            <a:buClrTx/>
            <a:buSzTx/>
            <a:buFontTx/>
            <a:buNone/>
            <a:tabLst/>
            <a:defRPr/>
          </a:pPr>
          <a:r>
            <a:rPr lang="en-US" sz="1100"/>
            <a:t>1</a:t>
          </a:r>
          <a:r>
            <a:rPr lang="en-US" sz="1100" baseline="0"/>
            <a:t> delivery and supply chian: </a:t>
          </a:r>
        </a:p>
        <a:p>
          <a:pPr marL="0" marR="0" lvl="0" indent="0" defTabSz="914400" eaLnBrk="1" fontAlgn="auto" latinLnBrk="0" hangingPunct="1">
            <a:lnSpc>
              <a:spcPct val="100000"/>
            </a:lnSpc>
            <a:spcBef>
              <a:spcPts val="0"/>
            </a:spcBef>
            <a:spcAft>
              <a:spcPts val="0"/>
            </a:spcAft>
            <a:buClrTx/>
            <a:buSzTx/>
            <a:buFontTx/>
            <a:buNone/>
            <a:tabLst/>
            <a:defRPr/>
          </a:pPr>
          <a:r>
            <a:rPr lang="en-US" sz="1100"/>
            <a:t>The other biggest US EV companies, Lucid and Rivian,</a:t>
          </a:r>
          <a:r>
            <a:rPr lang="en-US" sz="1100" baseline="0"/>
            <a:t> b</a:t>
          </a:r>
          <a:r>
            <a:rPr lang="en-US" sz="1100"/>
            <a:t>oth undergo supply disruption,</a:t>
          </a:r>
          <a:r>
            <a:rPr lang="en-US" sz="1100" baseline="0"/>
            <a:t> and </a:t>
          </a:r>
          <a:r>
            <a:rPr lang="en-US" sz="1100"/>
            <a:t>deliveried about</a:t>
          </a:r>
          <a:r>
            <a:rPr lang="en-US" sz="1100" baseline="0"/>
            <a:t> 1000 cars in 2021 - increasing cost in attating resources </a:t>
          </a:r>
        </a:p>
        <a:p>
          <a:endParaRPr lang="en-US" sz="1100"/>
        </a:p>
        <a:p>
          <a:r>
            <a:rPr lang="en-US" sz="1100"/>
            <a:t>2</a:t>
          </a:r>
          <a:r>
            <a:rPr lang="en-US" sz="1100" baseline="0"/>
            <a:t> </a:t>
          </a:r>
          <a:r>
            <a:rPr lang="en-US" sz="1100"/>
            <a:t>profitablity:</a:t>
          </a:r>
          <a:r>
            <a:rPr lang="en-US" sz="1100" baseline="0"/>
            <a:t> </a:t>
          </a:r>
        </a:p>
        <a:p>
          <a:r>
            <a:rPr lang="en-US" sz="1100" baseline="0"/>
            <a:t>These companies </a:t>
          </a:r>
          <a:r>
            <a:rPr lang="en-US" sz="1100"/>
            <a:t>has not been profitable (negative</a:t>
          </a:r>
          <a:r>
            <a:rPr lang="en-US" sz="1100" baseline="0"/>
            <a:t> gross margin) - </a:t>
          </a:r>
          <a:r>
            <a:rPr lang="en-US" sz="1100"/>
            <a:t> stock prices has fallen to record lows under capital market risk off</a:t>
          </a:r>
          <a:r>
            <a:rPr lang="en-US" sz="1100" baseline="0"/>
            <a:t> </a:t>
          </a:r>
          <a:endParaRPr lang="en-US" sz="1100"/>
        </a:p>
        <a:p>
          <a:endParaRPr lang="en-US" sz="1100"/>
        </a:p>
        <a:p>
          <a:r>
            <a:rPr lang="en-US" sz="1100"/>
            <a:t>Tradnitiaonal</a:t>
          </a:r>
          <a:r>
            <a:rPr lang="en-US" sz="1100" baseline="0"/>
            <a:t> car makers</a:t>
          </a:r>
        </a:p>
        <a:p>
          <a:endParaRPr lang="en-US" sz="1100" baseline="0"/>
        </a:p>
        <a:p>
          <a:endParaRPr lang="en-US" sz="1100" baseline="0"/>
        </a:p>
        <a:p>
          <a:endParaRPr lang="en-US" sz="1100"/>
        </a:p>
        <a:p>
          <a:r>
            <a:rPr lang="en-US" sz="1100"/>
            <a:t>Conclusion</a:t>
          </a:r>
        </a:p>
        <a:p>
          <a:r>
            <a:rPr lang="en-US" sz="1100"/>
            <a:t>1. Tesla</a:t>
          </a:r>
          <a:r>
            <a:rPr lang="en-US" sz="1100" baseline="0"/>
            <a:t> is the only US EV company that has demostraetd profitablity, others are concept stocks with increasing costs, not favored under market risk off </a:t>
          </a:r>
        </a:p>
        <a:p>
          <a:r>
            <a:rPr lang="en-US" sz="1100" baseline="0"/>
            <a:t>2. Testal is still a risky investment due to high volatility and high valuation multiples, but risks are counteracted by it's exponential growth potential</a:t>
          </a:r>
        </a:p>
        <a:p>
          <a:r>
            <a:rPr lang="en-US" sz="1100" baseline="0"/>
            <a:t>3. Given a entry price of $450, I recommend hold at current price of 800, and buy if price fell below 700</a:t>
          </a:r>
        </a:p>
        <a:p>
          <a:r>
            <a:rPr lang="en-US" sz="1100" baseline="0"/>
            <a:t>4. Sell when delivery slows, re-evaluate when Biden withdraw EV adaption and when other competitors get ahead of FSD technology </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Qin Liu" id="{B8F391EE-7D78-864C-942F-B4C55F6B2D2F}" userId="S::ql2373@columbia.edu::78896682-b43a-42b2-b16b-874ca3b2fa3c" providerId="AD"/>
</personList>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https://www.bing.com/financeapi/forcetrigger?t=r6dwra&amp;q=US10Y&amp;form=skydnc</v>
    <v>Learn more on Bing</v>
  </rv>
  <rv s="1">
    <v>0</v>
    <v>US Treasury 10Y</v>
    <v>2</v>
    <v>3</v>
    <v>Finance</v>
    <v>4</v>
    <v>en-US</v>
    <v>r6dwra</v>
    <v>268435456</v>
    <v>1</v>
    <v>Powered by Refinitiv</v>
    <v>-0.85940000000000005</v>
    <v>-8.4969999999999993E-3</v>
    <v>US</v>
    <v>USD</v>
    <v>Bond</v>
    <v>44628.902569444443</v>
    <v>0</v>
    <v>48259</v>
    <v>US Treasury 10Y</v>
    <v>101.14060000000001</v>
    <v>100.2813</v>
    <v>US10Y</v>
    <v>US Treasury 10Y</v>
    <v>1.916E-2</v>
    <v>1.839E-2</v>
    <v>1.5939999999999999E-2</v>
    <v>1.7219999999999999E-2</v>
  </rv>
  <rv s="2">
    <v>1</v>
  </rv>
  <rv s="0">
    <v>https://www.bing.com/financeapi/forcetrigger?t=a24kar&amp;q=XNAS%3aTSLA&amp;form=skydnc</v>
    <v>Learn more on Bing</v>
  </rv>
  <rv s="3">
    <v>5</v>
    <v>TESLA, INC. (XNAS:TSLA)</v>
    <v>6</v>
    <v>7</v>
    <v>Finance</v>
    <v>8</v>
    <v>en-US</v>
    <v>a24kar</v>
    <v>268435456</v>
    <v>1</v>
    <v>Powered by Refinitiv</v>
    <v>1243.49</v>
    <v>546.98</v>
    <v>2.0724999999999998</v>
    <v>19.82</v>
    <v>2.4634E-2</v>
    <v>-4.49</v>
    <v>-5.4459999999999995E-3</v>
    <v>USD</v>
    <v>Tesla, Inc. designs, develops, manufactures, sells and leases electric vehicles and energy generation and storage systems, and offers services related to its sustainable energy products. The Company's segments include automotive, and energy generation and storage. The automotive segment includes the design, development, manufacturing, sales and leasing of electric vehicles as well as sales of automotive regulatory credits. The energy generation and storage segment include the design, manufacture, installation, sales and leasing of solar energy systems and energy storage products, services related to its products, and sales of solar energy system incentives. Its automotive products include Model 3, Model Y, Model S and Model X. Model 3 is a four-door sedan. Model Y is a sport utility vehicle (SUV) built on the Model 3 platform. Model S is a four-door sedan. Model X is an SUV. The Company's energy storage products include Powerwall, Powerpack and Megapack.</v>
    <v>99290</v>
    <v>Nasdaq Stock Market</v>
    <v>XNAS</v>
    <v>XNAS</v>
    <v>13101 Harold Green Road, AUSTIN, TX, 78725 US</v>
    <v>849.99</v>
    <v>Automobiles &amp; Auto Parts</v>
    <v>Stock</v>
    <v>44628.906709883595</v>
    <v>3</v>
    <v>782.17</v>
    <v>852023995200</v>
    <v>TESLA, INC.</v>
    <v>TESLA, INC.</v>
    <v>795.53</v>
    <v>163.4787</v>
    <v>804.58</v>
    <v>824.4</v>
    <v>819.91</v>
    <v>1033508000</v>
    <v>TSLA</v>
    <v>TESLA, INC. (XNAS:TSLA)</v>
    <v>26674037</v>
    <v>24621797</v>
    <v>2003</v>
  </rv>
  <rv s="2">
    <v>4</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spb>
    <spb s="3">
      <v>1</v>
      <v>2</v>
      <v>2</v>
      <v>3</v>
      <v>4</v>
      <v>2</v>
      <v>5</v>
      <v>4</v>
      <v>4</v>
      <v>4</v>
      <v>4</v>
      <v>6</v>
    </spb>
    <spb s="4">
      <v>GMT</v>
    </spb>
    <spb s="0">
      <v>1</v>
      <v>Name</v>
      <v>LearnMoreOnLink</v>
    </spb>
    <spb s="5">
      <v>1</v>
      <v>1</v>
      <v>1</v>
      <v>1</v>
    </spb>
    <spb s="6">
      <v>2</v>
      <v>7</v>
      <v>7</v>
      <v>2</v>
      <v>1</v>
      <v>2</v>
      <v>2</v>
      <v>2</v>
      <v>8</v>
      <v>8</v>
      <v>4</v>
      <v>9</v>
      <v>2</v>
      <v>2</v>
      <v>2</v>
      <v>8</v>
      <v>5</v>
      <v>10</v>
      <v>6</v>
      <v>8</v>
      <v>2</v>
      <v>2</v>
      <v>4</v>
    </spb>
    <spb s="7">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8">
  <s>
    <k n="^Order" t="spba"/>
    <k n="TitleProperty" t="s"/>
    <k n="SubTitleProperty" t="s"/>
  </s>
  <s>
    <k n="ShowInCardView" t="b"/>
    <k n="ShowInDotNotation" t="b"/>
    <k n="ShowInAutoComplete" t="b"/>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0" formatCode="General"/>
    </x:dxf>
    <x:dxf>
      <x:numFmt numFmtId="19" formatCode="m/d/yy"/>
    </x:dxf>
    <x:dxf>
      <x:numFmt numFmtId="14" formatCode="0.00%"/>
    </x:dxf>
    <x:dxf>
      <x:numFmt numFmtId="27" formatCode="m/d/yy\ h:mm"/>
    </x:dxf>
    <x:dxf>
      <x:numFmt numFmtId="2" formatCode="0.00"/>
    </x:dxf>
    <x:dxf>
      <x:numFmt numFmtId="4" formatCode="#,##0.00"/>
    </x:dxf>
    <x:dxf>
      <x:numFmt numFmtId="3" formatCode="#,##0"/>
    </x:dxf>
    <x:dxf>
      <x:numFmt numFmtId="1" formatCode="0"/>
    </x:dxf>
  </dxfs>
  <richProperties>
    <rPr n="IsTitleField" t="b"/>
    <rPr n="NumberFormat" t="s"/>
  </richProperties>
  <richStyles>
    <rSty>
      <rpv i="0">1</rpv>
    </rSty>
    <rSty dxfid="0">
      <rpv i="1">_([$$-en-US]* #,##0.00_);_([$$-en-US]* (#,##0.00);_([$$-en-US]* "-"??_);_(@_)</rpv>
    </rSty>
    <rSty dxfid="1"/>
    <rSty dxfid="2"/>
    <rSty dxfid="3"/>
    <rSty dxfid="4">
      <rpv i="1">0.00</rpv>
    </rSty>
    <rSty dxfid="5">
      <rpv i="1">#,##0.00</rpv>
    </rSty>
    <rSty dxfid="6">
      <rpv i="1">#,##0</rpv>
    </rSty>
    <rSty dxfid="0">
      <rpv i="1">_([$$-en-US]* #,##0_);_([$$-en-US]* (#,##0);_([$$-en-US]* "-"_);_(@_)</rpv>
    </rSty>
    <rSty dxfid="7">
      <rpv i="1">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0" dT="2022-02-17T04:57:22.10" personId="{B8F391EE-7D78-864C-942F-B4C55F6B2D2F}" id="{8568886A-E766-7844-A8CF-11EFF6D85465}">
    <text xml:space="preserve">very bad and irregular year, exclude 2016~2017
</text>
  </threadedComment>
  <threadedComment ref="B18" dT="2022-02-17T03:56:19.40" personId="{B8F391EE-7D78-864C-942F-B4C55F6B2D2F}" id="{A1950392-E495-BF47-9E9F-A1C8F1417553}">
    <text xml:space="preserve">use tax provision?
</text>
  </threadedComment>
</ThreadedComments>
</file>

<file path=xl/threadedComments/threadedComment2.xml><?xml version="1.0" encoding="utf-8"?>
<ThreadedComments xmlns="http://schemas.microsoft.com/office/spreadsheetml/2018/threadedcomments" xmlns:x="http://schemas.openxmlformats.org/spreadsheetml/2006/main">
  <threadedComment ref="D10" dT="2022-02-17T04:52:59.19" personId="{B8F391EE-7D78-864C-942F-B4C55F6B2D2F}" id="{B55D1FD2-124E-7B4C-A8DD-F39C2806407D}">
    <text>rarely bad year, ignore?</text>
  </threadedComment>
  <threadedComment ref="T29" dT="2022-02-27T00:12:46.50" personId="{B8F391EE-7D78-864C-942F-B4C55F6B2D2F}" id="{E93A2F9F-1177-9C4B-BEE0-32941EF37364}">
    <text xml:space="preserve">这一年的shares不统一 19年的表显示177， 21年的表显示887 见sheet1
</text>
  </threadedComment>
  <threadedComment ref="I30" dT="2022-02-17T04:47:55.11" personId="{B8F391EE-7D78-864C-942F-B4C55F6B2D2F}" id="{18A2B793-9A60-0D4D-B7D8-ED326F66A5AD}">
    <text xml:space="preserve">negative number - adjusted by using only past 4 years 
</text>
  </threadedComment>
  <threadedComment ref="G42" dT="2022-02-17T05:20:19.63" personId="{B8F391EE-7D78-864C-942F-B4C55F6B2D2F}" id="{9814490C-E085-034F-979B-B7D5A7C29FD2}">
    <text xml:space="preserve">遇到有些减小的负数 手动调整吗
</text>
  </threadedComment>
  <threadedComment ref="B48" dT="2022-02-22T00:55:30.41" personId="{B8F391EE-7D78-864C-942F-B4C55F6B2D2F}" id="{742676E8-BE6B-E841-8564-EC7E53808807}">
    <text xml:space="preserve">ignore?
</text>
  </threadedComment>
  <threadedComment ref="B87" dT="2022-02-25T01:19:12.52" personId="{B8F391EE-7D78-864C-942F-B4C55F6B2D2F}" id="{42480A5F-5406-DD4E-9E7B-EA70635B87A2}">
    <text>diff with comprehensive income on income statement?</text>
  </threadedComment>
  <threadedComment ref="E91" dT="2022-03-05T01:34:22.36" personId="{B8F391EE-7D78-864C-942F-B4C55F6B2D2F}" id="{BC0DC706-1BFA-EA42-ADF5-766AF6E86F44}">
    <text>historical dont balance</text>
  </threadedComment>
  <threadedComment ref="B95" dT="2022-02-21T23:55:08.80" personId="{B8F391EE-7D78-864C-942F-B4C55F6B2D2F}" id="{48507F03-E342-B647-82F9-304DF4029F86}">
    <text xml:space="preserve">怎么理解turnover ratio and days
</text>
  </threadedComment>
  <threadedComment ref="B117" dT="2022-02-27T00:57:10.64" personId="{B8F391EE-7D78-864C-942F-B4C55F6B2D2F}" id="{FA6E1852-9977-DE4A-BCCF-5769CD0319DC}">
    <text>是不是笔记之外的其他项目直接不考虑了?  然后重新计算最后的汇总</text>
  </threadedComment>
  <threadedComment ref="B117" dT="2022-02-27T00:58:06.92" personId="{B8F391EE-7D78-864C-942F-B4C55F6B2D2F}" id="{10A32A9F-4A81-7443-98CA-728023F22129}" parentId="{FA6E1852-9977-DE4A-BCCF-5769CD0319DC}">
    <text>还有很多其他项目 数额会不会相差太大了？</text>
  </threadedComment>
  <threadedComment ref="B133" dT="2022-02-22T02:21:48.90" personId="{B8F391EE-7D78-864C-942F-B4C55F6B2D2F}" id="{7D9F76E9-5DE1-7C40-8784-EAB1E71FA2D8}">
    <text>grey are original, but  do not match with number calculating from balance sheet
also, lease vehicles is not current asset? see picture, listed after total current asset</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www.sec.gov/Archives/edgar/data/1318605/000095017022000796/tsla-20211231.htm" TargetMode="External"/><Relationship Id="rId1" Type="http://schemas.openxmlformats.org/officeDocument/2006/relationships/hyperlink" Target="https://www.sec.gov/Archives/edgar/data/1318605/000156459020004475/tsla-10k_20191231.htm"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11C88-4933-6148-BE37-B9306B264DFB}">
  <dimension ref="B2:W78"/>
  <sheetViews>
    <sheetView tabSelected="1" topLeftCell="A21" zoomScale="110" zoomScaleNormal="110" workbookViewId="0">
      <selection activeCell="K80" sqref="K80"/>
    </sheetView>
  </sheetViews>
  <sheetFormatPr baseColWidth="10" defaultRowHeight="16" x14ac:dyDescent="0.2"/>
  <cols>
    <col min="1" max="1" width="13.33203125" style="14" customWidth="1"/>
    <col min="2" max="3" width="10.5" style="14" customWidth="1"/>
    <col min="4" max="4" width="11" style="14" customWidth="1"/>
    <col min="5" max="5" width="10.83203125" style="14" customWidth="1"/>
    <col min="6" max="6" width="9.83203125" style="14" customWidth="1"/>
    <col min="7" max="18" width="10.83203125" style="14"/>
    <col min="19" max="19" width="10.5" style="14" customWidth="1"/>
    <col min="20" max="20" width="10.83203125" style="14"/>
    <col min="21" max="21" width="13.33203125" style="14" bestFit="1" customWidth="1"/>
    <col min="22" max="22" width="14.33203125" style="14" bestFit="1" customWidth="1"/>
    <col min="23" max="28" width="10.83203125" style="14"/>
    <col min="29" max="29" width="11.6640625" style="14" bestFit="1" customWidth="1"/>
    <col min="30" max="16384" width="10.83203125" style="14"/>
  </cols>
  <sheetData>
    <row r="2" spans="2:19" x14ac:dyDescent="0.2">
      <c r="B2" s="10" t="s">
        <v>174</v>
      </c>
      <c r="C2" s="10"/>
      <c r="D2" s="10"/>
    </row>
    <row r="4" spans="2:19" x14ac:dyDescent="0.2">
      <c r="B4" s="158" t="s">
        <v>175</v>
      </c>
      <c r="C4" s="158"/>
      <c r="D4" s="158"/>
      <c r="E4" s="159">
        <v>2016</v>
      </c>
      <c r="F4" s="159">
        <v>2017</v>
      </c>
      <c r="G4" s="159">
        <v>2018</v>
      </c>
      <c r="H4" s="159">
        <v>2019</v>
      </c>
      <c r="I4" s="159">
        <v>2020</v>
      </c>
      <c r="J4" s="159">
        <v>2021</v>
      </c>
      <c r="K4" s="160">
        <v>2022</v>
      </c>
      <c r="L4" s="160">
        <v>2023</v>
      </c>
      <c r="M4" s="160">
        <v>2024</v>
      </c>
      <c r="N4" s="160">
        <v>2025</v>
      </c>
      <c r="O4" s="160">
        <v>2026</v>
      </c>
      <c r="Q4" s="239" t="s">
        <v>176</v>
      </c>
      <c r="R4" s="239"/>
      <c r="S4" s="239"/>
    </row>
    <row r="5" spans="2:19" x14ac:dyDescent="0.2">
      <c r="B5" s="14" t="s">
        <v>177</v>
      </c>
      <c r="E5" s="167">
        <f>Revenue!C28</f>
        <v>7000.1320000000005</v>
      </c>
      <c r="F5" s="167">
        <f>Revenue!D28</f>
        <v>11758.751</v>
      </c>
      <c r="G5" s="167">
        <f>Revenue!E28</f>
        <v>21461.268</v>
      </c>
      <c r="H5" s="167">
        <f>Revenue!F28</f>
        <v>24578</v>
      </c>
      <c r="I5" s="167">
        <f>Revenue!G28</f>
        <v>31536</v>
      </c>
      <c r="J5" s="167">
        <f>Revenue!H28</f>
        <v>53823</v>
      </c>
      <c r="K5" s="167">
        <f>Revenue!I28</f>
        <v>96841.431523177846</v>
      </c>
      <c r="L5" s="167">
        <f>Revenue!J28</f>
        <v>142849.8256393816</v>
      </c>
      <c r="M5" s="167">
        <f>Revenue!K28</f>
        <v>194198.60210108568</v>
      </c>
      <c r="N5" s="167">
        <f>Revenue!L28</f>
        <v>225028.96979187263</v>
      </c>
      <c r="O5" s="167">
        <f>Revenue!M28</f>
        <v>260101.1364766956</v>
      </c>
      <c r="Q5" s="14" t="s">
        <v>178</v>
      </c>
      <c r="R5" s="10"/>
      <c r="S5" s="26" cm="1">
        <f t="array" ref="S5">_FV(Q16,"Yield yesterday",TRUE)</f>
        <v>1.7219999999999999E-2</v>
      </c>
    </row>
    <row r="6" spans="2:19" x14ac:dyDescent="0.2">
      <c r="B6" s="19" t="s">
        <v>179</v>
      </c>
      <c r="C6" s="19"/>
      <c r="D6" s="19"/>
      <c r="E6" s="121"/>
      <c r="F6" s="122">
        <f>F5/E5-1</f>
        <v>0.67978989539054391</v>
      </c>
      <c r="G6" s="26"/>
      <c r="H6" s="26">
        <f t="shared" ref="H6:O6" si="0">H5/G5-1</f>
        <v>0.14522590184326489</v>
      </c>
      <c r="I6" s="26">
        <f t="shared" si="0"/>
        <v>0.28309870615998056</v>
      </c>
      <c r="J6" s="26">
        <f t="shared" si="0"/>
        <v>0.70671613394216126</v>
      </c>
      <c r="K6" s="26">
        <f t="shared" si="0"/>
        <v>0.79925740897344721</v>
      </c>
      <c r="L6" s="26">
        <f t="shared" si="0"/>
        <v>0.47508998362123744</v>
      </c>
      <c r="M6" s="26">
        <f t="shared" si="0"/>
        <v>0.35945984695376465</v>
      </c>
      <c r="N6" s="26">
        <f t="shared" si="0"/>
        <v>0.1587568981301879</v>
      </c>
      <c r="O6" s="26">
        <f t="shared" si="0"/>
        <v>0.15585622916578656</v>
      </c>
      <c r="Q6" s="14" t="s">
        <v>180</v>
      </c>
      <c r="R6" s="10"/>
      <c r="S6" s="123" cm="1">
        <f t="array" ref="S6">_FV(Q17,"Beta")</f>
        <v>2.0724999999999998</v>
      </c>
    </row>
    <row r="7" spans="2:19" x14ac:dyDescent="0.2">
      <c r="E7" s="121"/>
      <c r="F7" s="121"/>
      <c r="Q7" s="14" t="s">
        <v>181</v>
      </c>
      <c r="R7" s="10"/>
      <c r="S7" s="12">
        <v>0.1</v>
      </c>
    </row>
    <row r="8" spans="2:19" x14ac:dyDescent="0.2">
      <c r="B8" s="14" t="s">
        <v>41</v>
      </c>
      <c r="E8" s="24">
        <f t="shared" ref="E8:F8" si="1">E14+E12</f>
        <v>279.7589999999999</v>
      </c>
      <c r="F8" s="24">
        <f t="shared" si="1"/>
        <v>3.9170000000001437</v>
      </c>
      <c r="G8" s="24">
        <f>G14+G12</f>
        <v>1512.9769999999999</v>
      </c>
      <c r="H8" s="24">
        <f>H14+H12</f>
        <v>2085</v>
      </c>
      <c r="I8" s="24">
        <f t="shared" ref="I8:N8" si="2">I14+I12</f>
        <v>4316</v>
      </c>
      <c r="J8" s="24">
        <f t="shared" si="2"/>
        <v>9434</v>
      </c>
      <c r="K8" s="24">
        <f>K14+K12</f>
        <v>14163.865080043357</v>
      </c>
      <c r="L8" s="24">
        <f t="shared" si="2"/>
        <v>20892.975508934578</v>
      </c>
      <c r="M8" s="24">
        <f t="shared" si="2"/>
        <v>28403.161287784955</v>
      </c>
      <c r="N8" s="24">
        <f t="shared" si="2"/>
        <v>32912.359070925129</v>
      </c>
      <c r="O8" s="24">
        <f>O14+O12</f>
        <v>38041.955248669896</v>
      </c>
      <c r="Q8" s="14" t="s">
        <v>182</v>
      </c>
      <c r="R8" s="10"/>
      <c r="S8" s="11">
        <f>-'Financial Statements'!H22</f>
        <v>3.5741811175337188E-2</v>
      </c>
    </row>
    <row r="9" spans="2:19" x14ac:dyDescent="0.2">
      <c r="B9" s="19" t="s">
        <v>183</v>
      </c>
      <c r="C9" s="19"/>
      <c r="D9" s="19"/>
      <c r="E9" s="180">
        <f>E8/E5</f>
        <v>3.9964817806292775E-2</v>
      </c>
      <c r="F9" s="180">
        <f t="shared" ref="F9:O9" si="3">F8/F5</f>
        <v>3.3311361045064599E-4</v>
      </c>
      <c r="G9" s="26">
        <f t="shared" si="3"/>
        <v>7.0498024627435804E-2</v>
      </c>
      <c r="H9" s="26">
        <f t="shared" si="3"/>
        <v>8.4831963544633418E-2</v>
      </c>
      <c r="I9" s="26">
        <f t="shared" si="3"/>
        <v>0.13685946220192796</v>
      </c>
      <c r="J9" s="26">
        <f t="shared" si="3"/>
        <v>0.17527822678037269</v>
      </c>
      <c r="K9" s="26">
        <f t="shared" si="3"/>
        <v>0.14625831999037936</v>
      </c>
      <c r="L9" s="26">
        <f t="shared" si="3"/>
        <v>0.14625831999037942</v>
      </c>
      <c r="M9" s="26">
        <f t="shared" si="3"/>
        <v>0.14625831999037942</v>
      </c>
      <c r="N9" s="26">
        <f t="shared" si="3"/>
        <v>0.14625831999037942</v>
      </c>
      <c r="O9" s="26">
        <f t="shared" si="3"/>
        <v>0.14625831999037944</v>
      </c>
      <c r="Q9" s="14" t="s">
        <v>184</v>
      </c>
      <c r="R9" s="10"/>
      <c r="S9" s="12">
        <f>J19</f>
        <v>0.11020022071574964</v>
      </c>
    </row>
    <row r="10" spans="2:19" x14ac:dyDescent="0.2">
      <c r="B10" s="19" t="s">
        <v>179</v>
      </c>
      <c r="C10" s="19"/>
      <c r="D10" s="19"/>
      <c r="E10" s="122"/>
      <c r="F10" s="124">
        <f>F8/E8-1</f>
        <v>-0.98599866313505502</v>
      </c>
      <c r="G10" s="124">
        <f>G8/F8-1</f>
        <v>385.25912688280425</v>
      </c>
      <c r="H10" s="26">
        <f>H8/G8-1</f>
        <v>0.3780777896821963</v>
      </c>
      <c r="I10" s="26">
        <f>I8/H8-1</f>
        <v>1.0700239808153476</v>
      </c>
      <c r="J10" s="26">
        <f>J8/I8-1</f>
        <v>1.1858202038924932</v>
      </c>
      <c r="K10" s="26">
        <f t="shared" ref="K10:O10" si="4">K8/J8-1</f>
        <v>0.50136369302982375</v>
      </c>
      <c r="L10" s="26">
        <f t="shared" si="4"/>
        <v>0.47508998362123789</v>
      </c>
      <c r="M10" s="26">
        <f t="shared" si="4"/>
        <v>0.35945984695376465</v>
      </c>
      <c r="N10" s="26">
        <f t="shared" si="4"/>
        <v>0.1587568981301879</v>
      </c>
      <c r="O10" s="26">
        <f t="shared" si="4"/>
        <v>0.15585622916578679</v>
      </c>
      <c r="Q10" s="14" t="s">
        <v>185</v>
      </c>
      <c r="R10" s="10"/>
      <c r="S10" s="12">
        <f>S8*(1-S9)</f>
        <v>3.1803055695034381E-2</v>
      </c>
    </row>
    <row r="11" spans="2:19" x14ac:dyDescent="0.2">
      <c r="E11" s="121"/>
      <c r="F11" s="121"/>
      <c r="Q11" s="14" t="s">
        <v>186</v>
      </c>
      <c r="R11" s="10"/>
      <c r="S11" s="12">
        <f>S5+S6*(S7-S5)</f>
        <v>0.18878155000000002</v>
      </c>
    </row>
    <row r="12" spans="2:19" x14ac:dyDescent="0.2">
      <c r="B12" s="14" t="s">
        <v>187</v>
      </c>
      <c r="E12" s="167">
        <f>'Financial Statements'!C120</f>
        <v>947.09899999999993</v>
      </c>
      <c r="F12" s="167">
        <f>'Financial Statements'!D120</f>
        <v>1636.0030000000002</v>
      </c>
      <c r="G12" s="167">
        <f>'Financial Statements'!E120</f>
        <v>1901.05</v>
      </c>
      <c r="H12" s="167">
        <f>'Financial Statements'!F120</f>
        <v>2154</v>
      </c>
      <c r="I12" s="167">
        <f>'Financial Statements'!G120</f>
        <v>2322</v>
      </c>
      <c r="J12" s="167">
        <f>'Financial Statements'!H120</f>
        <v>2911</v>
      </c>
      <c r="K12" s="167">
        <f>'Financial Statements'!I120</f>
        <v>7358.3674048282819</v>
      </c>
      <c r="L12" s="167">
        <f>'Financial Statements'!J120</f>
        <v>10854.254054667199</v>
      </c>
      <c r="M12" s="167">
        <f>'Financial Statements'!K120</f>
        <v>14755.922555955149</v>
      </c>
      <c r="N12" s="167">
        <f>'Financial Statements'!L120</f>
        <v>17098.527049987864</v>
      </c>
      <c r="O12" s="167">
        <f>'Financial Statements'!M120</f>
        <v>19763.439000288174</v>
      </c>
      <c r="Q12" s="14" t="s">
        <v>188</v>
      </c>
      <c r="R12" s="10"/>
      <c r="S12" s="11">
        <f>'Financial Statements'!H89/'Financial Statements'!H90</f>
        <v>0.48589271056316491</v>
      </c>
    </row>
    <row r="13" spans="2:19" x14ac:dyDescent="0.2">
      <c r="E13" s="121"/>
      <c r="F13" s="121"/>
      <c r="Q13" s="14" t="s">
        <v>189</v>
      </c>
      <c r="R13" s="10"/>
      <c r="S13" s="12">
        <f>1-S12</f>
        <v>0.51410728943683504</v>
      </c>
    </row>
    <row r="14" spans="2:19" x14ac:dyDescent="0.2">
      <c r="B14" s="14" t="s">
        <v>190</v>
      </c>
      <c r="E14" s="167">
        <f>'Financial Statements'!C10</f>
        <v>-667.34</v>
      </c>
      <c r="F14" s="167">
        <f>'Financial Statements'!D10</f>
        <v>-1632.086</v>
      </c>
      <c r="G14" s="167">
        <f>'Financial Statements'!E10</f>
        <v>-388.07299999999998</v>
      </c>
      <c r="H14" s="167">
        <f>'Financial Statements'!F10</f>
        <v>-69</v>
      </c>
      <c r="I14" s="167">
        <f>'Financial Statements'!G10</f>
        <v>1994</v>
      </c>
      <c r="J14" s="167">
        <f>'Financial Statements'!H10</f>
        <v>6523</v>
      </c>
      <c r="K14" s="167">
        <f>'Financial Statements'!I10</f>
        <v>6805.497675215076</v>
      </c>
      <c r="L14" s="167">
        <f>'Financial Statements'!J10</f>
        <v>10038.721454267379</v>
      </c>
      <c r="M14" s="167">
        <f>'Financial Statements'!K10</f>
        <v>13647.238731829806</v>
      </c>
      <c r="N14" s="167">
        <f>'Financial Statements'!L10</f>
        <v>15813.832020937265</v>
      </c>
      <c r="O14" s="167">
        <f>'Financial Statements'!M10</f>
        <v>18278.516248381718</v>
      </c>
      <c r="Q14" s="125" t="s">
        <v>176</v>
      </c>
      <c r="R14" s="126"/>
      <c r="S14" s="127">
        <f>S11*S12+S10*S13</f>
        <v>0.10807776179299847</v>
      </c>
    </row>
    <row r="15" spans="2:19" x14ac:dyDescent="0.2">
      <c r="B15" s="19" t="s">
        <v>183</v>
      </c>
      <c r="C15" s="19"/>
      <c r="D15" s="19"/>
      <c r="E15" s="180">
        <f>E14/E5</f>
        <v>-9.533248801594027E-2</v>
      </c>
      <c r="F15" s="180">
        <f t="shared" ref="F15:O15" si="5">F14/F5</f>
        <v>-0.13879756446921956</v>
      </c>
      <c r="G15" s="26">
        <f t="shared" si="5"/>
        <v>-1.8082482358451512E-2</v>
      </c>
      <c r="H15" s="26">
        <f>H14/H5</f>
        <v>-2.8073887216209618E-3</v>
      </c>
      <c r="I15" s="26">
        <f t="shared" si="5"/>
        <v>6.3229325215626589E-2</v>
      </c>
      <c r="J15" s="26">
        <f t="shared" si="5"/>
        <v>0.12119354179440016</v>
      </c>
      <c r="K15" s="26">
        <f t="shared" si="5"/>
        <v>7.0274649684275492E-2</v>
      </c>
      <c r="L15" s="26">
        <f t="shared" si="5"/>
        <v>7.0274649684275506E-2</v>
      </c>
      <c r="M15" s="26">
        <f t="shared" si="5"/>
        <v>7.0274649684275506E-2</v>
      </c>
      <c r="N15" s="26">
        <f t="shared" si="5"/>
        <v>7.0274649684275506E-2</v>
      </c>
      <c r="O15" s="26">
        <f t="shared" si="5"/>
        <v>7.027464968427552E-2</v>
      </c>
    </row>
    <row r="16" spans="2:19" x14ac:dyDescent="0.2">
      <c r="B16" s="19" t="s">
        <v>179</v>
      </c>
      <c r="C16" s="19"/>
      <c r="D16" s="19"/>
      <c r="E16" s="180"/>
      <c r="F16" s="180">
        <f>F14/E14-1</f>
        <v>1.4456588845266278</v>
      </c>
      <c r="G16" s="26"/>
      <c r="H16" s="26">
        <f t="shared" ref="H16:O16" si="6">H14/G14-1</f>
        <v>-0.82219840081634121</v>
      </c>
      <c r="I16" s="26">
        <f t="shared" si="6"/>
        <v>-29.89855072463768</v>
      </c>
      <c r="J16" s="26">
        <f t="shared" si="6"/>
        <v>2.2713139418254764</v>
      </c>
      <c r="K16" s="26">
        <f t="shared" si="6"/>
        <v>4.330793733176086E-2</v>
      </c>
      <c r="L16" s="26">
        <f t="shared" si="6"/>
        <v>0.47508998362123789</v>
      </c>
      <c r="M16" s="26">
        <f t="shared" si="6"/>
        <v>0.35945984695376465</v>
      </c>
      <c r="N16" s="26">
        <f t="shared" si="6"/>
        <v>0.1587568981301879</v>
      </c>
      <c r="O16" s="26">
        <f t="shared" si="6"/>
        <v>0.15585622916578656</v>
      </c>
      <c r="Q16" s="14" t="e" vm="1">
        <v>#VALUE!</v>
      </c>
      <c r="R16" s="10"/>
      <c r="S16" s="10"/>
    </row>
    <row r="17" spans="2:23" x14ac:dyDescent="0.2">
      <c r="E17" s="121"/>
      <c r="F17" s="121"/>
      <c r="Q17" s="14" t="e" vm="2">
        <v>#VALUE!</v>
      </c>
      <c r="R17" s="24"/>
      <c r="S17" s="10"/>
      <c r="U17" s="21"/>
    </row>
    <row r="18" spans="2:23" x14ac:dyDescent="0.2">
      <c r="B18" s="14" t="s">
        <v>191</v>
      </c>
      <c r="E18" s="167">
        <f>'Financial Statements'!C15</f>
        <v>26.698</v>
      </c>
      <c r="F18" s="167">
        <f>'Financial Statements'!D15</f>
        <v>31.545999999999999</v>
      </c>
      <c r="G18" s="167">
        <f>'Financial Statements'!E15</f>
        <v>-57.837000000000003</v>
      </c>
      <c r="H18" s="167">
        <f>'Financial Statements'!F15</f>
        <v>-110</v>
      </c>
      <c r="I18" s="167">
        <f>'Financial Statements'!G15</f>
        <v>-292</v>
      </c>
      <c r="J18" s="167">
        <f>'Financial Statements'!H15</f>
        <v>-699</v>
      </c>
      <c r="K18" s="167">
        <f>'Financial Statements'!I15</f>
        <v>-878.76204443682559</v>
      </c>
      <c r="L18" s="167">
        <f>'Financial Statements'!J15</f>
        <v>-1298.1013366604232</v>
      </c>
      <c r="M18" s="167">
        <f>'Financial Statements'!K15</f>
        <v>-1764.3618540320076</v>
      </c>
      <c r="N18" s="167">
        <f>'Financial Statements'!L15</f>
        <v>-2055.38716670432</v>
      </c>
      <c r="O18" s="167">
        <f>'Financial Statements'!M15</f>
        <v>-2365.6612656207699</v>
      </c>
      <c r="Q18" s="14" t="s">
        <v>271</v>
      </c>
      <c r="R18" s="10"/>
      <c r="S18" s="94">
        <f>1033508000/1000000</f>
        <v>1033.508</v>
      </c>
    </row>
    <row r="19" spans="2:23" x14ac:dyDescent="0.2">
      <c r="B19" s="19" t="s">
        <v>192</v>
      </c>
      <c r="C19" s="19"/>
      <c r="D19" s="19"/>
      <c r="E19" s="180">
        <v>3.5771516772336767E-2</v>
      </c>
      <c r="F19" s="180">
        <v>1.4280463116876531E-2</v>
      </c>
      <c r="G19" s="26">
        <v>5.7563859486735439E-2</v>
      </c>
      <c r="H19" s="26">
        <v>0.16541353383458646</v>
      </c>
      <c r="I19" s="26">
        <v>0.2530329289428076</v>
      </c>
      <c r="J19" s="26">
        <v>0.11020022071574964</v>
      </c>
      <c r="K19" s="26">
        <v>0.14655263574496979</v>
      </c>
      <c r="L19" s="26">
        <v>0.14655263574496979</v>
      </c>
      <c r="M19" s="26">
        <v>0.14655263574496979</v>
      </c>
      <c r="N19" s="26">
        <v>0.14655263574496979</v>
      </c>
      <c r="O19" s="26">
        <v>0.14655263574496979</v>
      </c>
    </row>
    <row r="20" spans="2:23" x14ac:dyDescent="0.2">
      <c r="E20" s="121"/>
      <c r="F20" s="121"/>
      <c r="Q20" s="157" t="s">
        <v>226</v>
      </c>
      <c r="R20" s="10"/>
      <c r="S20" s="10"/>
    </row>
    <row r="21" spans="2:23" x14ac:dyDescent="0.2">
      <c r="B21" s="14" t="s">
        <v>193</v>
      </c>
      <c r="E21" s="167"/>
      <c r="F21" s="167">
        <f>'Financial Statements'!D156</f>
        <v>-3414.8139999999999</v>
      </c>
      <c r="G21" s="167">
        <f>'Financial Statements'!E156</f>
        <v>-2100.7240000000002</v>
      </c>
      <c r="H21" s="167">
        <f>'Financial Statements'!F156</f>
        <v>-1327</v>
      </c>
      <c r="I21" s="167">
        <f>'Financial Statements'!G156</f>
        <v>-3157</v>
      </c>
      <c r="J21" s="167">
        <f>'Financial Statements'!H156</f>
        <v>-6482</v>
      </c>
      <c r="K21" s="167">
        <f>'Financial Statements'!I156</f>
        <v>-9016.3102123082026</v>
      </c>
      <c r="L21" s="167">
        <f>'Financial Statements'!J156</f>
        <v>-13299.868883397701</v>
      </c>
      <c r="M21" s="167">
        <f>'Financial Statements'!K156</f>
        <v>-18080.637716728976</v>
      </c>
      <c r="N21" s="167">
        <f>'Financial Statements'!L156</f>
        <v>-20951.063676852551</v>
      </c>
      <c r="O21" s="167">
        <f>'Financial Statements'!M156</f>
        <v>-24216.417458539072</v>
      </c>
      <c r="Q21" s="157" t="s">
        <v>225</v>
      </c>
      <c r="R21" s="10"/>
      <c r="S21" s="10"/>
    </row>
    <row r="22" spans="2:23" x14ac:dyDescent="0.2">
      <c r="E22" s="121"/>
      <c r="F22" s="121"/>
      <c r="G22" s="168"/>
      <c r="H22" s="168"/>
      <c r="I22" s="168"/>
      <c r="J22" s="168"/>
      <c r="K22" s="168"/>
      <c r="L22" s="168"/>
      <c r="M22" s="168"/>
      <c r="N22" s="168"/>
      <c r="O22" s="168"/>
      <c r="R22" s="10"/>
      <c r="S22" s="10"/>
    </row>
    <row r="23" spans="2:23" x14ac:dyDescent="0.2">
      <c r="B23" s="14" t="s">
        <v>229</v>
      </c>
      <c r="E23" s="167"/>
      <c r="F23" s="167">
        <f>'Financial Statements'!D146</f>
        <v>1815.0410000000002</v>
      </c>
      <c r="G23" s="167">
        <f>'Financial Statements'!E146</f>
        <v>-734.5400000000003</v>
      </c>
      <c r="H23" s="167">
        <f>'Financial Statements'!F146</f>
        <v>296.70200000000017</v>
      </c>
      <c r="I23" s="167">
        <f>'Financial Statements'!G146</f>
        <v>1490</v>
      </c>
      <c r="J23" s="167">
        <f>'Financial Statements'!H146</f>
        <v>3940</v>
      </c>
      <c r="K23" s="167">
        <f>'Financial Statements'!I146</f>
        <v>4617.008561090679</v>
      </c>
      <c r="L23" s="167">
        <f>'Financial Statements'!J146</f>
        <v>6337.7044487957373</v>
      </c>
      <c r="M23" s="167">
        <f>'Financial Statements'!K146</f>
        <v>7073.3477069338787</v>
      </c>
      <c r="N23" s="167">
        <f>'Financial Statements'!L146</f>
        <v>4246.9154210947072</v>
      </c>
      <c r="O23" s="167">
        <f>'Financial Statements'!M146</f>
        <v>4831.2276726264745</v>
      </c>
      <c r="Q23" s="10"/>
      <c r="R23" s="10"/>
      <c r="S23" s="10"/>
    </row>
    <row r="24" spans="2:23" x14ac:dyDescent="0.2">
      <c r="E24" s="121"/>
      <c r="F24" s="121"/>
      <c r="Q24" s="10"/>
      <c r="R24" s="10"/>
      <c r="S24" s="10"/>
    </row>
    <row r="25" spans="2:23" x14ac:dyDescent="0.2">
      <c r="B25" s="14" t="s">
        <v>194</v>
      </c>
      <c r="E25" s="49">
        <f>E8+E18+E21+E23</f>
        <v>306.45699999999988</v>
      </c>
      <c r="F25" s="49">
        <f t="shared" ref="F25:J25" si="7">F8+F18+F21+F23</f>
        <v>-1564.3099999999995</v>
      </c>
      <c r="G25" s="24">
        <f>G8+G18+G21-G23</f>
        <v>88.956000000000017</v>
      </c>
      <c r="H25" s="24">
        <f>H8+H18+H21+H23</f>
        <v>944.70200000000023</v>
      </c>
      <c r="I25" s="24">
        <f t="shared" si="7"/>
        <v>2357</v>
      </c>
      <c r="J25" s="24">
        <f t="shared" si="7"/>
        <v>6193</v>
      </c>
      <c r="K25" s="24">
        <f>K8+K18+K21+K23</f>
        <v>8885.8013843890076</v>
      </c>
      <c r="L25" s="24">
        <f t="shared" ref="L25:M25" si="8">L8+L18+L21+L23</f>
        <v>12632.70973767219</v>
      </c>
      <c r="M25" s="24">
        <f t="shared" si="8"/>
        <v>15631.509423957848</v>
      </c>
      <c r="N25" s="24">
        <f>N8+N18+N21+N23</f>
        <v>14152.823648462965</v>
      </c>
      <c r="O25" s="24">
        <f>O8+O18+O21+O23</f>
        <v>16291.104197136527</v>
      </c>
      <c r="Q25" s="10"/>
      <c r="R25" s="10"/>
      <c r="S25" s="10"/>
    </row>
    <row r="26" spans="2:23" x14ac:dyDescent="0.2">
      <c r="B26" s="19" t="s">
        <v>183</v>
      </c>
      <c r="C26" s="19"/>
      <c r="D26" s="19"/>
      <c r="E26" s="180">
        <f>E25/E5</f>
        <v>4.3778745886506119E-2</v>
      </c>
      <c r="F26" s="180">
        <f t="shared" ref="F26:O26" si="9">F25/F5</f>
        <v>-0.13303368699617837</v>
      </c>
      <c r="G26" s="26">
        <f t="shared" si="9"/>
        <v>4.1449554611591461E-3</v>
      </c>
      <c r="H26" s="26">
        <f t="shared" si="9"/>
        <v>3.8436894783953138E-2</v>
      </c>
      <c r="I26" s="26">
        <f t="shared" si="9"/>
        <v>7.4739979705733137E-2</v>
      </c>
      <c r="J26" s="26">
        <f t="shared" si="9"/>
        <v>0.11506233394645411</v>
      </c>
      <c r="K26" s="26">
        <f t="shared" si="9"/>
        <v>9.1756196130395873E-2</v>
      </c>
      <c r="L26" s="26">
        <f t="shared" si="9"/>
        <v>8.8433497773829542E-2</v>
      </c>
      <c r="M26" s="26">
        <f t="shared" si="9"/>
        <v>8.0492389001962122E-2</v>
      </c>
      <c r="N26" s="26">
        <f t="shared" si="9"/>
        <v>6.2893340628776773E-2</v>
      </c>
      <c r="O26" s="26">
        <f t="shared" si="9"/>
        <v>6.2633729393935841E-2</v>
      </c>
      <c r="Q26" s="10"/>
      <c r="R26" s="10"/>
      <c r="S26" s="240"/>
      <c r="T26" s="240"/>
      <c r="U26" s="240"/>
      <c r="V26" s="240"/>
      <c r="W26" s="240"/>
    </row>
    <row r="27" spans="2:23" x14ac:dyDescent="0.2">
      <c r="B27" s="19" t="s">
        <v>179</v>
      </c>
      <c r="C27" s="19"/>
      <c r="D27" s="19"/>
      <c r="E27" s="180"/>
      <c r="F27" s="180">
        <f>F25/E25-1</f>
        <v>-6.1045007945649798</v>
      </c>
      <c r="G27" s="26"/>
      <c r="H27" s="26">
        <f>H25/G25-1</f>
        <v>9.6198794909843066</v>
      </c>
      <c r="I27" s="26">
        <f>I25/H25-1</f>
        <v>1.494966666737235</v>
      </c>
      <c r="J27" s="26">
        <f>J25/I25-1</f>
        <v>1.6274925753075946</v>
      </c>
      <c r="K27" s="26">
        <f>K25/J25-1</f>
        <v>0.43481372265283502</v>
      </c>
      <c r="L27" s="26">
        <f>L25/K25-1</f>
        <v>0.42167365566666026</v>
      </c>
      <c r="M27" s="26">
        <f>(M25-L25)/-L25</f>
        <v>-0.23738372435985711</v>
      </c>
      <c r="N27" s="26">
        <f>(N25-M25)/M25</f>
        <v>-9.4596480441521219E-2</v>
      </c>
      <c r="O27" s="26">
        <f>(O25-N25)/N25</f>
        <v>0.15108508392286685</v>
      </c>
      <c r="Q27" s="10"/>
      <c r="R27" s="10"/>
      <c r="S27" s="10"/>
      <c r="W27" s="165"/>
    </row>
    <row r="29" spans="2:23" x14ac:dyDescent="0.2">
      <c r="G29" s="128" t="s">
        <v>176</v>
      </c>
      <c r="H29" s="129" t="s">
        <v>195</v>
      </c>
      <c r="J29" s="130" t="s">
        <v>196</v>
      </c>
      <c r="K29" s="131">
        <v>0</v>
      </c>
      <c r="L29" s="14">
        <f>K29+1</f>
        <v>1</v>
      </c>
      <c r="M29" s="14">
        <f t="shared" ref="M29:O29" si="10">L29+1</f>
        <v>2</v>
      </c>
      <c r="N29" s="14">
        <f t="shared" si="10"/>
        <v>3</v>
      </c>
      <c r="O29" s="14">
        <f t="shared" si="10"/>
        <v>4</v>
      </c>
    </row>
    <row r="30" spans="2:23" x14ac:dyDescent="0.2">
      <c r="G30" s="132">
        <f>G31-1%</f>
        <v>8.8077761792998477E-2</v>
      </c>
      <c r="H30" s="24">
        <f>SUM(K30:O30)</f>
        <v>56308.574170409433</v>
      </c>
      <c r="K30" s="49">
        <f>K$25/(1+G30)^K$29</f>
        <v>8885.8013843890076</v>
      </c>
      <c r="L30" s="49">
        <f t="shared" ref="L30:O34" si="11">L$25/(1+$G30)^L$29</f>
        <v>11610.116649066764</v>
      </c>
      <c r="M30" s="49">
        <f t="shared" si="11"/>
        <v>13203.256131070262</v>
      </c>
      <c r="N30" s="49">
        <f t="shared" si="11"/>
        <v>10986.599478886623</v>
      </c>
      <c r="O30" s="49">
        <f t="shared" si="11"/>
        <v>11622.800526996774</v>
      </c>
    </row>
    <row r="31" spans="2:23" x14ac:dyDescent="0.2">
      <c r="G31" s="132">
        <f>G32-1%</f>
        <v>9.8077761792998472E-2</v>
      </c>
      <c r="H31" s="24">
        <f>SUM(K31:O31)</f>
        <v>55248.385975220444</v>
      </c>
      <c r="K31" s="49">
        <f>K$25/(1+G31)^K$29</f>
        <v>8885.8013843890076</v>
      </c>
      <c r="L31" s="49">
        <f t="shared" si="11"/>
        <v>11504.385369798261</v>
      </c>
      <c r="M31" s="49">
        <f t="shared" si="11"/>
        <v>12963.871695304913</v>
      </c>
      <c r="N31" s="49">
        <f t="shared" si="11"/>
        <v>10689.165620536705</v>
      </c>
      <c r="O31" s="49">
        <f t="shared" si="11"/>
        <v>11205.161905191559</v>
      </c>
    </row>
    <row r="32" spans="2:23" x14ac:dyDescent="0.2">
      <c r="G32" s="132">
        <f>S14</f>
        <v>0.10807776179299847</v>
      </c>
      <c r="H32" s="24">
        <f>SUM(K32:O32)</f>
        <v>54225.789340320567</v>
      </c>
      <c r="K32" s="49">
        <f>K$25/(1+G32)^K$29</f>
        <v>8885.8013843890076</v>
      </c>
      <c r="L32" s="49">
        <f t="shared" si="11"/>
        <v>11400.562463442096</v>
      </c>
      <c r="M32" s="49">
        <f t="shared" si="11"/>
        <v>12730.939043469851</v>
      </c>
      <c r="N32" s="49">
        <f t="shared" si="11"/>
        <v>10402.371940567256</v>
      </c>
      <c r="O32" s="49">
        <f t="shared" si="11"/>
        <v>10806.114508452356</v>
      </c>
    </row>
    <row r="33" spans="2:22" x14ac:dyDescent="0.2">
      <c r="G33" s="132">
        <f>G32+1%</f>
        <v>0.11807776179299846</v>
      </c>
      <c r="H33" s="24">
        <f>SUM(K33:O33)</f>
        <v>53239.047384830628</v>
      </c>
      <c r="K33" s="49">
        <f>K$25/(1+G33)^K$29</f>
        <v>8885.8013843890076</v>
      </c>
      <c r="L33" s="49">
        <f t="shared" si="11"/>
        <v>11298.596724984338</v>
      </c>
      <c r="M33" s="49">
        <f t="shared" si="11"/>
        <v>12504.228393900921</v>
      </c>
      <c r="N33" s="49">
        <f t="shared" si="11"/>
        <v>10125.746870276278</v>
      </c>
      <c r="O33" s="49">
        <f t="shared" si="11"/>
        <v>10424.674011280084</v>
      </c>
    </row>
    <row r="34" spans="2:22" x14ac:dyDescent="0.2">
      <c r="G34" s="132">
        <f>G33+1%</f>
        <v>0.12807776179299846</v>
      </c>
      <c r="H34" s="24">
        <f>SUM(K34:O34)</f>
        <v>52286.520310644781</v>
      </c>
      <c r="K34" s="49">
        <f>K$25/(1+G34)^K$29</f>
        <v>8885.8013843890076</v>
      </c>
      <c r="L34" s="49">
        <f t="shared" si="11"/>
        <v>11198.438765066521</v>
      </c>
      <c r="M34" s="49">
        <f t="shared" si="11"/>
        <v>12283.52010424306</v>
      </c>
      <c r="N34" s="49">
        <f t="shared" si="11"/>
        <v>9858.8436999875848</v>
      </c>
      <c r="O34" s="49">
        <f t="shared" si="11"/>
        <v>10059.916356958602</v>
      </c>
    </row>
    <row r="36" spans="2:22" x14ac:dyDescent="0.2">
      <c r="K36" s="49"/>
      <c r="L36" s="49"/>
      <c r="M36" s="49"/>
      <c r="N36" s="49"/>
      <c r="O36" s="49"/>
    </row>
    <row r="38" spans="2:22" x14ac:dyDescent="0.2">
      <c r="B38" s="242" t="s">
        <v>204</v>
      </c>
      <c r="C38" s="242"/>
      <c r="D38" s="242"/>
      <c r="E38" s="242"/>
      <c r="F38" s="242"/>
      <c r="G38" s="242"/>
      <c r="H38" s="242"/>
      <c r="I38" s="242"/>
      <c r="J38" s="242"/>
      <c r="K38" s="242"/>
      <c r="L38" s="242"/>
      <c r="M38" s="242"/>
      <c r="N38" s="242"/>
      <c r="O38" s="242"/>
      <c r="Q38" s="161" t="s">
        <v>208</v>
      </c>
      <c r="R38" s="161" t="s">
        <v>202</v>
      </c>
      <c r="S38" s="161" t="s">
        <v>205</v>
      </c>
    </row>
    <row r="39" spans="2:22" x14ac:dyDescent="0.2">
      <c r="B39" s="150"/>
      <c r="Q39" s="181">
        <v>125</v>
      </c>
      <c r="R39" s="181">
        <f>'Financial Statements'!H74+'Financial Statements'!H80+'Financial Statements'!H77</f>
        <v>10380</v>
      </c>
      <c r="S39" s="181">
        <f>'Financial Statements'!H47+'Financial Statements'!H49</f>
        <v>17707</v>
      </c>
    </row>
    <row r="40" spans="2:22" x14ac:dyDescent="0.2">
      <c r="C40" s="241" t="s">
        <v>227</v>
      </c>
      <c r="D40" s="241"/>
      <c r="E40" s="241"/>
      <c r="F40" s="241"/>
      <c r="G40" s="241"/>
      <c r="K40" s="241" t="s">
        <v>198</v>
      </c>
      <c r="L40" s="241"/>
      <c r="M40" s="241"/>
      <c r="N40" s="241"/>
      <c r="O40" s="241"/>
      <c r="Q40" s="181">
        <v>125</v>
      </c>
      <c r="R40" s="181">
        <f t="shared" ref="R40:S43" si="12">R39</f>
        <v>10380</v>
      </c>
      <c r="S40" s="181">
        <f t="shared" si="12"/>
        <v>17707</v>
      </c>
    </row>
    <row r="41" spans="2:22" x14ac:dyDescent="0.2">
      <c r="C41" s="240" t="s">
        <v>199</v>
      </c>
      <c r="D41" s="240"/>
      <c r="E41" s="240"/>
      <c r="F41" s="240"/>
      <c r="G41" s="240"/>
      <c r="K41" s="240" t="s">
        <v>199</v>
      </c>
      <c r="L41" s="240"/>
      <c r="M41" s="240"/>
      <c r="N41" s="240"/>
      <c r="O41" s="240"/>
      <c r="Q41" s="181">
        <v>125</v>
      </c>
      <c r="R41" s="181">
        <f t="shared" si="12"/>
        <v>10380</v>
      </c>
      <c r="S41" s="181">
        <f t="shared" si="12"/>
        <v>17707</v>
      </c>
    </row>
    <row r="42" spans="2:22" x14ac:dyDescent="0.2">
      <c r="B42" s="133" t="s">
        <v>176</v>
      </c>
      <c r="C42" s="134">
        <f>D42-0.5%</f>
        <v>2.5000000000000001E-2</v>
      </c>
      <c r="D42" s="134">
        <f>E42-0.5%</f>
        <v>3.0000000000000002E-2</v>
      </c>
      <c r="E42" s="135">
        <v>3.5000000000000003E-2</v>
      </c>
      <c r="F42" s="134">
        <f>E42+0.5%</f>
        <v>0.04</v>
      </c>
      <c r="G42" s="134">
        <f>F42+0.5%</f>
        <v>4.4999999999999998E-2</v>
      </c>
      <c r="I42" s="136"/>
      <c r="J42" s="137" t="s">
        <v>176</v>
      </c>
      <c r="K42" s="134">
        <f>L42-0.5%</f>
        <v>2.5000000000000001E-2</v>
      </c>
      <c r="L42" s="134">
        <f>M42-0.5%</f>
        <v>3.0000000000000002E-2</v>
      </c>
      <c r="M42" s="228">
        <f>E42</f>
        <v>3.5000000000000003E-2</v>
      </c>
      <c r="N42" s="134">
        <f>M42+0.5%</f>
        <v>0.04</v>
      </c>
      <c r="O42" s="134">
        <f>N42+0.5%</f>
        <v>4.4999999999999998E-2</v>
      </c>
      <c r="Q42" s="181">
        <v>125</v>
      </c>
      <c r="R42" s="181">
        <f t="shared" si="12"/>
        <v>10380</v>
      </c>
      <c r="S42" s="181">
        <f t="shared" si="12"/>
        <v>17707</v>
      </c>
    </row>
    <row r="43" spans="2:22" x14ac:dyDescent="0.2">
      <c r="B43" s="132">
        <f>B44-1%</f>
        <v>8.8077761792998477E-2</v>
      </c>
      <c r="C43" s="138">
        <f>$O$25*(1+C$42)/($B43-C$42)/(1+$B43)^$O$29</f>
        <v>188867.9972391483</v>
      </c>
      <c r="D43" s="138">
        <f t="shared" ref="C43:G47" si="13">$O$25*(1+D$42)/($B43-D$42)/(1+$B43)^$O$29</f>
        <v>206128.54513015843</v>
      </c>
      <c r="E43" s="138">
        <f t="shared" si="13"/>
        <v>226641.02891822567</v>
      </c>
      <c r="F43" s="138">
        <f t="shared" si="13"/>
        <v>251420.03490347523</v>
      </c>
      <c r="G43" s="138">
        <f t="shared" si="13"/>
        <v>281951.19813967944</v>
      </c>
      <c r="I43" s="136"/>
      <c r="J43" s="139">
        <f>B43</f>
        <v>8.8077761792998477E-2</v>
      </c>
      <c r="K43" s="138">
        <f t="shared" ref="K43:O47" si="14">C43+$H30</f>
        <v>245176.57140955774</v>
      </c>
      <c r="L43" s="138">
        <f t="shared" si="14"/>
        <v>262437.11930056784</v>
      </c>
      <c r="M43" s="138">
        <f t="shared" si="14"/>
        <v>282949.60308863508</v>
      </c>
      <c r="N43" s="138">
        <f t="shared" si="14"/>
        <v>307728.60907388467</v>
      </c>
      <c r="O43" s="138">
        <f t="shared" si="14"/>
        <v>338259.77231008885</v>
      </c>
      <c r="Q43" s="181">
        <v>125</v>
      </c>
      <c r="R43" s="181">
        <f t="shared" si="12"/>
        <v>10380</v>
      </c>
      <c r="S43" s="181">
        <f t="shared" si="12"/>
        <v>17707</v>
      </c>
      <c r="V43" s="166"/>
    </row>
    <row r="44" spans="2:22" x14ac:dyDescent="0.2">
      <c r="B44" s="132">
        <f>B45-1%</f>
        <v>9.8077761792998472E-2</v>
      </c>
      <c r="C44" s="138">
        <f t="shared" si="13"/>
        <v>157165.33554154015</v>
      </c>
      <c r="D44" s="138">
        <f t="shared" si="13"/>
        <v>169531.37791810135</v>
      </c>
      <c r="E44" s="138">
        <f t="shared" si="13"/>
        <v>183857.86436005961</v>
      </c>
      <c r="F44" s="138">
        <f t="shared" si="13"/>
        <v>200651.12741317943</v>
      </c>
      <c r="G44" s="138">
        <f t="shared" si="13"/>
        <v>220608.28858216424</v>
      </c>
      <c r="I44" s="136"/>
      <c r="J44" s="139">
        <f>B44</f>
        <v>9.8077761792998472E-2</v>
      </c>
      <c r="K44" s="138">
        <f t="shared" si="14"/>
        <v>212413.72151676059</v>
      </c>
      <c r="L44" s="138">
        <f t="shared" si="14"/>
        <v>224779.7638933218</v>
      </c>
      <c r="M44" s="138">
        <f t="shared" si="14"/>
        <v>239106.25033528006</v>
      </c>
      <c r="N44" s="138">
        <f t="shared" si="14"/>
        <v>255899.51338839988</v>
      </c>
      <c r="O44" s="138">
        <f t="shared" si="14"/>
        <v>275856.67455738469</v>
      </c>
    </row>
    <row r="45" spans="2:22" x14ac:dyDescent="0.2">
      <c r="B45" s="132">
        <f>S14</f>
        <v>0.10807776179299847</v>
      </c>
      <c r="C45" s="138">
        <f t="shared" si="13"/>
        <v>133324.09458456471</v>
      </c>
      <c r="D45" s="138">
        <f t="shared" si="13"/>
        <v>142554.00882539159</v>
      </c>
      <c r="E45" s="138">
        <f t="shared" si="13"/>
        <v>153046.94946636626</v>
      </c>
      <c r="F45" s="138">
        <f t="shared" si="13"/>
        <v>165081.20703149019</v>
      </c>
      <c r="G45" s="138">
        <f t="shared" si="13"/>
        <v>179023.30933032802</v>
      </c>
      <c r="I45" s="136"/>
      <c r="J45" s="139">
        <f>B45</f>
        <v>0.10807776179299847</v>
      </c>
      <c r="K45" s="138">
        <f t="shared" si="14"/>
        <v>187549.88392488527</v>
      </c>
      <c r="L45" s="138">
        <f t="shared" si="14"/>
        <v>196779.79816571216</v>
      </c>
      <c r="M45" s="138">
        <f t="shared" si="14"/>
        <v>207272.73880668683</v>
      </c>
      <c r="N45" s="138">
        <f t="shared" si="14"/>
        <v>219306.99637181076</v>
      </c>
      <c r="O45" s="138">
        <f t="shared" si="14"/>
        <v>233249.09867064859</v>
      </c>
      <c r="V45" s="76"/>
    </row>
    <row r="46" spans="2:22" x14ac:dyDescent="0.2">
      <c r="B46" s="132">
        <f>B45+1%</f>
        <v>0.11807776179299846</v>
      </c>
      <c r="C46" s="138">
        <f t="shared" si="13"/>
        <v>114799.61116088912</v>
      </c>
      <c r="D46" s="138">
        <f t="shared" si="13"/>
        <v>121908.34568269004</v>
      </c>
      <c r="E46" s="138">
        <f t="shared" si="13"/>
        <v>129872.75257317048</v>
      </c>
      <c r="F46" s="138">
        <f t="shared" si="13"/>
        <v>138857.22032446245</v>
      </c>
      <c r="G46" s="138">
        <f t="shared" si="13"/>
        <v>149071.12744702879</v>
      </c>
      <c r="I46" s="136"/>
      <c r="J46" s="139">
        <f>B46</f>
        <v>0.11807776179299846</v>
      </c>
      <c r="K46" s="138">
        <f t="shared" si="14"/>
        <v>168038.65854571975</v>
      </c>
      <c r="L46" s="138">
        <f t="shared" si="14"/>
        <v>175147.39306752066</v>
      </c>
      <c r="M46" s="138">
        <f t="shared" si="14"/>
        <v>183111.79995800112</v>
      </c>
      <c r="N46" s="138">
        <f t="shared" si="14"/>
        <v>192096.26770929308</v>
      </c>
      <c r="O46" s="138">
        <f t="shared" si="14"/>
        <v>202310.17483185942</v>
      </c>
    </row>
    <row r="47" spans="2:22" x14ac:dyDescent="0.2">
      <c r="B47" s="132">
        <f>B46+1%</f>
        <v>0.12807776179299846</v>
      </c>
      <c r="C47" s="138">
        <f t="shared" si="13"/>
        <v>100035.29458264746</v>
      </c>
      <c r="D47" s="138">
        <f t="shared" si="13"/>
        <v>105647.94361372813</v>
      </c>
      <c r="E47" s="138">
        <f t="shared" si="13"/>
        <v>111863.59909049049</v>
      </c>
      <c r="F47" s="138">
        <f t="shared" si="13"/>
        <v>118784.95545590289</v>
      </c>
      <c r="G47" s="138">
        <f t="shared" si="13"/>
        <v>126539.42963961397</v>
      </c>
      <c r="I47" s="136"/>
      <c r="J47" s="139">
        <f>B47</f>
        <v>0.12807776179299846</v>
      </c>
      <c r="K47" s="138">
        <f t="shared" si="14"/>
        <v>152321.81489329223</v>
      </c>
      <c r="L47" s="138">
        <f t="shared" si="14"/>
        <v>157934.46392437292</v>
      </c>
      <c r="M47" s="138">
        <f t="shared" si="14"/>
        <v>164150.11940113528</v>
      </c>
      <c r="N47" s="138">
        <f t="shared" si="14"/>
        <v>171071.47576654766</v>
      </c>
      <c r="O47" s="138">
        <f t="shared" si="14"/>
        <v>178825.94995025874</v>
      </c>
    </row>
    <row r="48" spans="2:22" x14ac:dyDescent="0.2">
      <c r="C48" s="136"/>
      <c r="D48" s="136"/>
      <c r="E48" s="136"/>
      <c r="F48" s="136"/>
      <c r="G48" s="136"/>
      <c r="I48" s="136"/>
      <c r="J48" s="136"/>
      <c r="K48" s="136"/>
      <c r="L48" s="136"/>
      <c r="M48" s="136"/>
      <c r="N48" s="136"/>
      <c r="O48" s="136"/>
    </row>
    <row r="49" spans="2:19" x14ac:dyDescent="0.2">
      <c r="C49" s="244" t="s">
        <v>200</v>
      </c>
      <c r="D49" s="244"/>
      <c r="E49" s="244"/>
      <c r="F49" s="244"/>
      <c r="G49" s="244"/>
      <c r="H49" s="72"/>
      <c r="I49" s="223"/>
      <c r="J49" s="223"/>
      <c r="K49" s="244" t="s">
        <v>201</v>
      </c>
      <c r="L49" s="244"/>
      <c r="M49" s="244"/>
      <c r="N49" s="244"/>
      <c r="O49" s="244"/>
    </row>
    <row r="50" spans="2:19" x14ac:dyDescent="0.2">
      <c r="C50" s="243" t="s">
        <v>199</v>
      </c>
      <c r="D50" s="243"/>
      <c r="E50" s="243"/>
      <c r="F50" s="243"/>
      <c r="G50" s="243"/>
      <c r="H50" s="72"/>
      <c r="I50" s="223"/>
      <c r="J50" s="223"/>
      <c r="K50" s="243" t="s">
        <v>199</v>
      </c>
      <c r="L50" s="243"/>
      <c r="M50" s="243"/>
      <c r="N50" s="243"/>
      <c r="O50" s="243"/>
    </row>
    <row r="51" spans="2:19" x14ac:dyDescent="0.2">
      <c r="B51" s="133" t="s">
        <v>176</v>
      </c>
      <c r="C51" s="228">
        <f>D51-0.5%</f>
        <v>2.5000000000000001E-2</v>
      </c>
      <c r="D51" s="228">
        <f>E51-0.5%</f>
        <v>3.0000000000000002E-2</v>
      </c>
      <c r="E51" s="228">
        <f>E42</f>
        <v>3.5000000000000003E-2</v>
      </c>
      <c r="F51" s="228">
        <f>E51+0.5%</f>
        <v>0.04</v>
      </c>
      <c r="G51" s="228">
        <f>F51+0.5%</f>
        <v>4.4999999999999998E-2</v>
      </c>
      <c r="H51" s="72"/>
      <c r="I51" s="223"/>
      <c r="J51" s="227" t="s">
        <v>176</v>
      </c>
      <c r="K51" s="228">
        <f>L51-0.5%</f>
        <v>2.5000000000000001E-2</v>
      </c>
      <c r="L51" s="228">
        <f>M51-0.5%</f>
        <v>3.0000000000000002E-2</v>
      </c>
      <c r="M51" s="228">
        <f>E42</f>
        <v>3.5000000000000003E-2</v>
      </c>
      <c r="N51" s="228">
        <f>M51+0.5%</f>
        <v>0.04</v>
      </c>
      <c r="O51" s="228">
        <f>N51+0.5%</f>
        <v>4.4999999999999998E-2</v>
      </c>
    </row>
    <row r="52" spans="2:19" x14ac:dyDescent="0.2">
      <c r="B52" s="132">
        <f>B43</f>
        <v>8.8077761792998477E-2</v>
      </c>
      <c r="C52" s="222">
        <f>K43-$R39+$S39-$Q39</f>
        <v>252378.57140955774</v>
      </c>
      <c r="D52" s="222">
        <f t="shared" ref="D52:G52" si="15">L43-$R39+$S39-$Q39</f>
        <v>269639.11930056784</v>
      </c>
      <c r="E52" s="222">
        <f t="shared" si="15"/>
        <v>290151.60308863508</v>
      </c>
      <c r="F52" s="222">
        <f t="shared" si="15"/>
        <v>314930.60907388467</v>
      </c>
      <c r="G52" s="222">
        <f t="shared" si="15"/>
        <v>345461.77231008885</v>
      </c>
      <c r="H52" s="72"/>
      <c r="I52" s="223"/>
      <c r="J52" s="224">
        <f>J43</f>
        <v>8.8077761792998477E-2</v>
      </c>
      <c r="K52" s="222">
        <f t="shared" ref="K52:O56" si="16">C52/$S$18</f>
        <v>244.19605016077062</v>
      </c>
      <c r="L52" s="222">
        <f t="shared" si="16"/>
        <v>260.89698318790744</v>
      </c>
      <c r="M52" s="222">
        <f t="shared" si="16"/>
        <v>280.74441909364521</v>
      </c>
      <c r="N52" s="222">
        <f t="shared" si="16"/>
        <v>304.72004965020557</v>
      </c>
      <c r="O52" s="222">
        <f t="shared" si="16"/>
        <v>334.26134322142531</v>
      </c>
    </row>
    <row r="53" spans="2:19" x14ac:dyDescent="0.2">
      <c r="B53" s="132">
        <f>B44</f>
        <v>9.8077761792998472E-2</v>
      </c>
      <c r="C53" s="222">
        <f t="shared" ref="C53:C56" si="17">K44-$R40+$S40-$Q40</f>
        <v>219615.72151676059</v>
      </c>
      <c r="D53" s="222">
        <f t="shared" ref="D53:D56" si="18">L44-$R40+$S40-$Q40</f>
        <v>231981.7638933218</v>
      </c>
      <c r="E53" s="222">
        <f t="shared" ref="E53:E56" si="19">M44-$R40+$S40-$Q40</f>
        <v>246308.25033528006</v>
      </c>
      <c r="F53" s="222">
        <f t="shared" ref="F53:F56" si="20">N44-$R40+$S40-$Q40</f>
        <v>263101.51338839985</v>
      </c>
      <c r="G53" s="222">
        <f t="shared" ref="G53:G56" si="21">O44-$R40+$S40-$Q40</f>
        <v>283058.67455738469</v>
      </c>
      <c r="H53" s="72"/>
      <c r="I53" s="223"/>
      <c r="J53" s="224">
        <f>J44</f>
        <v>9.8077761792998472E-2</v>
      </c>
      <c r="K53" s="222">
        <f t="shared" si="16"/>
        <v>212.49542482183068</v>
      </c>
      <c r="L53" s="229">
        <f t="shared" si="16"/>
        <v>224.46054011514354</v>
      </c>
      <c r="M53" s="230">
        <f t="shared" si="16"/>
        <v>238.3225387082442</v>
      </c>
      <c r="N53" s="231">
        <f t="shared" si="16"/>
        <v>254.57133702728942</v>
      </c>
      <c r="O53" s="222">
        <f t="shared" si="16"/>
        <v>273.88145477092064</v>
      </c>
    </row>
    <row r="54" spans="2:19" x14ac:dyDescent="0.2">
      <c r="B54" s="132">
        <f>B45</f>
        <v>0.10807776179299847</v>
      </c>
      <c r="C54" s="222">
        <f t="shared" si="17"/>
        <v>194751.88392488527</v>
      </c>
      <c r="D54" s="222">
        <f t="shared" si="18"/>
        <v>203981.79816571216</v>
      </c>
      <c r="E54" s="222">
        <f t="shared" si="19"/>
        <v>214474.73880668683</v>
      </c>
      <c r="F54" s="222">
        <f t="shared" si="20"/>
        <v>226508.99637181076</v>
      </c>
      <c r="G54" s="222">
        <f t="shared" si="21"/>
        <v>240451.09867064859</v>
      </c>
      <c r="H54" s="72"/>
      <c r="I54" s="223"/>
      <c r="J54" s="224">
        <f>J45</f>
        <v>0.10807776179299847</v>
      </c>
      <c r="K54" s="222">
        <f t="shared" si="16"/>
        <v>188.43771303645957</v>
      </c>
      <c r="L54" s="232">
        <f t="shared" si="16"/>
        <v>197.36837853767184</v>
      </c>
      <c r="M54" s="222">
        <f t="shared" si="16"/>
        <v>207.5211210814883</v>
      </c>
      <c r="N54" s="233">
        <f t="shared" si="16"/>
        <v>219.16520856327261</v>
      </c>
      <c r="O54" s="222">
        <f t="shared" si="16"/>
        <v>232.6552853685202</v>
      </c>
    </row>
    <row r="55" spans="2:19" x14ac:dyDescent="0.2">
      <c r="B55" s="132">
        <f>B46</f>
        <v>0.11807776179299846</v>
      </c>
      <c r="C55" s="222">
        <f t="shared" si="17"/>
        <v>175240.65854571975</v>
      </c>
      <c r="D55" s="222">
        <f t="shared" si="18"/>
        <v>182349.39306752066</v>
      </c>
      <c r="E55" s="222">
        <f t="shared" si="19"/>
        <v>190313.79995800112</v>
      </c>
      <c r="F55" s="222">
        <f t="shared" si="20"/>
        <v>199298.26770929308</v>
      </c>
      <c r="G55" s="222">
        <f t="shared" si="21"/>
        <v>209512.17483185942</v>
      </c>
      <c r="H55" s="72"/>
      <c r="I55" s="223"/>
      <c r="J55" s="224">
        <f>J46</f>
        <v>0.11807776179299846</v>
      </c>
      <c r="K55" s="222">
        <f t="shared" si="16"/>
        <v>169.5590731234976</v>
      </c>
      <c r="L55" s="234">
        <f t="shared" si="16"/>
        <v>176.43733098100901</v>
      </c>
      <c r="M55" s="235">
        <f t="shared" si="16"/>
        <v>184.14351892583426</v>
      </c>
      <c r="N55" s="236">
        <f t="shared" si="16"/>
        <v>192.83669570946049</v>
      </c>
      <c r="O55" s="222">
        <f t="shared" si="16"/>
        <v>202.71945145258616</v>
      </c>
    </row>
    <row r="56" spans="2:19" x14ac:dyDescent="0.2">
      <c r="B56" s="132">
        <f>B47</f>
        <v>0.12807776179299846</v>
      </c>
      <c r="C56" s="138">
        <f t="shared" si="17"/>
        <v>159523.81489329223</v>
      </c>
      <c r="D56" s="138">
        <f t="shared" si="18"/>
        <v>165136.46392437292</v>
      </c>
      <c r="E56" s="138">
        <f t="shared" si="19"/>
        <v>171352.11940113528</v>
      </c>
      <c r="F56" s="138">
        <f t="shared" si="20"/>
        <v>178273.47576654766</v>
      </c>
      <c r="G56" s="138">
        <f t="shared" si="21"/>
        <v>186027.94995025874</v>
      </c>
      <c r="I56" s="136"/>
      <c r="J56" s="139">
        <f>J47</f>
        <v>0.12807776179299846</v>
      </c>
      <c r="K56" s="138">
        <f t="shared" si="16"/>
        <v>154.35179494816899</v>
      </c>
      <c r="L56" s="138">
        <f t="shared" si="16"/>
        <v>159.78247282495434</v>
      </c>
      <c r="M56" s="138">
        <f t="shared" si="16"/>
        <v>165.79660670370745</v>
      </c>
      <c r="N56" s="138">
        <f t="shared" si="16"/>
        <v>172.49356150755258</v>
      </c>
      <c r="O56" s="138">
        <f t="shared" si="16"/>
        <v>179.99662310331291</v>
      </c>
    </row>
    <row r="57" spans="2:19" ht="16" customHeight="1" x14ac:dyDescent="0.2"/>
    <row r="58" spans="2:19" ht="16" customHeight="1" x14ac:dyDescent="0.2"/>
    <row r="59" spans="2:19" ht="16" customHeight="1" x14ac:dyDescent="0.2"/>
    <row r="60" spans="2:19" x14ac:dyDescent="0.2">
      <c r="B60" s="242" t="s">
        <v>276</v>
      </c>
      <c r="C60" s="242"/>
      <c r="D60" s="242"/>
      <c r="E60" s="242"/>
      <c r="F60" s="242"/>
      <c r="G60" s="242"/>
      <c r="H60" s="242"/>
      <c r="I60" s="242"/>
      <c r="J60" s="242"/>
      <c r="K60" s="242"/>
      <c r="L60" s="242"/>
      <c r="M60" s="242"/>
      <c r="N60" s="242"/>
      <c r="O60" s="242"/>
      <c r="Q60" s="239" t="s">
        <v>273</v>
      </c>
      <c r="R60" s="239"/>
      <c r="S60" s="239"/>
    </row>
    <row r="62" spans="2:19" x14ac:dyDescent="0.2">
      <c r="C62" s="241" t="s">
        <v>197</v>
      </c>
      <c r="D62" s="241"/>
      <c r="E62" s="241"/>
      <c r="F62" s="241"/>
      <c r="G62" s="241"/>
      <c r="K62" s="241" t="s">
        <v>198</v>
      </c>
      <c r="L62" s="241"/>
      <c r="M62" s="241"/>
      <c r="N62" s="241"/>
      <c r="O62" s="241"/>
      <c r="Q62" s="14" t="s">
        <v>274</v>
      </c>
      <c r="S62" s="94">
        <f>'Financial Statements'!AB22</f>
        <v>83.047386973051744</v>
      </c>
    </row>
    <row r="63" spans="2:19" x14ac:dyDescent="0.2">
      <c r="C63" s="240" t="s">
        <v>203</v>
      </c>
      <c r="D63" s="240"/>
      <c r="E63" s="240"/>
      <c r="F63" s="240"/>
      <c r="G63" s="240"/>
      <c r="K63" s="240" t="s">
        <v>203</v>
      </c>
      <c r="L63" s="240"/>
      <c r="M63" s="240"/>
      <c r="N63" s="240"/>
      <c r="O63" s="240"/>
      <c r="Q63" s="14" t="s">
        <v>275</v>
      </c>
      <c r="S63" s="131">
        <f>55</f>
        <v>55</v>
      </c>
    </row>
    <row r="64" spans="2:19" x14ac:dyDescent="0.2">
      <c r="B64" s="133" t="s">
        <v>176</v>
      </c>
      <c r="C64" s="148">
        <f>D64-10</f>
        <v>30</v>
      </c>
      <c r="D64" s="148">
        <f>E64-10</f>
        <v>40</v>
      </c>
      <c r="E64" s="149">
        <v>50</v>
      </c>
      <c r="F64" s="148">
        <f>E64+10</f>
        <v>60</v>
      </c>
      <c r="G64" s="148">
        <f>F64+10</f>
        <v>70</v>
      </c>
      <c r="I64" s="136"/>
      <c r="J64" s="137" t="s">
        <v>176</v>
      </c>
      <c r="K64" s="148">
        <f>C64</f>
        <v>30</v>
      </c>
      <c r="L64" s="148">
        <f>D64</f>
        <v>40</v>
      </c>
      <c r="M64" s="226">
        <f>E64</f>
        <v>50</v>
      </c>
      <c r="N64" s="148">
        <f>F64</f>
        <v>60</v>
      </c>
      <c r="O64" s="148">
        <f>G64</f>
        <v>70</v>
      </c>
    </row>
    <row r="65" spans="2:15" x14ac:dyDescent="0.2">
      <c r="B65" s="132">
        <f t="shared" ref="B65" si="22">B66-1%</f>
        <v>8.8077761792998477E-2</v>
      </c>
      <c r="C65" s="138">
        <f t="shared" ref="C65:G69" si="23">$O$8*C$64/(1+$B65)^$O$29</f>
        <v>814224.8410453574</v>
      </c>
      <c r="D65" s="138">
        <f t="shared" si="23"/>
        <v>1085633.12139381</v>
      </c>
      <c r="E65" s="138">
        <f t="shared" si="23"/>
        <v>1357041.4017422625</v>
      </c>
      <c r="F65" s="138">
        <f t="shared" si="23"/>
        <v>1628449.6820907148</v>
      </c>
      <c r="G65" s="138">
        <f t="shared" si="23"/>
        <v>1899857.9624391675</v>
      </c>
      <c r="I65" s="136"/>
      <c r="J65" s="139">
        <f>B65</f>
        <v>8.8077761792998477E-2</v>
      </c>
      <c r="K65" s="138">
        <f t="shared" ref="K65:O69" si="24">C65+$H30</f>
        <v>870533.41521576687</v>
      </c>
      <c r="L65" s="138">
        <f t="shared" si="24"/>
        <v>1141941.6955642195</v>
      </c>
      <c r="M65" s="138">
        <f t="shared" si="24"/>
        <v>1413349.975912672</v>
      </c>
      <c r="N65" s="138">
        <f t="shared" si="24"/>
        <v>1684758.2562611243</v>
      </c>
      <c r="O65" s="138">
        <f t="shared" si="24"/>
        <v>1956166.536609577</v>
      </c>
    </row>
    <row r="66" spans="2:15" x14ac:dyDescent="0.2">
      <c r="B66" s="132">
        <f>B67-1%</f>
        <v>9.8077761792998472E-2</v>
      </c>
      <c r="C66" s="138">
        <f t="shared" si="23"/>
        <v>784967.54288697464</v>
      </c>
      <c r="D66" s="138">
        <f t="shared" si="23"/>
        <v>1046623.3905159662</v>
      </c>
      <c r="E66" s="138">
        <f t="shared" si="23"/>
        <v>1308279.2381449579</v>
      </c>
      <c r="F66" s="138">
        <f t="shared" si="23"/>
        <v>1569935.0857739493</v>
      </c>
      <c r="G66" s="138">
        <f t="shared" si="23"/>
        <v>1831590.9334029409</v>
      </c>
      <c r="I66" s="136"/>
      <c r="J66" s="139">
        <f>B66</f>
        <v>9.8077761792998472E-2</v>
      </c>
      <c r="K66" s="138">
        <f t="shared" si="24"/>
        <v>840215.92886219511</v>
      </c>
      <c r="L66" s="138">
        <f t="shared" si="24"/>
        <v>1101871.7764911866</v>
      </c>
      <c r="M66" s="138">
        <f t="shared" si="24"/>
        <v>1363527.6241201784</v>
      </c>
      <c r="N66" s="138">
        <f t="shared" si="24"/>
        <v>1625183.4717491698</v>
      </c>
      <c r="O66" s="138">
        <f t="shared" si="24"/>
        <v>1886839.3193781613</v>
      </c>
    </row>
    <row r="67" spans="2:15" x14ac:dyDescent="0.2">
      <c r="B67" s="132">
        <f>S14</f>
        <v>0.10807776179299847</v>
      </c>
      <c r="C67" s="138">
        <f t="shared" si="23"/>
        <v>757012.63628551923</v>
      </c>
      <c r="D67" s="138">
        <f t="shared" si="23"/>
        <v>1009350.1817140258</v>
      </c>
      <c r="E67" s="138">
        <f t="shared" si="23"/>
        <v>1261687.7271425324</v>
      </c>
      <c r="F67" s="138">
        <f t="shared" si="23"/>
        <v>1514025.2725710385</v>
      </c>
      <c r="G67" s="138">
        <f t="shared" si="23"/>
        <v>1766362.817999545</v>
      </c>
      <c r="I67" s="136"/>
      <c r="J67" s="139">
        <f>B67</f>
        <v>0.10807776179299847</v>
      </c>
      <c r="K67" s="138">
        <f t="shared" si="24"/>
        <v>811238.42562583974</v>
      </c>
      <c r="L67" s="138">
        <f t="shared" si="24"/>
        <v>1063575.9710543463</v>
      </c>
      <c r="M67" s="138">
        <f t="shared" si="24"/>
        <v>1315913.5164828529</v>
      </c>
      <c r="N67" s="138">
        <f t="shared" si="24"/>
        <v>1568251.061911359</v>
      </c>
      <c r="O67" s="138">
        <f t="shared" si="24"/>
        <v>1820588.6073398655</v>
      </c>
    </row>
    <row r="68" spans="2:15" x14ac:dyDescent="0.2">
      <c r="B68" s="132">
        <f>B67+1%</f>
        <v>0.11807776179299846</v>
      </c>
      <c r="C68" s="138">
        <f t="shared" si="23"/>
        <v>730291.16520314431</v>
      </c>
      <c r="D68" s="138">
        <f t="shared" si="23"/>
        <v>973721.55360419257</v>
      </c>
      <c r="E68" s="138">
        <f t="shared" si="23"/>
        <v>1217151.9420052408</v>
      </c>
      <c r="F68" s="138">
        <f t="shared" si="23"/>
        <v>1460582.3304062886</v>
      </c>
      <c r="G68" s="138">
        <f t="shared" si="23"/>
        <v>1704012.7188073369</v>
      </c>
      <c r="I68" s="136"/>
      <c r="J68" s="139">
        <f>B68</f>
        <v>0.11807776179299846</v>
      </c>
      <c r="K68" s="138">
        <f t="shared" si="24"/>
        <v>783530.21258797497</v>
      </c>
      <c r="L68" s="138">
        <f t="shared" si="24"/>
        <v>1026960.6009890232</v>
      </c>
      <c r="M68" s="138">
        <f t="shared" si="24"/>
        <v>1270390.9893900715</v>
      </c>
      <c r="N68" s="138">
        <f t="shared" si="24"/>
        <v>1513821.3777911193</v>
      </c>
      <c r="O68" s="138">
        <f t="shared" si="24"/>
        <v>1757251.7661921675</v>
      </c>
    </row>
    <row r="69" spans="2:15" x14ac:dyDescent="0.2">
      <c r="B69" s="132">
        <f>B68+1%</f>
        <v>0.12807776179299846</v>
      </c>
      <c r="C69" s="222">
        <f t="shared" si="23"/>
        <v>704738.39567740541</v>
      </c>
      <c r="D69" s="222">
        <f t="shared" si="23"/>
        <v>939651.19423654058</v>
      </c>
      <c r="E69" s="222">
        <f t="shared" si="23"/>
        <v>1174563.9927956758</v>
      </c>
      <c r="F69" s="222">
        <f t="shared" si="23"/>
        <v>1409476.7913548108</v>
      </c>
      <c r="G69" s="222">
        <f t="shared" si="23"/>
        <v>1644389.5899139461</v>
      </c>
      <c r="H69" s="72"/>
      <c r="I69" s="223"/>
      <c r="J69" s="224">
        <f>B69</f>
        <v>0.12807776179299846</v>
      </c>
      <c r="K69" s="222">
        <f t="shared" si="24"/>
        <v>757024.91598805017</v>
      </c>
      <c r="L69" s="222">
        <f t="shared" si="24"/>
        <v>991937.71454718534</v>
      </c>
      <c r="M69" s="222">
        <f t="shared" si="24"/>
        <v>1226850.5131063205</v>
      </c>
      <c r="N69" s="222">
        <f t="shared" si="24"/>
        <v>1461763.3116654556</v>
      </c>
      <c r="O69" s="222">
        <f t="shared" si="24"/>
        <v>1696676.1102245909</v>
      </c>
    </row>
    <row r="70" spans="2:15" x14ac:dyDescent="0.2">
      <c r="C70" s="223"/>
      <c r="D70" s="223"/>
      <c r="E70" s="223"/>
      <c r="F70" s="223"/>
      <c r="G70" s="223"/>
      <c r="H70" s="72"/>
      <c r="I70" s="223"/>
      <c r="J70" s="223"/>
      <c r="K70" s="223"/>
      <c r="L70" s="223"/>
      <c r="M70" s="223"/>
      <c r="N70" s="223"/>
      <c r="O70" s="223"/>
    </row>
    <row r="71" spans="2:15" x14ac:dyDescent="0.2">
      <c r="C71" s="244" t="s">
        <v>200</v>
      </c>
      <c r="D71" s="244"/>
      <c r="E71" s="244"/>
      <c r="F71" s="244"/>
      <c r="G71" s="244"/>
      <c r="H71" s="72"/>
      <c r="I71" s="223"/>
      <c r="J71" s="223"/>
      <c r="K71" s="244" t="s">
        <v>201</v>
      </c>
      <c r="L71" s="244"/>
      <c r="M71" s="244"/>
      <c r="N71" s="244"/>
      <c r="O71" s="244"/>
    </row>
    <row r="72" spans="2:15" x14ac:dyDescent="0.2">
      <c r="C72" s="243" t="s">
        <v>203</v>
      </c>
      <c r="D72" s="243"/>
      <c r="E72" s="243"/>
      <c r="F72" s="243"/>
      <c r="G72" s="243"/>
      <c r="H72" s="72"/>
      <c r="I72" s="223"/>
      <c r="J72" s="223"/>
      <c r="K72" s="243" t="s">
        <v>203</v>
      </c>
      <c r="L72" s="243"/>
      <c r="M72" s="243"/>
      <c r="N72" s="243"/>
      <c r="O72" s="243"/>
    </row>
    <row r="73" spans="2:15" x14ac:dyDescent="0.2">
      <c r="B73" s="133" t="s">
        <v>176</v>
      </c>
      <c r="C73" s="237">
        <f>C64</f>
        <v>30</v>
      </c>
      <c r="D73" s="237">
        <f>D64</f>
        <v>40</v>
      </c>
      <c r="E73" s="238">
        <f>E64</f>
        <v>50</v>
      </c>
      <c r="F73" s="237">
        <f>F64</f>
        <v>60</v>
      </c>
      <c r="G73" s="237">
        <f>G64</f>
        <v>70</v>
      </c>
      <c r="H73" s="72"/>
      <c r="I73" s="225"/>
      <c r="J73" s="227" t="s">
        <v>176</v>
      </c>
      <c r="K73" s="226">
        <f>C64</f>
        <v>30</v>
      </c>
      <c r="L73" s="226">
        <f t="shared" ref="L73:O73" si="25">D64</f>
        <v>40</v>
      </c>
      <c r="M73" s="226">
        <f t="shared" si="25"/>
        <v>50</v>
      </c>
      <c r="N73" s="226">
        <f t="shared" si="25"/>
        <v>60</v>
      </c>
      <c r="O73" s="226">
        <f t="shared" si="25"/>
        <v>70</v>
      </c>
    </row>
    <row r="74" spans="2:15" x14ac:dyDescent="0.2">
      <c r="B74" s="132">
        <f>B65</f>
        <v>8.8077761792998477E-2</v>
      </c>
      <c r="C74" s="138">
        <f>K65-$R39+$S39-$Q39</f>
        <v>877735.41521576687</v>
      </c>
      <c r="D74" s="138">
        <f t="shared" ref="D74:G78" si="26">L65-$R39+$S39-$Q39</f>
        <v>1149143.6955642195</v>
      </c>
      <c r="E74" s="138">
        <f t="shared" si="26"/>
        <v>1420551.975912672</v>
      </c>
      <c r="F74" s="138">
        <f t="shared" si="26"/>
        <v>1691960.2562611243</v>
      </c>
      <c r="G74" s="138">
        <f t="shared" si="26"/>
        <v>1963368.536609577</v>
      </c>
      <c r="I74" s="136"/>
      <c r="J74" s="139">
        <f>J65</f>
        <v>8.8077761792998477E-2</v>
      </c>
      <c r="K74" s="138">
        <f t="shared" ref="K74:O78" si="27">C74/$S$18</f>
        <v>849.2778142169841</v>
      </c>
      <c r="L74" s="138">
        <f t="shared" si="27"/>
        <v>1111.8865993917991</v>
      </c>
      <c r="M74" s="138">
        <f t="shared" si="27"/>
        <v>1374.4953845666139</v>
      </c>
      <c r="N74" s="138">
        <f t="shared" si="27"/>
        <v>1637.1041697414284</v>
      </c>
      <c r="O74" s="138">
        <f t="shared" si="27"/>
        <v>1899.7129549162435</v>
      </c>
    </row>
    <row r="75" spans="2:15" x14ac:dyDescent="0.2">
      <c r="B75" s="132">
        <f t="shared" ref="B75:B78" si="28">B66</f>
        <v>9.8077761792998472E-2</v>
      </c>
      <c r="C75" s="138">
        <f t="shared" ref="C75:C78" si="29">K66-$R40+$S40-$Q40</f>
        <v>847417.92886219511</v>
      </c>
      <c r="D75" s="138">
        <f t="shared" si="26"/>
        <v>1109073.7764911866</v>
      </c>
      <c r="E75" s="138">
        <f t="shared" si="26"/>
        <v>1370729.6241201784</v>
      </c>
      <c r="F75" s="138">
        <f t="shared" si="26"/>
        <v>1632385.4717491698</v>
      </c>
      <c r="G75" s="138">
        <f t="shared" si="26"/>
        <v>1894041.3193781613</v>
      </c>
      <c r="I75" s="136"/>
      <c r="J75" s="139">
        <f t="shared" ref="J75:J78" si="30">J66</f>
        <v>9.8077761792998472E-2</v>
      </c>
      <c r="K75" s="138">
        <f t="shared" si="27"/>
        <v>819.94326977845844</v>
      </c>
      <c r="L75" s="140">
        <f t="shared" si="27"/>
        <v>1073.1158118671424</v>
      </c>
      <c r="M75" s="141">
        <f t="shared" si="27"/>
        <v>1326.2883539558266</v>
      </c>
      <c r="N75" s="142">
        <f t="shared" si="27"/>
        <v>1579.4608960445103</v>
      </c>
      <c r="O75" s="138">
        <f t="shared" si="27"/>
        <v>1832.6334381331942</v>
      </c>
    </row>
    <row r="76" spans="2:15" x14ac:dyDescent="0.2">
      <c r="B76" s="132">
        <f>B67</f>
        <v>0.10807776179299847</v>
      </c>
      <c r="C76" s="138">
        <f t="shared" si="29"/>
        <v>818440.42562583974</v>
      </c>
      <c r="D76" s="138">
        <f t="shared" si="26"/>
        <v>1070777.9710543463</v>
      </c>
      <c r="E76" s="138">
        <f>M67-$R41+$S41-$Q41</f>
        <v>1323115.5164828529</v>
      </c>
      <c r="F76" s="138">
        <f t="shared" si="26"/>
        <v>1575453.061911359</v>
      </c>
      <c r="G76" s="138">
        <f t="shared" si="26"/>
        <v>1827790.6073398655</v>
      </c>
      <c r="I76" s="136"/>
      <c r="J76" s="139">
        <f t="shared" si="30"/>
        <v>0.10807776179299847</v>
      </c>
      <c r="K76" s="138">
        <f t="shared" si="27"/>
        <v>791.90526403843967</v>
      </c>
      <c r="L76" s="143">
        <f t="shared" si="27"/>
        <v>1036.0616183467823</v>
      </c>
      <c r="M76" s="138">
        <f t="shared" si="27"/>
        <v>1280.2179726551249</v>
      </c>
      <c r="N76" s="144">
        <f t="shared" si="27"/>
        <v>1524.374326963467</v>
      </c>
      <c r="O76" s="138">
        <f t="shared" si="27"/>
        <v>1768.5306812718097</v>
      </c>
    </row>
    <row r="77" spans="2:15" x14ac:dyDescent="0.2">
      <c r="B77" s="132">
        <f>B68</f>
        <v>0.11807776179299846</v>
      </c>
      <c r="C77" s="138">
        <f t="shared" si="29"/>
        <v>790732.21258797497</v>
      </c>
      <c r="D77" s="138">
        <f t="shared" si="26"/>
        <v>1034162.6009890232</v>
      </c>
      <c r="E77" s="138">
        <f t="shared" si="26"/>
        <v>1277592.9893900715</v>
      </c>
      <c r="F77" s="138">
        <f t="shared" si="26"/>
        <v>1521023.3777911193</v>
      </c>
      <c r="G77" s="138">
        <f t="shared" si="26"/>
        <v>1764453.7661921675</v>
      </c>
      <c r="I77" s="136"/>
      <c r="J77" s="139">
        <f t="shared" si="30"/>
        <v>0.11807776179299846</v>
      </c>
      <c r="K77" s="138">
        <f t="shared" si="27"/>
        <v>765.09539605690031</v>
      </c>
      <c r="L77" s="145">
        <f t="shared" si="27"/>
        <v>1000.6333777668128</v>
      </c>
      <c r="M77" s="146">
        <f t="shared" si="27"/>
        <v>1236.1713594767252</v>
      </c>
      <c r="N77" s="147">
        <f t="shared" si="27"/>
        <v>1471.7093411866374</v>
      </c>
      <c r="O77" s="138">
        <f t="shared" si="27"/>
        <v>1707.2473228965498</v>
      </c>
    </row>
    <row r="78" spans="2:15" x14ac:dyDescent="0.2">
      <c r="B78" s="132">
        <f t="shared" si="28"/>
        <v>0.12807776179299846</v>
      </c>
      <c r="C78" s="138">
        <f t="shared" si="29"/>
        <v>764226.91598805017</v>
      </c>
      <c r="D78" s="138">
        <f t="shared" si="26"/>
        <v>999139.71454718534</v>
      </c>
      <c r="E78" s="138">
        <f t="shared" si="26"/>
        <v>1234052.5131063205</v>
      </c>
      <c r="F78" s="138">
        <f t="shared" si="26"/>
        <v>1468965.3116654556</v>
      </c>
      <c r="G78" s="138">
        <f t="shared" si="26"/>
        <v>1703878.1102245909</v>
      </c>
      <c r="I78" s="136"/>
      <c r="J78" s="139">
        <f t="shared" si="30"/>
        <v>0.12807776179299846</v>
      </c>
      <c r="K78" s="138">
        <f t="shared" si="27"/>
        <v>739.44944401789837</v>
      </c>
      <c r="L78" s="138">
        <f t="shared" si="27"/>
        <v>966.74598991704499</v>
      </c>
      <c r="M78" s="138">
        <f t="shared" si="27"/>
        <v>1194.0425358161915</v>
      </c>
      <c r="N78" s="138">
        <f t="shared" si="27"/>
        <v>1421.3390817153379</v>
      </c>
      <c r="O78" s="138">
        <f t="shared" si="27"/>
        <v>1648.6356276144847</v>
      </c>
    </row>
  </sheetData>
  <mergeCells count="21">
    <mergeCell ref="Q60:S60"/>
    <mergeCell ref="C63:G63"/>
    <mergeCell ref="K63:O63"/>
    <mergeCell ref="C71:G71"/>
    <mergeCell ref="K71:O71"/>
    <mergeCell ref="C72:G72"/>
    <mergeCell ref="K72:O72"/>
    <mergeCell ref="C49:G49"/>
    <mergeCell ref="K49:O49"/>
    <mergeCell ref="C50:G50"/>
    <mergeCell ref="K50:O50"/>
    <mergeCell ref="C62:G62"/>
    <mergeCell ref="K62:O62"/>
    <mergeCell ref="B60:O60"/>
    <mergeCell ref="Q4:S4"/>
    <mergeCell ref="S26:W26"/>
    <mergeCell ref="C40:G40"/>
    <mergeCell ref="K40:O40"/>
    <mergeCell ref="C41:G41"/>
    <mergeCell ref="K41:O41"/>
    <mergeCell ref="B38:O38"/>
  </mergeCells>
  <hyperlinks>
    <hyperlink ref="Q21" r:id="rId1" location="Consolidated_Statmnts_of_Cmprehnsve_Loss" xr:uid="{A71C953D-1A9C-214E-B5B2-B1F8786BE476}"/>
    <hyperlink ref="Q20" r:id="rId2" location="consolidated_statmnts_of_cmprehnsve_loss" xr:uid="{6FF049A6-8EA2-1045-B288-F8BC690159EA}"/>
  </hyperlinks>
  <pageMargins left="0.7" right="0.7" top="0.75" bottom="0.75" header="0.3" footer="0.3"/>
  <pageSetup orientation="portrait" horizontalDpi="0" verticalDpi="0"/>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C86D1-16E3-2349-BBC9-E28CDE2DB853}">
  <dimension ref="B2:U42"/>
  <sheetViews>
    <sheetView zoomScale="130" zoomScaleNormal="130" workbookViewId="0">
      <selection activeCell="B44" sqref="B44"/>
    </sheetView>
  </sheetViews>
  <sheetFormatPr baseColWidth="10" defaultRowHeight="16" x14ac:dyDescent="0.2"/>
  <cols>
    <col min="1" max="1" width="10.83203125" style="14"/>
    <col min="2" max="2" width="32.83203125" style="14" customWidth="1"/>
    <col min="3" max="4" width="10.83203125" style="14" hidden="1" customWidth="1"/>
    <col min="5" max="5" width="10.83203125" style="14"/>
    <col min="6" max="6" width="11.1640625" style="14" bestFit="1" customWidth="1"/>
    <col min="7" max="13" width="10.83203125" style="14"/>
    <col min="14" max="15" width="0" style="14" hidden="1" customWidth="1"/>
    <col min="16" max="16384" width="10.83203125" style="14"/>
  </cols>
  <sheetData>
    <row r="2" spans="2:21" x14ac:dyDescent="0.2">
      <c r="B2" s="10" t="s">
        <v>0</v>
      </c>
    </row>
    <row r="3" spans="2:21" x14ac:dyDescent="0.2">
      <c r="Q3" s="245"/>
      <c r="R3" s="245"/>
      <c r="S3" s="245"/>
      <c r="T3" s="245"/>
      <c r="U3" s="245"/>
    </row>
    <row r="4" spans="2:21" x14ac:dyDescent="0.2">
      <c r="B4" s="38" t="s">
        <v>1</v>
      </c>
      <c r="C4" s="39">
        <v>2016</v>
      </c>
      <c r="D4" s="39">
        <v>2017</v>
      </c>
      <c r="E4" s="40">
        <v>2018</v>
      </c>
      <c r="F4" s="40">
        <v>2019</v>
      </c>
      <c r="G4" s="40">
        <v>2020</v>
      </c>
      <c r="H4" s="40">
        <v>2021</v>
      </c>
      <c r="I4" s="41">
        <v>2022</v>
      </c>
      <c r="J4" s="41">
        <v>2023</v>
      </c>
      <c r="K4" s="41">
        <v>2024</v>
      </c>
      <c r="L4" s="41">
        <v>2025</v>
      </c>
      <c r="M4" s="41">
        <v>2026</v>
      </c>
      <c r="N4" s="41">
        <v>2027</v>
      </c>
      <c r="O4" s="41">
        <v>2028</v>
      </c>
      <c r="R4" s="239" t="s">
        <v>2</v>
      </c>
      <c r="S4" s="239"/>
      <c r="T4" s="239"/>
    </row>
    <row r="5" spans="2:21" x14ac:dyDescent="0.2">
      <c r="B5" s="14" t="s">
        <v>3</v>
      </c>
      <c r="C5" s="14">
        <v>50.9</v>
      </c>
      <c r="D5" s="14">
        <v>54.8</v>
      </c>
      <c r="E5" s="24">
        <v>50.7</v>
      </c>
      <c r="F5" s="24">
        <v>34.299999999999997</v>
      </c>
      <c r="G5" s="42">
        <v>28.535499999999999</v>
      </c>
      <c r="H5" s="42">
        <v>22.940999999999999</v>
      </c>
      <c r="I5" s="43">
        <v>30</v>
      </c>
      <c r="J5" s="43">
        <v>40</v>
      </c>
      <c r="K5" s="43">
        <v>50</v>
      </c>
      <c r="L5" s="43">
        <v>60</v>
      </c>
      <c r="M5" s="43">
        <v>70</v>
      </c>
      <c r="N5" s="42">
        <v>33.451999999999998</v>
      </c>
      <c r="O5" s="42">
        <v>33.314</v>
      </c>
      <c r="R5" s="14" t="s">
        <v>4</v>
      </c>
      <c r="T5" s="14">
        <v>500</v>
      </c>
    </row>
    <row r="6" spans="2:21" x14ac:dyDescent="0.2">
      <c r="B6" s="14" t="s">
        <v>5</v>
      </c>
      <c r="C6" s="14">
        <v>25.3</v>
      </c>
      <c r="D6" s="14">
        <v>46.6</v>
      </c>
      <c r="E6" s="24">
        <v>48.7</v>
      </c>
      <c r="F6" s="24">
        <v>32.4</v>
      </c>
      <c r="G6" s="42">
        <v>27.513999999999999</v>
      </c>
      <c r="H6" s="42">
        <v>2.3069999999999999</v>
      </c>
      <c r="I6" s="43">
        <v>20</v>
      </c>
      <c r="J6" s="43">
        <v>30</v>
      </c>
      <c r="K6" s="43">
        <v>40</v>
      </c>
      <c r="L6" s="43">
        <v>50</v>
      </c>
      <c r="M6" s="43">
        <v>60</v>
      </c>
      <c r="N6" s="42">
        <v>52.137999999999998</v>
      </c>
      <c r="O6" s="42">
        <v>53.63</v>
      </c>
      <c r="R6" s="14" t="s">
        <v>6</v>
      </c>
      <c r="T6" s="14">
        <v>1000</v>
      </c>
    </row>
    <row r="7" spans="2:21" x14ac:dyDescent="0.2">
      <c r="B7" s="14" t="s">
        <v>7</v>
      </c>
      <c r="D7" s="14">
        <v>1.8</v>
      </c>
      <c r="E7" s="24">
        <v>146.1</v>
      </c>
      <c r="F7" s="24">
        <v>300.89999999999998</v>
      </c>
      <c r="G7" s="42">
        <v>364.42099999999999</v>
      </c>
      <c r="H7" s="42">
        <v>487.64600000000002</v>
      </c>
      <c r="I7" s="43">
        <v>650</v>
      </c>
      <c r="J7" s="43">
        <v>900</v>
      </c>
      <c r="K7" s="43">
        <v>1200</v>
      </c>
      <c r="L7" s="43">
        <v>1400</v>
      </c>
      <c r="M7" s="43">
        <v>1500</v>
      </c>
      <c r="N7" s="43">
        <f>M7+$I$33</f>
        <v>1484.5356666666667</v>
      </c>
      <c r="O7" s="43">
        <f>N7+$I$33</f>
        <v>1469.0713333333333</v>
      </c>
      <c r="R7" s="14" t="s">
        <v>8</v>
      </c>
      <c r="T7" s="14">
        <v>500</v>
      </c>
    </row>
    <row r="8" spans="2:21" x14ac:dyDescent="0.2">
      <c r="B8" s="14" t="s">
        <v>9</v>
      </c>
      <c r="C8" s="44"/>
      <c r="D8" s="44"/>
      <c r="E8" s="15"/>
      <c r="F8" s="15"/>
      <c r="G8" s="45">
        <v>80</v>
      </c>
      <c r="H8" s="45">
        <v>434.06599999999997</v>
      </c>
      <c r="I8" s="46">
        <v>800</v>
      </c>
      <c r="J8" s="46">
        <v>1250</v>
      </c>
      <c r="K8" s="46">
        <v>1700</v>
      </c>
      <c r="L8" s="46">
        <v>1800</v>
      </c>
      <c r="M8" s="46">
        <v>1925</v>
      </c>
      <c r="N8" s="42">
        <v>1955.17</v>
      </c>
      <c r="O8" s="42">
        <v>2012.98</v>
      </c>
      <c r="R8" s="44" t="s">
        <v>10</v>
      </c>
      <c r="S8" s="44"/>
      <c r="T8" s="44">
        <v>500</v>
      </c>
    </row>
    <row r="9" spans="2:21" x14ac:dyDescent="0.2">
      <c r="B9" s="14" t="s">
        <v>11</v>
      </c>
      <c r="E9" s="24">
        <f>SUM(E5:E8)</f>
        <v>245.5</v>
      </c>
      <c r="F9" s="24">
        <f t="shared" ref="F9:L9" si="0">SUM(F5:F8)</f>
        <v>367.59999999999997</v>
      </c>
      <c r="G9" s="24">
        <f t="shared" si="0"/>
        <v>500.47050000000002</v>
      </c>
      <c r="H9" s="24">
        <f t="shared" si="0"/>
        <v>946.96</v>
      </c>
      <c r="I9" s="24">
        <f>SUM(I5:I8)</f>
        <v>1500</v>
      </c>
      <c r="J9" s="24">
        <f t="shared" si="0"/>
        <v>2220</v>
      </c>
      <c r="K9" s="24">
        <f t="shared" si="0"/>
        <v>2990</v>
      </c>
      <c r="L9" s="24">
        <f t="shared" si="0"/>
        <v>3310</v>
      </c>
      <c r="M9" s="24">
        <f>SUM(M5:M8)</f>
        <v>3555</v>
      </c>
      <c r="N9" s="24"/>
      <c r="O9" s="24"/>
      <c r="P9" s="89" t="s">
        <v>228</v>
      </c>
      <c r="R9" s="14" t="s">
        <v>12</v>
      </c>
      <c r="T9" s="14">
        <f>SUM(T5:T8)</f>
        <v>2500</v>
      </c>
    </row>
    <row r="10" spans="2:21" x14ac:dyDescent="0.2">
      <c r="B10" s="10" t="s">
        <v>179</v>
      </c>
      <c r="E10" s="24"/>
      <c r="F10" s="58">
        <f t="shared" ref="F10:M10" si="1">F9/E9-1</f>
        <v>0.49735234215885926</v>
      </c>
      <c r="G10" s="58">
        <f t="shared" si="1"/>
        <v>0.36145402611534294</v>
      </c>
      <c r="H10" s="58">
        <f t="shared" si="1"/>
        <v>0.89213949673357362</v>
      </c>
      <c r="I10" s="58">
        <f>I9/H9-1</f>
        <v>0.58401622032609612</v>
      </c>
      <c r="J10" s="58">
        <f t="shared" si="1"/>
        <v>0.48</v>
      </c>
      <c r="K10" s="58">
        <f t="shared" si="1"/>
        <v>0.34684684684684686</v>
      </c>
      <c r="L10" s="58">
        <f t="shared" si="1"/>
        <v>0.10702341137123739</v>
      </c>
      <c r="M10" s="58">
        <f t="shared" si="1"/>
        <v>7.4018126888217628E-2</v>
      </c>
      <c r="N10" s="12">
        <f>AVERAGE(E29:M29)</f>
        <v>0.43428807850277756</v>
      </c>
      <c r="O10" s="10"/>
      <c r="P10" s="92">
        <f>AVERAGE(E10:H10)</f>
        <v>0.58364862166925857</v>
      </c>
    </row>
    <row r="11" spans="2:21" x14ac:dyDescent="0.2">
      <c r="B11" s="10"/>
      <c r="E11" s="24"/>
      <c r="F11" s="24"/>
      <c r="G11" s="24"/>
      <c r="H11" s="24"/>
      <c r="I11" s="24"/>
      <c r="J11" s="24"/>
      <c r="K11" s="24"/>
      <c r="L11" s="24"/>
      <c r="M11" s="24"/>
      <c r="N11" s="24"/>
      <c r="O11" s="24"/>
    </row>
    <row r="12" spans="2:21" x14ac:dyDescent="0.2">
      <c r="B12" s="47" t="s">
        <v>13</v>
      </c>
      <c r="C12" s="48">
        <v>95</v>
      </c>
      <c r="E12" s="24">
        <v>95</v>
      </c>
      <c r="F12" s="49">
        <f>(G12+E12)/2</f>
        <v>92.22475</v>
      </c>
      <c r="G12" s="42">
        <v>89.4495</v>
      </c>
      <c r="H12" s="42">
        <v>109</v>
      </c>
      <c r="I12" s="43">
        <f>K32</f>
        <v>96.418562500000007</v>
      </c>
      <c r="J12" s="43">
        <f>I12</f>
        <v>96.418562500000007</v>
      </c>
      <c r="K12" s="43">
        <f t="shared" ref="K12:M12" si="2">J12</f>
        <v>96.418562500000007</v>
      </c>
      <c r="L12" s="43">
        <f t="shared" si="2"/>
        <v>96.418562500000007</v>
      </c>
      <c r="M12" s="43">
        <f t="shared" si="2"/>
        <v>96.418562500000007</v>
      </c>
      <c r="N12" s="24"/>
      <c r="O12" s="24"/>
    </row>
    <row r="13" spans="2:21" x14ac:dyDescent="0.2">
      <c r="B13" s="47" t="s">
        <v>14</v>
      </c>
      <c r="C13" s="48">
        <v>100</v>
      </c>
      <c r="E13" s="24">
        <v>107</v>
      </c>
      <c r="F13" s="49">
        <f>(G13+E13)/2</f>
        <v>102.5</v>
      </c>
      <c r="G13" s="42">
        <v>98</v>
      </c>
      <c r="H13" s="42">
        <v>153</v>
      </c>
      <c r="I13" s="43">
        <f t="shared" ref="I13:I15" si="3">K33</f>
        <v>115.125</v>
      </c>
      <c r="J13" s="43">
        <f t="shared" ref="J13:M15" si="4">I13</f>
        <v>115.125</v>
      </c>
      <c r="K13" s="43">
        <f t="shared" si="4"/>
        <v>115.125</v>
      </c>
      <c r="L13" s="43">
        <f t="shared" si="4"/>
        <v>115.125</v>
      </c>
      <c r="M13" s="43">
        <f t="shared" si="4"/>
        <v>115.125</v>
      </c>
      <c r="N13" s="24"/>
      <c r="O13" s="24"/>
    </row>
    <row r="14" spans="2:21" x14ac:dyDescent="0.2">
      <c r="B14" s="47" t="s">
        <v>15</v>
      </c>
      <c r="C14" s="48">
        <v>43</v>
      </c>
      <c r="E14" s="24">
        <v>57</v>
      </c>
      <c r="F14" s="24">
        <v>49</v>
      </c>
      <c r="G14" s="42">
        <v>46.784500000000001</v>
      </c>
      <c r="H14" s="42">
        <v>43</v>
      </c>
      <c r="I14" s="43">
        <f t="shared" si="3"/>
        <v>48.946125000000002</v>
      </c>
      <c r="J14" s="43">
        <f t="shared" si="4"/>
        <v>48.946125000000002</v>
      </c>
      <c r="K14" s="43">
        <f t="shared" si="4"/>
        <v>48.946125000000002</v>
      </c>
      <c r="L14" s="43">
        <f t="shared" si="4"/>
        <v>48.946125000000002</v>
      </c>
      <c r="M14" s="43">
        <f t="shared" si="4"/>
        <v>48.946125000000002</v>
      </c>
      <c r="N14" s="24"/>
      <c r="O14" s="24"/>
    </row>
    <row r="15" spans="2:21" x14ac:dyDescent="0.2">
      <c r="B15" s="14" t="s">
        <v>16</v>
      </c>
      <c r="E15" s="24"/>
      <c r="F15" s="24"/>
      <c r="G15" s="42">
        <v>62</v>
      </c>
      <c r="H15" s="42">
        <v>54</v>
      </c>
      <c r="I15" s="43">
        <f t="shared" si="3"/>
        <v>58</v>
      </c>
      <c r="J15" s="43">
        <f t="shared" si="4"/>
        <v>58</v>
      </c>
      <c r="K15" s="43">
        <f t="shared" si="4"/>
        <v>58</v>
      </c>
      <c r="L15" s="43">
        <f t="shared" si="4"/>
        <v>58</v>
      </c>
      <c r="M15" s="43">
        <f t="shared" si="4"/>
        <v>58</v>
      </c>
      <c r="N15" s="24"/>
      <c r="O15" s="24"/>
    </row>
    <row r="16" spans="2:21" x14ac:dyDescent="0.2">
      <c r="E16" s="24"/>
      <c r="F16" s="24"/>
      <c r="G16" s="42"/>
      <c r="H16" s="42"/>
      <c r="I16" s="42"/>
      <c r="J16" s="42"/>
      <c r="K16" s="42"/>
      <c r="L16" s="42"/>
      <c r="M16" s="24"/>
      <c r="N16" s="24"/>
      <c r="O16" s="24"/>
    </row>
    <row r="17" spans="2:16" x14ac:dyDescent="0.2">
      <c r="B17" s="14" t="s">
        <v>17</v>
      </c>
      <c r="E17" s="24">
        <f t="shared" ref="E17:M17" si="5">E5*E12</f>
        <v>4816.5</v>
      </c>
      <c r="F17" s="24">
        <f t="shared" si="5"/>
        <v>3163.3089249999998</v>
      </c>
      <c r="G17" s="24">
        <f t="shared" si="5"/>
        <v>2552.48620725</v>
      </c>
      <c r="H17" s="24">
        <f t="shared" si="5"/>
        <v>2500.569</v>
      </c>
      <c r="I17" s="24">
        <f t="shared" si="5"/>
        <v>2892.5568750000002</v>
      </c>
      <c r="J17" s="24">
        <f t="shared" si="5"/>
        <v>3856.7425000000003</v>
      </c>
      <c r="K17" s="24">
        <f t="shared" si="5"/>
        <v>4820.9281250000004</v>
      </c>
      <c r="L17" s="24">
        <f t="shared" si="5"/>
        <v>5785.1137500000004</v>
      </c>
      <c r="M17" s="24">
        <f t="shared" si="5"/>
        <v>6749.2993750000005</v>
      </c>
      <c r="N17" s="24"/>
      <c r="O17" s="24"/>
    </row>
    <row r="18" spans="2:16" x14ac:dyDescent="0.2">
      <c r="B18" s="14" t="s">
        <v>18</v>
      </c>
      <c r="E18" s="24">
        <f t="shared" ref="E18:M18" si="6">E6*E13</f>
        <v>5210.9000000000005</v>
      </c>
      <c r="F18" s="24">
        <f t="shared" si="6"/>
        <v>3321</v>
      </c>
      <c r="G18" s="24">
        <f t="shared" si="6"/>
        <v>2696.3719999999998</v>
      </c>
      <c r="H18" s="24">
        <f t="shared" si="6"/>
        <v>352.971</v>
      </c>
      <c r="I18" s="24">
        <f t="shared" si="6"/>
        <v>2302.5</v>
      </c>
      <c r="J18" s="24">
        <f t="shared" si="6"/>
        <v>3453.75</v>
      </c>
      <c r="K18" s="24">
        <f t="shared" si="6"/>
        <v>4605</v>
      </c>
      <c r="L18" s="24">
        <f t="shared" si="6"/>
        <v>5756.25</v>
      </c>
      <c r="M18" s="24">
        <f t="shared" si="6"/>
        <v>6907.5</v>
      </c>
      <c r="N18" s="24"/>
      <c r="O18" s="24"/>
    </row>
    <row r="19" spans="2:16" x14ac:dyDescent="0.2">
      <c r="B19" s="14" t="s">
        <v>19</v>
      </c>
      <c r="E19" s="24">
        <f t="shared" ref="E19:M19" si="7">E7*E14</f>
        <v>8327.6999999999989</v>
      </c>
      <c r="F19" s="24">
        <f t="shared" si="7"/>
        <v>14744.099999999999</v>
      </c>
      <c r="G19" s="24">
        <f t="shared" si="7"/>
        <v>17049.254274499999</v>
      </c>
      <c r="H19" s="24">
        <f t="shared" si="7"/>
        <v>20968.778000000002</v>
      </c>
      <c r="I19" s="24">
        <f t="shared" si="7"/>
        <v>31814.981250000001</v>
      </c>
      <c r="J19" s="24">
        <f t="shared" si="7"/>
        <v>44051.512500000004</v>
      </c>
      <c r="K19" s="24">
        <f t="shared" si="7"/>
        <v>58735.350000000006</v>
      </c>
      <c r="L19" s="24">
        <f t="shared" si="7"/>
        <v>68524.574999999997</v>
      </c>
      <c r="M19" s="24">
        <f t="shared" si="7"/>
        <v>73419.1875</v>
      </c>
      <c r="N19" s="24"/>
      <c r="O19" s="24"/>
    </row>
    <row r="20" spans="2:16" x14ac:dyDescent="0.2">
      <c r="B20" s="14" t="s">
        <v>20</v>
      </c>
      <c r="C20" s="44"/>
      <c r="D20" s="44"/>
      <c r="E20" s="15"/>
      <c r="F20" s="15"/>
      <c r="G20" s="15">
        <f t="shared" ref="G20:M20" si="8">G8*G15</f>
        <v>4960</v>
      </c>
      <c r="H20" s="15">
        <f t="shared" si="8"/>
        <v>23439.563999999998</v>
      </c>
      <c r="I20" s="15">
        <f t="shared" si="8"/>
        <v>46400</v>
      </c>
      <c r="J20" s="15">
        <f t="shared" si="8"/>
        <v>72500</v>
      </c>
      <c r="K20" s="15">
        <f t="shared" si="8"/>
        <v>98600</v>
      </c>
      <c r="L20" s="15">
        <f t="shared" si="8"/>
        <v>104400</v>
      </c>
      <c r="M20" s="15">
        <f t="shared" si="8"/>
        <v>111650</v>
      </c>
      <c r="N20" s="24"/>
      <c r="O20" s="24"/>
    </row>
    <row r="21" spans="2:16" x14ac:dyDescent="0.2">
      <c r="B21" s="50" t="s">
        <v>21</v>
      </c>
      <c r="E21" s="51">
        <f>SUM(E17:E20)</f>
        <v>18355.099999999999</v>
      </c>
      <c r="F21" s="51">
        <f t="shared" ref="F21:M21" si="9">SUM(F17:F20)</f>
        <v>21228.408924999996</v>
      </c>
      <c r="G21" s="51">
        <f t="shared" si="9"/>
        <v>27258.112481749999</v>
      </c>
      <c r="H21" s="51">
        <f t="shared" si="9"/>
        <v>47261.881999999998</v>
      </c>
      <c r="I21" s="51">
        <f t="shared" si="9"/>
        <v>83410.038124999992</v>
      </c>
      <c r="J21" s="51">
        <f t="shared" si="9"/>
        <v>123862.005</v>
      </c>
      <c r="K21" s="51">
        <f t="shared" si="9"/>
        <v>166761.27812500001</v>
      </c>
      <c r="L21" s="51">
        <f t="shared" si="9"/>
        <v>184465.93875</v>
      </c>
      <c r="M21" s="51">
        <f t="shared" si="9"/>
        <v>198725.986875</v>
      </c>
      <c r="N21" s="24"/>
      <c r="O21" s="24"/>
    </row>
    <row r="22" spans="2:16" x14ac:dyDescent="0.2">
      <c r="B22" s="14" t="s">
        <v>22</v>
      </c>
      <c r="C22" s="24">
        <v>761.75900000000001</v>
      </c>
      <c r="D22" s="24">
        <v>1106.548</v>
      </c>
      <c r="E22" s="24">
        <v>883.46100000000001</v>
      </c>
      <c r="F22" s="24">
        <v>869</v>
      </c>
      <c r="G22" s="24">
        <v>1052</v>
      </c>
      <c r="H22" s="24">
        <v>1642</v>
      </c>
      <c r="I22" s="24">
        <f t="shared" ref="I22:O22" si="10">H22*(1+I38)</f>
        <v>1869.1906294162668</v>
      </c>
      <c r="J22" s="24">
        <f t="shared" si="10"/>
        <v>2127.8158398889036</v>
      </c>
      <c r="K22" s="24">
        <f t="shared" si="10"/>
        <v>2422.2249872374191</v>
      </c>
      <c r="L22" s="24">
        <f t="shared" si="10"/>
        <v>2757.3692134483072</v>
      </c>
      <c r="M22" s="24">
        <f t="shared" si="10"/>
        <v>3138.884711095297</v>
      </c>
      <c r="N22" s="24">
        <f t="shared" si="10"/>
        <v>3138.884711095297</v>
      </c>
      <c r="O22" s="24">
        <f t="shared" si="10"/>
        <v>3138.884711095297</v>
      </c>
    </row>
    <row r="23" spans="2:16" x14ac:dyDescent="0.2">
      <c r="B23" s="14" t="s">
        <v>23</v>
      </c>
      <c r="C23" s="15"/>
      <c r="D23" s="15"/>
      <c r="E23" s="15"/>
      <c r="F23" s="15">
        <v>594</v>
      </c>
      <c r="G23" s="15">
        <v>1580</v>
      </c>
      <c r="H23" s="15">
        <v>1465</v>
      </c>
      <c r="I23" s="15">
        <f t="shared" ref="I23:O23" si="11">H23*(1+I37)</f>
        <v>2627.5857999829518</v>
      </c>
      <c r="J23" s="15">
        <f t="shared" si="11"/>
        <v>4712.7693762949139</v>
      </c>
      <c r="K23" s="15">
        <f t="shared" si="11"/>
        <v>8452.7002674041159</v>
      </c>
      <c r="L23" s="15">
        <f t="shared" si="11"/>
        <v>15160.542794636967</v>
      </c>
      <c r="M23" s="15">
        <f t="shared" si="11"/>
        <v>27191.554243837512</v>
      </c>
      <c r="N23" s="15">
        <f t="shared" si="11"/>
        <v>27191.554243837512</v>
      </c>
      <c r="O23" s="15">
        <f t="shared" si="11"/>
        <v>27191.554243837512</v>
      </c>
    </row>
    <row r="24" spans="2:16" s="13" customFormat="1" x14ac:dyDescent="0.2">
      <c r="B24" s="13" t="s">
        <v>24</v>
      </c>
      <c r="E24" s="51">
        <f t="shared" ref="E24:M24" si="12">SUM(E21:E23)</f>
        <v>19238.560999999998</v>
      </c>
      <c r="F24" s="51">
        <f t="shared" si="12"/>
        <v>22691.408924999996</v>
      </c>
      <c r="G24" s="51">
        <f t="shared" si="12"/>
        <v>29890.112481749999</v>
      </c>
      <c r="H24" s="51">
        <f t="shared" si="12"/>
        <v>50368.881999999998</v>
      </c>
      <c r="I24" s="51">
        <f t="shared" si="12"/>
        <v>87906.8145543992</v>
      </c>
      <c r="J24" s="51">
        <f t="shared" si="12"/>
        <v>130702.59021618383</v>
      </c>
      <c r="K24" s="51">
        <f t="shared" si="12"/>
        <v>177636.20337964155</v>
      </c>
      <c r="L24" s="51">
        <f t="shared" si="12"/>
        <v>202383.85075808529</v>
      </c>
      <c r="M24" s="51">
        <f t="shared" si="12"/>
        <v>229056.42582993282</v>
      </c>
      <c r="N24" s="51"/>
      <c r="O24" s="51"/>
    </row>
    <row r="25" spans="2:16" s="13" customFormat="1" x14ac:dyDescent="0.2">
      <c r="E25" s="51"/>
      <c r="F25" s="51"/>
      <c r="G25" s="51"/>
      <c r="H25" s="51"/>
      <c r="I25" s="51"/>
      <c r="J25" s="51"/>
      <c r="K25" s="51"/>
      <c r="L25" s="51"/>
      <c r="M25" s="51"/>
      <c r="N25" s="51"/>
      <c r="O25" s="51"/>
    </row>
    <row r="26" spans="2:16" x14ac:dyDescent="0.2">
      <c r="B26" s="14" t="s">
        <v>25</v>
      </c>
      <c r="C26" s="24">
        <v>181.39400000000001</v>
      </c>
      <c r="D26" s="24">
        <v>1116.2660000000001</v>
      </c>
      <c r="E26" s="24">
        <v>1555.2439999999999</v>
      </c>
      <c r="F26" s="24">
        <v>1531</v>
      </c>
      <c r="G26" s="24">
        <v>1994</v>
      </c>
      <c r="H26" s="24">
        <v>2789</v>
      </c>
      <c r="I26" s="24">
        <f t="shared" ref="I26:M27" si="13">H26*(1+I39)</f>
        <v>3541.1793466300951</v>
      </c>
      <c r="J26" s="24">
        <f t="shared" si="13"/>
        <v>4496.2176998922723</v>
      </c>
      <c r="K26" s="24">
        <f t="shared" si="13"/>
        <v>5708.8251189713819</v>
      </c>
      <c r="L26" s="24">
        <f t="shared" si="13"/>
        <v>7248.4666922999468</v>
      </c>
      <c r="M26" s="24">
        <f t="shared" si="13"/>
        <v>9203.3418951268304</v>
      </c>
      <c r="N26" s="24"/>
      <c r="O26" s="24"/>
    </row>
    <row r="27" spans="2:16" ht="17" thickBot="1" x14ac:dyDescent="0.25">
      <c r="B27" s="14" t="s">
        <v>26</v>
      </c>
      <c r="C27" s="15">
        <v>467.97200000000004</v>
      </c>
      <c r="D27" s="15">
        <v>1001.1850000000001</v>
      </c>
      <c r="E27" s="117">
        <v>1391.0409999999999</v>
      </c>
      <c r="F27" s="117">
        <v>2226</v>
      </c>
      <c r="G27" s="117">
        <v>2306</v>
      </c>
      <c r="H27" s="117">
        <v>3802</v>
      </c>
      <c r="I27" s="117">
        <f t="shared" si="13"/>
        <v>5393.4376221485636</v>
      </c>
      <c r="J27" s="117">
        <f t="shared" si="13"/>
        <v>7651.017723305511</v>
      </c>
      <c r="K27" s="117">
        <f t="shared" si="13"/>
        <v>10853.573602472748</v>
      </c>
      <c r="L27" s="117">
        <f t="shared" si="13"/>
        <v>15396.652341487386</v>
      </c>
      <c r="M27" s="117">
        <f t="shared" si="13"/>
        <v>21841.368751635939</v>
      </c>
      <c r="N27" s="24"/>
      <c r="O27" s="24"/>
    </row>
    <row r="28" spans="2:16" s="13" customFormat="1" ht="17" thickTop="1" x14ac:dyDescent="0.2">
      <c r="B28" s="13" t="s">
        <v>27</v>
      </c>
      <c r="C28" s="51">
        <v>7000.1320000000005</v>
      </c>
      <c r="D28" s="51">
        <v>11758.751</v>
      </c>
      <c r="E28" s="51">
        <v>21461.268</v>
      </c>
      <c r="F28" s="51">
        <v>24578</v>
      </c>
      <c r="G28" s="51">
        <v>31536</v>
      </c>
      <c r="H28" s="51">
        <v>53823</v>
      </c>
      <c r="I28" s="51">
        <f t="shared" ref="I28:O28" si="14">SUM(I24:I27)</f>
        <v>96841.431523177846</v>
      </c>
      <c r="J28" s="51">
        <f t="shared" si="14"/>
        <v>142849.8256393816</v>
      </c>
      <c r="K28" s="51">
        <f t="shared" si="14"/>
        <v>194198.60210108568</v>
      </c>
      <c r="L28" s="51">
        <f t="shared" si="14"/>
        <v>225028.96979187263</v>
      </c>
      <c r="M28" s="51">
        <f t="shared" si="14"/>
        <v>260101.1364766956</v>
      </c>
      <c r="N28" s="51">
        <f t="shared" si="14"/>
        <v>0</v>
      </c>
      <c r="O28" s="51">
        <f t="shared" si="14"/>
        <v>0</v>
      </c>
    </row>
    <row r="29" spans="2:16" s="13" customFormat="1" x14ac:dyDescent="0.2">
      <c r="B29" s="10" t="s">
        <v>179</v>
      </c>
      <c r="C29" s="55"/>
      <c r="D29" s="56"/>
      <c r="E29" s="57">
        <f t="shared" ref="E29:M29" si="15">E28/D28-1</f>
        <v>0.82513159773516764</v>
      </c>
      <c r="F29" s="58">
        <f t="shared" si="15"/>
        <v>0.14522590184326489</v>
      </c>
      <c r="G29" s="58">
        <f t="shared" si="15"/>
        <v>0.28309870615998056</v>
      </c>
      <c r="H29" s="58">
        <f>H28/G28-1</f>
        <v>0.70671613394216126</v>
      </c>
      <c r="I29" s="58">
        <f>I28/H28-1</f>
        <v>0.79925740897344721</v>
      </c>
      <c r="J29" s="58">
        <f t="shared" si="15"/>
        <v>0.47508998362123744</v>
      </c>
      <c r="K29" s="58">
        <f t="shared" si="15"/>
        <v>0.35945984695376465</v>
      </c>
      <c r="L29" s="58">
        <f t="shared" si="15"/>
        <v>0.1587568981301879</v>
      </c>
      <c r="M29" s="58">
        <f t="shared" si="15"/>
        <v>0.15585622916578656</v>
      </c>
      <c r="N29" s="10"/>
      <c r="O29" s="10"/>
      <c r="P29" s="92">
        <f>AVERAGE(E29:H29)</f>
        <v>0.49004308492014359</v>
      </c>
    </row>
    <row r="30" spans="2:16" x14ac:dyDescent="0.2">
      <c r="E30" s="24"/>
      <c r="F30" s="24"/>
      <c r="G30" s="24"/>
      <c r="H30" s="24"/>
      <c r="I30" s="24"/>
      <c r="J30" s="24"/>
      <c r="K30" s="24"/>
      <c r="L30" s="24"/>
      <c r="M30" s="24"/>
      <c r="N30" s="24"/>
      <c r="O30" s="24"/>
    </row>
    <row r="31" spans="2:16" x14ac:dyDescent="0.2">
      <c r="B31" s="10" t="s">
        <v>28</v>
      </c>
      <c r="C31" s="10"/>
      <c r="D31" s="10"/>
      <c r="E31" s="10"/>
      <c r="F31" s="10"/>
      <c r="G31" s="10"/>
      <c r="H31" s="10"/>
      <c r="I31" s="89" t="s">
        <v>29</v>
      </c>
      <c r="J31" s="130" t="s">
        <v>30</v>
      </c>
      <c r="K31" s="89" t="s">
        <v>31</v>
      </c>
      <c r="L31" s="10"/>
      <c r="M31" s="10"/>
    </row>
    <row r="32" spans="2:16" x14ac:dyDescent="0.2">
      <c r="B32" s="10" t="s">
        <v>3</v>
      </c>
      <c r="C32" s="10"/>
      <c r="D32" s="10"/>
      <c r="E32" s="21">
        <f t="shared" ref="E32:H34" si="16">E5-D5</f>
        <v>-4.0999999999999943</v>
      </c>
      <c r="F32" s="21">
        <f t="shared" si="16"/>
        <v>-16.400000000000006</v>
      </c>
      <c r="G32" s="21">
        <f t="shared" si="16"/>
        <v>-5.7644999999999982</v>
      </c>
      <c r="H32" s="21">
        <f t="shared" si="16"/>
        <v>-5.5945</v>
      </c>
      <c r="I32" s="52">
        <f>AVERAGE(F32:H32)</f>
        <v>-9.2530000000000019</v>
      </c>
      <c r="J32" s="53">
        <f>AVERAGE(C5:H5)</f>
        <v>40.362749999999998</v>
      </c>
      <c r="K32" s="53">
        <f>AVERAGE(E12:H12)</f>
        <v>96.418562500000007</v>
      </c>
      <c r="L32" s="10"/>
      <c r="M32" s="10"/>
    </row>
    <row r="33" spans="2:15" x14ac:dyDescent="0.2">
      <c r="B33" s="10" t="s">
        <v>5</v>
      </c>
      <c r="C33" s="10"/>
      <c r="D33" s="10"/>
      <c r="E33" s="21">
        <f t="shared" si="16"/>
        <v>2.1000000000000014</v>
      </c>
      <c r="F33" s="21">
        <f t="shared" si="16"/>
        <v>-16.300000000000004</v>
      </c>
      <c r="G33" s="21">
        <f t="shared" si="16"/>
        <v>-4.8859999999999992</v>
      </c>
      <c r="H33" s="21">
        <f t="shared" si="16"/>
        <v>-25.207000000000001</v>
      </c>
      <c r="I33" s="52">
        <f t="shared" ref="I33:I35" si="17">AVERAGE(F33:H33)</f>
        <v>-15.464333333333334</v>
      </c>
      <c r="J33" s="53">
        <f>AVERAGE(C6:H6)</f>
        <v>30.470166666666668</v>
      </c>
      <c r="K33" s="53">
        <f>AVERAGE(E13:H13)</f>
        <v>115.125</v>
      </c>
      <c r="L33" s="10"/>
      <c r="M33" s="10"/>
    </row>
    <row r="34" spans="2:15" x14ac:dyDescent="0.2">
      <c r="B34" s="10" t="s">
        <v>7</v>
      </c>
      <c r="C34" s="10"/>
      <c r="D34" s="10"/>
      <c r="E34" s="21">
        <f t="shared" si="16"/>
        <v>144.29999999999998</v>
      </c>
      <c r="F34" s="21">
        <f t="shared" si="16"/>
        <v>154.79999999999998</v>
      </c>
      <c r="G34" s="21">
        <f t="shared" si="16"/>
        <v>63.521000000000015</v>
      </c>
      <c r="H34" s="21">
        <f t="shared" si="16"/>
        <v>123.22500000000002</v>
      </c>
      <c r="I34" s="52">
        <f>AVERAGE(F34:H34)</f>
        <v>113.84866666666669</v>
      </c>
      <c r="J34" s="53">
        <f>AVERAGE(C7:H7)</f>
        <v>260.17340000000002</v>
      </c>
      <c r="K34" s="53">
        <f>AVERAGE(E14:H14)</f>
        <v>48.946125000000002</v>
      </c>
      <c r="L34" s="10"/>
      <c r="M34" s="10"/>
    </row>
    <row r="35" spans="2:15" x14ac:dyDescent="0.2">
      <c r="B35" s="10" t="s">
        <v>9</v>
      </c>
      <c r="C35" s="10"/>
      <c r="D35" s="10"/>
      <c r="E35" s="21"/>
      <c r="F35" s="21"/>
      <c r="G35" s="21">
        <f>G8-F8</f>
        <v>80</v>
      </c>
      <c r="H35" s="21">
        <f>H8-G8</f>
        <v>354.06599999999997</v>
      </c>
      <c r="I35" s="52">
        <f t="shared" si="17"/>
        <v>217.03299999999999</v>
      </c>
      <c r="J35" s="53">
        <f>AVERAGE(C8:H8)</f>
        <v>257.03300000000002</v>
      </c>
      <c r="K35" s="53">
        <f>AVERAGE(E15:H15)</f>
        <v>58</v>
      </c>
      <c r="L35" s="10"/>
      <c r="M35" s="10"/>
    </row>
    <row r="36" spans="2:15" x14ac:dyDescent="0.2">
      <c r="B36" s="10"/>
      <c r="C36" s="10"/>
      <c r="D36" s="10"/>
      <c r="E36" s="10"/>
      <c r="F36" s="58"/>
      <c r="G36" s="58"/>
      <c r="H36" s="58"/>
      <c r="I36" s="58"/>
      <c r="J36" s="58"/>
      <c r="K36" s="58"/>
      <c r="L36" s="58"/>
      <c r="M36" s="58"/>
      <c r="N36" s="12"/>
      <c r="O36" s="10"/>
    </row>
    <row r="37" spans="2:15" x14ac:dyDescent="0.2">
      <c r="B37" s="54" t="s">
        <v>23</v>
      </c>
      <c r="C37" s="55"/>
      <c r="D37" s="56"/>
      <c r="E37" s="57"/>
      <c r="F37" s="58"/>
      <c r="G37" s="58">
        <f>G23/F23-1</f>
        <v>1.65993265993266</v>
      </c>
      <c r="H37" s="58">
        <f>H23/G23-1</f>
        <v>-7.2784810126582333E-2</v>
      </c>
      <c r="I37" s="59">
        <f>AVERAGE(G37:H37)</f>
        <v>0.79357392490303891</v>
      </c>
      <c r="J37" s="60">
        <f>I37</f>
        <v>0.79357392490303891</v>
      </c>
      <c r="K37" s="60">
        <f t="shared" ref="K37:M37" si="18">J37</f>
        <v>0.79357392490303891</v>
      </c>
      <c r="L37" s="60">
        <f t="shared" si="18"/>
        <v>0.79357392490303891</v>
      </c>
      <c r="M37" s="60">
        <f t="shared" si="18"/>
        <v>0.79357392490303891</v>
      </c>
    </row>
    <row r="38" spans="2:15" x14ac:dyDescent="0.2">
      <c r="B38" s="54" t="s">
        <v>22</v>
      </c>
      <c r="C38" s="55"/>
      <c r="D38" s="57">
        <f>D22/C22-1</f>
        <v>0.45262215477598566</v>
      </c>
      <c r="E38" s="57">
        <f>E22/D22-1</f>
        <v>-0.20160625657450015</v>
      </c>
      <c r="F38" s="58">
        <f>F22/E22-1</f>
        <v>-1.636857767349098E-2</v>
      </c>
      <c r="G38" s="58">
        <f>G22/F22-1</f>
        <v>0.21058688147295745</v>
      </c>
      <c r="H38" s="58">
        <f>H22/G22-1</f>
        <v>0.56083650190114076</v>
      </c>
      <c r="I38" s="60">
        <f>AVERAGE(E38:H38)</f>
        <v>0.13836213728152677</v>
      </c>
      <c r="J38" s="60">
        <f t="shared" ref="J38:M40" si="19">I38</f>
        <v>0.13836213728152677</v>
      </c>
      <c r="K38" s="60">
        <f t="shared" si="19"/>
        <v>0.13836213728152677</v>
      </c>
      <c r="L38" s="60">
        <f t="shared" si="19"/>
        <v>0.13836213728152677</v>
      </c>
      <c r="M38" s="60">
        <f t="shared" si="19"/>
        <v>0.13836213728152677</v>
      </c>
    </row>
    <row r="39" spans="2:15" s="9" customFormat="1" x14ac:dyDescent="0.2">
      <c r="B39" s="9" t="s">
        <v>25</v>
      </c>
      <c r="C39" s="61"/>
      <c r="D39" s="57">
        <f t="shared" ref="D39:H40" si="20">D26/C26-1</f>
        <v>5.1538198617374338</v>
      </c>
      <c r="E39" s="57">
        <f t="shared" si="20"/>
        <v>0.39325572936916453</v>
      </c>
      <c r="F39" s="58">
        <f t="shared" si="20"/>
        <v>-1.5588550735447293E-2</v>
      </c>
      <c r="G39" s="58">
        <f t="shared" si="20"/>
        <v>0.30241672109732209</v>
      </c>
      <c r="H39" s="58">
        <f t="shared" si="20"/>
        <v>0.3986960882647943</v>
      </c>
      <c r="I39" s="60">
        <f t="shared" ref="I39:I40" si="21">AVERAGE(E39:H39)</f>
        <v>0.26969499699895838</v>
      </c>
      <c r="J39" s="60">
        <f t="shared" si="19"/>
        <v>0.26969499699895838</v>
      </c>
      <c r="K39" s="60">
        <f t="shared" si="19"/>
        <v>0.26969499699895838</v>
      </c>
      <c r="L39" s="60">
        <f t="shared" si="19"/>
        <v>0.26969499699895838</v>
      </c>
      <c r="M39" s="60">
        <f t="shared" si="19"/>
        <v>0.26969499699895838</v>
      </c>
    </row>
    <row r="40" spans="2:15" s="9" customFormat="1" x14ac:dyDescent="0.2">
      <c r="B40" s="9" t="s">
        <v>26</v>
      </c>
      <c r="C40" s="61"/>
      <c r="D40" s="57">
        <f t="shared" si="20"/>
        <v>1.1394121870539262</v>
      </c>
      <c r="E40" s="57">
        <f t="shared" si="20"/>
        <v>0.38939456743758627</v>
      </c>
      <c r="F40" s="58">
        <f t="shared" si="20"/>
        <v>0.60024039550236119</v>
      </c>
      <c r="G40" s="58">
        <f t="shared" si="20"/>
        <v>3.5938903863432126E-2</v>
      </c>
      <c r="H40" s="58">
        <f t="shared" si="20"/>
        <v>0.64874241110147435</v>
      </c>
      <c r="I40" s="60">
        <f t="shared" si="21"/>
        <v>0.41857906947621348</v>
      </c>
      <c r="J40" s="60">
        <f t="shared" si="19"/>
        <v>0.41857906947621348</v>
      </c>
      <c r="K40" s="60">
        <f t="shared" si="19"/>
        <v>0.41857906947621348</v>
      </c>
      <c r="L40" s="60">
        <f t="shared" si="19"/>
        <v>0.41857906947621348</v>
      </c>
      <c r="M40" s="60">
        <f t="shared" si="19"/>
        <v>0.41857906947621348</v>
      </c>
    </row>
    <row r="42" spans="2:15" x14ac:dyDescent="0.2">
      <c r="B42" s="10"/>
      <c r="C42" s="10"/>
      <c r="D42" s="10"/>
      <c r="E42" s="10"/>
      <c r="F42" s="10"/>
      <c r="G42" s="10"/>
      <c r="H42" s="10"/>
      <c r="I42" s="10"/>
      <c r="J42" s="10"/>
      <c r="K42" s="10"/>
      <c r="L42" s="10"/>
      <c r="M42" s="10"/>
      <c r="N42" s="10"/>
      <c r="O42" s="10"/>
    </row>
  </sheetData>
  <mergeCells count="2">
    <mergeCell ref="Q3:U3"/>
    <mergeCell ref="R4:T4"/>
  </mergeCells>
  <pageMargins left="0.7" right="0.7" top="0.75" bottom="0.75" header="0.3" footer="0.3"/>
  <pageSetup orientation="portrait" horizontalDpi="0" verticalDpi="0"/>
  <ignoredErrors>
    <ignoredError sqref="E9:H9 J9:M9" formulaRange="1"/>
  </ignoredErrors>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8DE3C-5C11-7445-8988-D0063C38D85A}">
  <dimension ref="A2:AI221"/>
  <sheetViews>
    <sheetView topLeftCell="F43" zoomScale="150" zoomScaleNormal="150" workbookViewId="0">
      <selection activeCell="R42" sqref="R42"/>
    </sheetView>
  </sheetViews>
  <sheetFormatPr baseColWidth="10" defaultColWidth="8.83203125" defaultRowHeight="16" x14ac:dyDescent="0.2"/>
  <cols>
    <col min="1" max="1" width="8.83203125" style="14"/>
    <col min="2" max="2" width="68" style="14" customWidth="1"/>
    <col min="3" max="3" width="11.6640625" style="73" hidden="1" customWidth="1"/>
    <col min="4" max="4" width="11.6640625" style="87" hidden="1" customWidth="1"/>
    <col min="5" max="5" width="11.1640625" style="88" customWidth="1"/>
    <col min="6" max="13" width="11.1640625" style="14" customWidth="1"/>
    <col min="14" max="17" width="8.83203125" style="14"/>
    <col min="18" max="18" width="24.83203125" style="14" customWidth="1"/>
    <col min="19" max="19" width="10.5" style="14" bestFit="1" customWidth="1"/>
    <col min="20" max="21" width="9" style="14" bestFit="1" customWidth="1"/>
    <col min="22" max="22" width="9.1640625" style="14" bestFit="1" customWidth="1"/>
    <col min="23" max="27" width="9" style="14" bestFit="1" customWidth="1"/>
    <col min="28" max="28" width="9.33203125" style="14" bestFit="1" customWidth="1"/>
    <col min="29" max="16384" width="8.83203125" style="14"/>
  </cols>
  <sheetData>
    <row r="2" spans="1:35" x14ac:dyDescent="0.2">
      <c r="B2" s="38" t="s">
        <v>33</v>
      </c>
      <c r="C2" s="39">
        <v>2016</v>
      </c>
      <c r="D2" s="62">
        <v>2017</v>
      </c>
      <c r="E2" s="63">
        <v>2018</v>
      </c>
      <c r="F2" s="40">
        <v>2019</v>
      </c>
      <c r="G2" s="40">
        <v>2020</v>
      </c>
      <c r="H2" s="63">
        <v>2021</v>
      </c>
      <c r="I2" s="41">
        <v>2022</v>
      </c>
      <c r="J2" s="41">
        <v>2023</v>
      </c>
      <c r="K2" s="41">
        <v>2024</v>
      </c>
      <c r="L2" s="41">
        <v>2025</v>
      </c>
      <c r="M2" s="41">
        <v>2025</v>
      </c>
      <c r="R2" s="63" t="s">
        <v>209</v>
      </c>
      <c r="S2" s="63">
        <v>2018</v>
      </c>
      <c r="T2" s="40">
        <v>2019</v>
      </c>
      <c r="U2" s="40">
        <v>2020</v>
      </c>
      <c r="V2" s="207">
        <v>2021</v>
      </c>
      <c r="W2" s="41">
        <v>2022</v>
      </c>
      <c r="X2" s="41">
        <v>2023</v>
      </c>
      <c r="Y2" s="41">
        <v>2024</v>
      </c>
      <c r="Z2" s="41">
        <v>2025</v>
      </c>
      <c r="AA2" s="41">
        <v>2025</v>
      </c>
      <c r="AB2" s="41" t="s">
        <v>260</v>
      </c>
    </row>
    <row r="3" spans="1:35" x14ac:dyDescent="0.2">
      <c r="A3" s="24"/>
      <c r="B3" s="13" t="s">
        <v>32</v>
      </c>
      <c r="C3" s="64">
        <v>7000.1320000000005</v>
      </c>
      <c r="D3" s="65">
        <v>11758.751</v>
      </c>
      <c r="E3" s="169">
        <f>Revenue!E28</f>
        <v>21461.268</v>
      </c>
      <c r="F3" s="169">
        <f>Revenue!F28</f>
        <v>24578</v>
      </c>
      <c r="G3" s="169">
        <f>Revenue!G28</f>
        <v>31536</v>
      </c>
      <c r="H3" s="169">
        <f>Revenue!H28</f>
        <v>53823</v>
      </c>
      <c r="I3" s="169">
        <f>Revenue!I28</f>
        <v>96841.431523177846</v>
      </c>
      <c r="J3" s="169">
        <f>Revenue!J28</f>
        <v>142849.8256393816</v>
      </c>
      <c r="K3" s="169">
        <f>Revenue!K28</f>
        <v>194198.60210108568</v>
      </c>
      <c r="L3" s="169">
        <f>Revenue!L28</f>
        <v>225028.96979187263</v>
      </c>
      <c r="M3" s="169">
        <f>Revenue!M28</f>
        <v>260101.1364766956</v>
      </c>
      <c r="N3" s="24"/>
      <c r="R3" s="152" t="s">
        <v>210</v>
      </c>
      <c r="V3" s="208"/>
    </row>
    <row r="4" spans="1:35" x14ac:dyDescent="0.2">
      <c r="B4" s="47" t="s">
        <v>34</v>
      </c>
      <c r="C4" s="68">
        <v>5400.875</v>
      </c>
      <c r="D4" s="68">
        <v>9536.2639999999992</v>
      </c>
      <c r="E4" s="2">
        <v>17419.246999999999</v>
      </c>
      <c r="F4" s="2">
        <v>20509</v>
      </c>
      <c r="G4" s="2">
        <v>24906</v>
      </c>
      <c r="H4" s="2">
        <v>40217</v>
      </c>
      <c r="I4" s="15">
        <f>I3-I5</f>
        <v>77063.450063801603</v>
      </c>
      <c r="J4" s="15">
        <f>J3-J5</f>
        <v>113675.52329240915</v>
      </c>
      <c r="K4" s="15">
        <f>K3-K5</f>
        <v>154537.30949748767</v>
      </c>
      <c r="L4" s="15">
        <f>L3-L5</f>
        <v>179071.17339869362</v>
      </c>
      <c r="M4" s="15">
        <f>M3-M5</f>
        <v>206980.53123690674</v>
      </c>
      <c r="R4" s="154" t="s">
        <v>211</v>
      </c>
      <c r="S4" s="192">
        <f t="shared" ref="S4:AA4" si="0">E53/E75</f>
        <v>0.83128452214821746</v>
      </c>
      <c r="T4" s="192">
        <f t="shared" si="0"/>
        <v>1.1346207931002157</v>
      </c>
      <c r="U4" s="192">
        <f t="shared" si="0"/>
        <v>1.8751403705783267</v>
      </c>
      <c r="V4" s="209">
        <f t="shared" si="0"/>
        <v>1.3752854605430094</v>
      </c>
      <c r="W4" s="192">
        <f t="shared" si="0"/>
        <v>0.81475347699307477</v>
      </c>
      <c r="X4" s="192">
        <f t="shared" si="0"/>
        <v>0.74441404847199211</v>
      </c>
      <c r="Y4" s="192">
        <f t="shared" si="0"/>
        <v>0.78760432966608029</v>
      </c>
      <c r="Z4" s="192">
        <f t="shared" si="0"/>
        <v>0.87475809867084153</v>
      </c>
      <c r="AA4" s="192">
        <f t="shared" si="0"/>
        <v>0.97692780328823381</v>
      </c>
      <c r="AB4" s="192">
        <f>AVERAGE(S4:V4)</f>
        <v>1.3040827865924425</v>
      </c>
      <c r="AD4" s="218" t="s">
        <v>255</v>
      </c>
      <c r="AE4" s="191"/>
      <c r="AF4" s="191"/>
      <c r="AG4" s="191"/>
    </row>
    <row r="5" spans="1:35" x14ac:dyDescent="0.2">
      <c r="B5" s="13" t="s">
        <v>35</v>
      </c>
      <c r="C5" s="64">
        <v>1599.2570000000001</v>
      </c>
      <c r="D5" s="65">
        <v>2222.4870000000001</v>
      </c>
      <c r="E5" s="66">
        <v>4042.0209999999997</v>
      </c>
      <c r="F5" s="67">
        <v>4069</v>
      </c>
      <c r="G5" s="67">
        <v>6630</v>
      </c>
      <c r="H5" s="67">
        <v>13606</v>
      </c>
      <c r="I5" s="51">
        <f>I3*$I$25</f>
        <v>19777.981459376242</v>
      </c>
      <c r="J5" s="51">
        <f>J3*$I$25</f>
        <v>29174.302346972443</v>
      </c>
      <c r="K5" s="51">
        <f>K3*$I$25</f>
        <v>39661.292603598013</v>
      </c>
      <c r="L5" s="51">
        <f>L3*$I$25</f>
        <v>45957.796393179</v>
      </c>
      <c r="M5" s="51">
        <f>M3*$I$25</f>
        <v>53120.605239788863</v>
      </c>
      <c r="R5" s="154" t="s">
        <v>212</v>
      </c>
      <c r="S5" s="192">
        <f>(E53-E51)/E75</f>
        <v>0.51969488805997044</v>
      </c>
      <c r="T5" s="192">
        <f t="shared" ref="T5:AA5" si="1">(F53-F51)/F75</f>
        <v>0.80163119902503044</v>
      </c>
      <c r="U5" s="192">
        <f t="shared" si="1"/>
        <v>1.5873104997192589</v>
      </c>
      <c r="V5" s="209">
        <f t="shared" si="1"/>
        <v>1.0831261101243339</v>
      </c>
      <c r="W5" s="192">
        <f t="shared" si="1"/>
        <v>0.46598436308005886</v>
      </c>
      <c r="X5" s="192">
        <f t="shared" si="1"/>
        <v>0.3956449345589762</v>
      </c>
      <c r="Y5" s="192">
        <f t="shared" si="1"/>
        <v>0.43883521575306439</v>
      </c>
      <c r="Z5" s="192">
        <f t="shared" si="1"/>
        <v>0.52598898475782552</v>
      </c>
      <c r="AA5" s="192">
        <f t="shared" si="1"/>
        <v>0.6281586893752179</v>
      </c>
      <c r="AB5" s="192">
        <f t="shared" ref="AB5:AB7" si="2">AVERAGE(S5:V5)</f>
        <v>0.99794067423214838</v>
      </c>
      <c r="AD5" s="191"/>
      <c r="AE5" s="191"/>
      <c r="AF5" s="191"/>
      <c r="AG5" s="191"/>
    </row>
    <row r="6" spans="1:35" x14ac:dyDescent="0.2">
      <c r="B6" s="25" t="s">
        <v>36</v>
      </c>
      <c r="C6" s="69">
        <v>834.40800000000002</v>
      </c>
      <c r="D6" s="70">
        <v>1378.0729999999999</v>
      </c>
      <c r="E6" s="8">
        <v>1460.3700000000001</v>
      </c>
      <c r="F6" s="1">
        <v>1343</v>
      </c>
      <c r="G6" s="1">
        <v>1491</v>
      </c>
      <c r="H6" s="1">
        <v>2593</v>
      </c>
      <c r="I6" s="24">
        <f>$I$26*I$3</f>
        <v>4845.2380678281061</v>
      </c>
      <c r="J6" s="24">
        <f>$I$26*J$3</f>
        <v>7147.1621421135569</v>
      </c>
      <c r="K6" s="24">
        <f>$I$26*K$3</f>
        <v>9716.2799518714364</v>
      </c>
      <c r="L6" s="24">
        <f>$I$26*L$3</f>
        <v>11258.806418395077</v>
      </c>
      <c r="M6" s="24">
        <f>$I$26*M$3</f>
        <v>13013.561531673689</v>
      </c>
      <c r="R6" s="154" t="s">
        <v>213</v>
      </c>
      <c r="S6" s="192">
        <f>E47/E75</f>
        <v>0.36885186510671991</v>
      </c>
      <c r="T6" s="192">
        <f t="shared" ref="T6:AA6" si="3">F47/F75</f>
        <v>0.58760663729258455</v>
      </c>
      <c r="U6" s="192">
        <f t="shared" si="3"/>
        <v>1.360471645143178</v>
      </c>
      <c r="V6" s="209">
        <f t="shared" si="3"/>
        <v>0.89195635625475767</v>
      </c>
      <c r="W6" s="192">
        <f t="shared" si="3"/>
        <v>0.25790102884258975</v>
      </c>
      <c r="X6" s="192">
        <f t="shared" si="3"/>
        <v>0.18756160032150718</v>
      </c>
      <c r="Y6" s="192">
        <f t="shared" si="3"/>
        <v>0.23075188151559534</v>
      </c>
      <c r="Z6" s="192">
        <f t="shared" si="3"/>
        <v>0.31790565052035652</v>
      </c>
      <c r="AA6" s="192">
        <f t="shared" si="3"/>
        <v>0.42007535513774891</v>
      </c>
      <c r="AB6" s="192">
        <f t="shared" si="2"/>
        <v>0.80222162594931001</v>
      </c>
      <c r="AD6" s="191"/>
      <c r="AE6" s="191"/>
      <c r="AF6" s="191"/>
      <c r="AG6" s="191"/>
    </row>
    <row r="7" spans="1:35" x14ac:dyDescent="0.2">
      <c r="B7" s="25" t="s">
        <v>37</v>
      </c>
      <c r="C7" s="69">
        <v>1432.1889999999999</v>
      </c>
      <c r="D7" s="70">
        <v>2476.5</v>
      </c>
      <c r="E7" s="8">
        <v>2834.491</v>
      </c>
      <c r="F7" s="1">
        <v>2646</v>
      </c>
      <c r="G7" s="1">
        <v>3145</v>
      </c>
      <c r="H7" s="1">
        <v>4517</v>
      </c>
      <c r="I7" s="24">
        <f>$I$27*I$3</f>
        <v>8127.24571633306</v>
      </c>
      <c r="J7" s="24">
        <f>$I$27*J$3</f>
        <v>11988.418750591507</v>
      </c>
      <c r="K7" s="24">
        <f>$I$27*K$3</f>
        <v>16297.773919896772</v>
      </c>
      <c r="L7" s="24">
        <f>$I$27*L$3</f>
        <v>18885.157953846658</v>
      </c>
      <c r="M7" s="24">
        <f>$I$27*M$3</f>
        <v>21828.527459733457</v>
      </c>
      <c r="R7" s="156" t="s">
        <v>214</v>
      </c>
      <c r="S7" s="192">
        <f t="shared" ref="S7:Z7" si="4">E153/E75</f>
        <v>0.20994530098469436</v>
      </c>
      <c r="T7" s="192">
        <f t="shared" si="4"/>
        <v>0.22546170432173995</v>
      </c>
      <c r="U7" s="192">
        <f t="shared" si="4"/>
        <v>0.41711117349803484</v>
      </c>
      <c r="V7" s="209">
        <f t="shared" si="4"/>
        <v>0.58345597564070029</v>
      </c>
      <c r="W7" s="192">
        <f t="shared" si="4"/>
        <v>0.50563722216106322</v>
      </c>
      <c r="X7" s="192">
        <f t="shared" si="4"/>
        <v>0.4836870322847559</v>
      </c>
      <c r="Y7" s="192">
        <f t="shared" si="4"/>
        <v>0.45820179320174387</v>
      </c>
      <c r="Z7" s="192">
        <f t="shared" si="4"/>
        <v>0.40270121880010828</v>
      </c>
      <c r="AA7" s="192">
        <f>M153/M75</f>
        <v>0.40114772833267048</v>
      </c>
      <c r="AB7" s="192">
        <f t="shared" si="2"/>
        <v>0.35899353861129235</v>
      </c>
      <c r="AD7" s="191"/>
      <c r="AE7" s="191"/>
      <c r="AF7" s="191"/>
      <c r="AG7" s="191"/>
    </row>
    <row r="8" spans="1:35" x14ac:dyDescent="0.2">
      <c r="B8" s="25" t="s">
        <v>38</v>
      </c>
      <c r="C8" s="69"/>
      <c r="D8" s="70"/>
      <c r="E8" s="8">
        <v>135.233</v>
      </c>
      <c r="F8" s="1">
        <v>149</v>
      </c>
      <c r="G8" s="1"/>
      <c r="H8" s="1">
        <v>-27</v>
      </c>
      <c r="I8" s="24"/>
      <c r="J8" s="24"/>
      <c r="K8" s="24"/>
      <c r="L8" s="24"/>
      <c r="M8" s="24"/>
      <c r="R8" s="151"/>
      <c r="S8" s="192"/>
      <c r="T8" s="192"/>
      <c r="U8" s="192"/>
      <c r="V8" s="209"/>
      <c r="W8" s="192"/>
      <c r="X8" s="192"/>
      <c r="Y8" s="192"/>
      <c r="Z8" s="192"/>
      <c r="AA8" s="192"/>
      <c r="AB8" s="192"/>
    </row>
    <row r="9" spans="1:35" x14ac:dyDescent="0.2">
      <c r="B9" s="47" t="s">
        <v>39</v>
      </c>
      <c r="C9" s="68">
        <v>2266.5970000000002</v>
      </c>
      <c r="D9" s="68">
        <v>3854.5730000000003</v>
      </c>
      <c r="E9" s="2">
        <v>4430.0940000000001</v>
      </c>
      <c r="F9" s="2">
        <v>4138</v>
      </c>
      <c r="G9" s="2">
        <v>4636</v>
      </c>
      <c r="H9" s="2">
        <v>7083</v>
      </c>
      <c r="I9" s="15">
        <f>SUM(I6:I8)</f>
        <v>12972.483784161166</v>
      </c>
      <c r="J9" s="15">
        <f t="shared" ref="J9:M9" si="5">SUM(J6:J8)</f>
        <v>19135.580892705064</v>
      </c>
      <c r="K9" s="15">
        <f t="shared" si="5"/>
        <v>26014.053871768207</v>
      </c>
      <c r="L9" s="15">
        <f t="shared" si="5"/>
        <v>30143.964372241735</v>
      </c>
      <c r="M9" s="15">
        <f t="shared" si="5"/>
        <v>34842.088991407145</v>
      </c>
      <c r="R9" s="153" t="s">
        <v>215</v>
      </c>
      <c r="S9" s="193"/>
      <c r="T9" s="192"/>
      <c r="U9" s="193"/>
      <c r="V9" s="209"/>
      <c r="W9" s="193"/>
      <c r="X9" s="192"/>
      <c r="Y9" s="193"/>
      <c r="Z9" s="192"/>
      <c r="AA9" s="193"/>
      <c r="AB9" s="192"/>
    </row>
    <row r="10" spans="1:35" s="13" customFormat="1" x14ac:dyDescent="0.2">
      <c r="B10" s="13" t="s">
        <v>230</v>
      </c>
      <c r="C10" s="65">
        <v>-667.34</v>
      </c>
      <c r="D10" s="65">
        <v>-1632.086</v>
      </c>
      <c r="E10" s="66">
        <v>-388.07299999999998</v>
      </c>
      <c r="F10" s="66">
        <v>-69</v>
      </c>
      <c r="G10" s="66">
        <v>1994</v>
      </c>
      <c r="H10" s="66">
        <v>6523</v>
      </c>
      <c r="I10" s="51">
        <f>I5-I9</f>
        <v>6805.497675215076</v>
      </c>
      <c r="J10" s="51">
        <f>J5-J9</f>
        <v>10038.721454267379</v>
      </c>
      <c r="K10" s="51">
        <f>K5-K9</f>
        <v>13647.238731829806</v>
      </c>
      <c r="L10" s="51">
        <f t="shared" ref="L10:M10" si="6">L5-L9</f>
        <v>15813.832020937265</v>
      </c>
      <c r="M10" s="51">
        <f t="shared" si="6"/>
        <v>18278.516248381718</v>
      </c>
      <c r="R10" s="155" t="s">
        <v>216</v>
      </c>
      <c r="S10" s="192">
        <f>E82/E66</f>
        <v>0.78770390227660647</v>
      </c>
      <c r="T10" s="192">
        <f t="shared" ref="T10:AA10" si="7">F82/F66</f>
        <v>0.76361887551371366</v>
      </c>
      <c r="U10" s="192">
        <f t="shared" si="7"/>
        <v>0.54494899133236174</v>
      </c>
      <c r="V10" s="209">
        <f t="shared" si="7"/>
        <v>0.49167082454813216</v>
      </c>
      <c r="W10" s="192">
        <f t="shared" si="7"/>
        <v>0.56714351214045988</v>
      </c>
      <c r="X10" s="192">
        <f t="shared" si="7"/>
        <v>0.58278769785378404</v>
      </c>
      <c r="Y10" s="192">
        <f t="shared" si="7"/>
        <v>0.57380996068636336</v>
      </c>
      <c r="Z10" s="192">
        <f t="shared" si="7"/>
        <v>0.55597697848611771</v>
      </c>
      <c r="AA10" s="192">
        <f t="shared" si="7"/>
        <v>0.53639592543305525</v>
      </c>
      <c r="AB10" s="192">
        <f>AVERAGE(S10:V10)</f>
        <v>0.64698564841770345</v>
      </c>
      <c r="AD10" s="218" t="s">
        <v>256</v>
      </c>
      <c r="AE10" s="191"/>
      <c r="AF10" s="191"/>
      <c r="AG10" s="191"/>
      <c r="AH10" s="191"/>
      <c r="AI10" s="191"/>
    </row>
    <row r="11" spans="1:35" x14ac:dyDescent="0.2">
      <c r="B11" s="47" t="s">
        <v>42</v>
      </c>
      <c r="C11" s="69">
        <v>8.5299999999999994</v>
      </c>
      <c r="D11" s="70">
        <v>19.686</v>
      </c>
      <c r="E11" s="8">
        <v>24.533000000000001</v>
      </c>
      <c r="F11" s="1">
        <v>44</v>
      </c>
      <c r="G11" s="1">
        <v>30</v>
      </c>
      <c r="H11" s="1">
        <v>56</v>
      </c>
      <c r="I11" s="3"/>
      <c r="J11" s="24"/>
      <c r="K11" s="24"/>
      <c r="L11" s="24"/>
      <c r="M11" s="24"/>
      <c r="R11" s="155" t="s">
        <v>217</v>
      </c>
      <c r="S11" s="192">
        <f>E82/E89</f>
        <v>4.758247764735561</v>
      </c>
      <c r="T11" s="192">
        <f t="shared" ref="T11:AA11" si="8">F82/F89</f>
        <v>3.9587488667271078</v>
      </c>
      <c r="U11" s="192">
        <f t="shared" si="8"/>
        <v>1.2786501687289089</v>
      </c>
      <c r="V11" s="209">
        <f t="shared" si="8"/>
        <v>1.0118917486501706</v>
      </c>
      <c r="W11" s="192">
        <f t="shared" si="8"/>
        <v>1.602744968938091</v>
      </c>
      <c r="X11" s="192">
        <f t="shared" si="8"/>
        <v>1.9472638284231971</v>
      </c>
      <c r="Y11" s="192">
        <f t="shared" si="8"/>
        <v>2.1353861971246935</v>
      </c>
      <c r="Z11" s="192">
        <f t="shared" si="8"/>
        <v>2.0195138219737494</v>
      </c>
      <c r="AA11" s="192">
        <f t="shared" si="8"/>
        <v>1.9266216905552416</v>
      </c>
      <c r="AB11" s="192">
        <f t="shared" ref="AB11:AB12" si="9">AVERAGE(S11:V11)</f>
        <v>2.7518846372104369</v>
      </c>
      <c r="AD11" s="191"/>
      <c r="AE11" s="191"/>
      <c r="AF11" s="191"/>
      <c r="AG11" s="191"/>
      <c r="AH11" s="191"/>
      <c r="AI11" s="191"/>
    </row>
    <row r="12" spans="1:35" x14ac:dyDescent="0.2">
      <c r="B12" s="47" t="s">
        <v>43</v>
      </c>
      <c r="C12" s="69">
        <v>-198.81</v>
      </c>
      <c r="D12" s="70">
        <v>-471.25900000000001</v>
      </c>
      <c r="E12" s="8">
        <v>-663.07100000000003</v>
      </c>
      <c r="F12" s="1">
        <v>-685</v>
      </c>
      <c r="G12" s="1">
        <v>-748</v>
      </c>
      <c r="H12" s="1">
        <v>-371</v>
      </c>
      <c r="I12" s="1">
        <f>(I74+I77+I80)*I22</f>
        <v>-809.27631781797561</v>
      </c>
      <c r="J12" s="1">
        <f>(J74+J77+J80)*J22</f>
        <v>-1181.1439015894932</v>
      </c>
      <c r="K12" s="1">
        <f>(K74+K77+K80)*K22</f>
        <v>-1608.1386155934667</v>
      </c>
      <c r="L12" s="1">
        <f>(L74+L77+L80)*L22</f>
        <v>-1788.9244765851131</v>
      </c>
      <c r="M12" s="1">
        <f>(M74+M77+M80)*M22</f>
        <v>-2136.4574338443781</v>
      </c>
      <c r="R12" s="25" t="s">
        <v>218</v>
      </c>
      <c r="S12" s="192">
        <f>E10/E15</f>
        <v>6.709770562096927</v>
      </c>
      <c r="T12" s="192">
        <f>F10/F15</f>
        <v>0.62727272727272732</v>
      </c>
      <c r="U12" s="192">
        <f t="shared" ref="U12:AA12" si="10">G10/-G15</f>
        <v>6.8287671232876717</v>
      </c>
      <c r="V12" s="209">
        <f t="shared" si="10"/>
        <v>9.3319027181688128</v>
      </c>
      <c r="W12" s="192">
        <f t="shared" si="10"/>
        <v>7.7444146777829168</v>
      </c>
      <c r="X12" s="192">
        <f t="shared" si="10"/>
        <v>7.7333881190613543</v>
      </c>
      <c r="Y12" s="192">
        <f t="shared" si="10"/>
        <v>7.7349432037665382</v>
      </c>
      <c r="Z12" s="192">
        <f t="shared" si="10"/>
        <v>7.6938458491466202</v>
      </c>
      <c r="AA12" s="192">
        <f t="shared" si="10"/>
        <v>7.7265991179786591</v>
      </c>
      <c r="AB12" s="192">
        <f t="shared" si="9"/>
        <v>5.8744282827065346</v>
      </c>
      <c r="AD12" s="191"/>
      <c r="AE12" s="191"/>
      <c r="AF12" s="191"/>
      <c r="AG12" s="191"/>
      <c r="AH12" s="191"/>
      <c r="AI12" s="191"/>
    </row>
    <row r="13" spans="1:35" x14ac:dyDescent="0.2">
      <c r="B13" s="47" t="s">
        <v>44</v>
      </c>
      <c r="C13" s="68">
        <v>111.27200000000001</v>
      </c>
      <c r="D13" s="68">
        <v>-125.373</v>
      </c>
      <c r="E13" s="2">
        <v>21.866</v>
      </c>
      <c r="F13" s="2">
        <v>45</v>
      </c>
      <c r="G13" s="2">
        <v>-122</v>
      </c>
      <c r="H13" s="2">
        <v>135</v>
      </c>
      <c r="I13" s="15"/>
      <c r="J13" s="15"/>
      <c r="K13" s="15"/>
      <c r="L13" s="15"/>
      <c r="M13" s="15"/>
      <c r="S13" s="192"/>
      <c r="T13" s="192"/>
      <c r="U13" s="192"/>
      <c r="V13" s="209"/>
      <c r="W13" s="192"/>
      <c r="X13" s="192"/>
      <c r="Y13" s="192"/>
      <c r="Z13" s="192"/>
      <c r="AA13" s="192"/>
      <c r="AB13" s="192"/>
      <c r="AD13" s="191"/>
      <c r="AE13" s="191"/>
      <c r="AF13" s="191"/>
      <c r="AG13" s="191"/>
      <c r="AH13" s="191"/>
      <c r="AI13" s="191"/>
    </row>
    <row r="14" spans="1:35" x14ac:dyDescent="0.2">
      <c r="B14" s="71" t="s">
        <v>45</v>
      </c>
      <c r="C14" s="65">
        <v>-746.34799999999996</v>
      </c>
      <c r="D14" s="65">
        <v>-2209.0320000000002</v>
      </c>
      <c r="E14" s="66">
        <v>-1004.745</v>
      </c>
      <c r="F14" s="66">
        <v>-665</v>
      </c>
      <c r="G14" s="66">
        <v>1154</v>
      </c>
      <c r="H14" s="66">
        <v>6343</v>
      </c>
      <c r="I14" s="51">
        <f>I10+I12+I13+I11</f>
        <v>5996.2213573971003</v>
      </c>
      <c r="J14" s="51">
        <f>J10+J12+J13+J11</f>
        <v>8857.5775526778853</v>
      </c>
      <c r="K14" s="51">
        <f>K10+K12+K13+K11</f>
        <v>12039.100116236339</v>
      </c>
      <c r="L14" s="51">
        <f>L10+L12+L13+L11</f>
        <v>14024.907544352152</v>
      </c>
      <c r="M14" s="51">
        <f>M10+M12+M13+M11</f>
        <v>16142.05881453734</v>
      </c>
      <c r="R14" s="153" t="s">
        <v>224</v>
      </c>
      <c r="S14" s="192"/>
      <c r="T14" s="192"/>
      <c r="U14" s="192"/>
      <c r="V14" s="209"/>
      <c r="W14" s="192"/>
      <c r="X14" s="192"/>
      <c r="Y14" s="192"/>
      <c r="Z14" s="192"/>
      <c r="AA14" s="192"/>
      <c r="AB14" s="192"/>
      <c r="AD14" s="191"/>
      <c r="AE14" s="191"/>
      <c r="AF14" s="191"/>
      <c r="AG14" s="191"/>
      <c r="AH14" s="191"/>
      <c r="AI14" s="191"/>
    </row>
    <row r="15" spans="1:35" ht="17" thickBot="1" x14ac:dyDescent="0.25">
      <c r="B15" s="47" t="s">
        <v>46</v>
      </c>
      <c r="C15" s="68">
        <v>26.698</v>
      </c>
      <c r="D15" s="68">
        <v>31.545999999999999</v>
      </c>
      <c r="E15" s="29">
        <v>-57.837000000000003</v>
      </c>
      <c r="F15" s="29">
        <v>-110</v>
      </c>
      <c r="G15" s="29">
        <v>-292</v>
      </c>
      <c r="H15" s="29">
        <v>-699</v>
      </c>
      <c r="I15" s="117">
        <f>-I14*$I$21</f>
        <v>-878.76204443682559</v>
      </c>
      <c r="J15" s="117">
        <f>-J14*$I$21</f>
        <v>-1298.1013366604232</v>
      </c>
      <c r="K15" s="117">
        <f>-K14*$I$21</f>
        <v>-1764.3618540320076</v>
      </c>
      <c r="L15" s="117">
        <f>-L14*$I$21</f>
        <v>-2055.38716670432</v>
      </c>
      <c r="M15" s="117">
        <f>-M14*$I$21</f>
        <v>-2365.6612656207699</v>
      </c>
      <c r="R15" s="25" t="s">
        <v>219</v>
      </c>
      <c r="S15" s="192">
        <f t="shared" ref="S15:AA15" si="11">E3/E66</f>
        <v>0.72163909054098685</v>
      </c>
      <c r="T15" s="192">
        <f t="shared" si="11"/>
        <v>0.71637179748753976</v>
      </c>
      <c r="U15" s="192">
        <f t="shared" si="11"/>
        <v>0.60474035437600671</v>
      </c>
      <c r="V15" s="209">
        <f t="shared" si="11"/>
        <v>0.86628253206933736</v>
      </c>
      <c r="W15" s="192">
        <f t="shared" si="11"/>
        <v>0.97058948015543822</v>
      </c>
      <c r="X15" s="192">
        <f t="shared" si="11"/>
        <v>0.9973623899285643</v>
      </c>
      <c r="Y15" s="192">
        <f t="shared" si="11"/>
        <v>0.98199820597199827</v>
      </c>
      <c r="Z15" s="192">
        <f t="shared" si="11"/>
        <v>0.95147946679426632</v>
      </c>
      <c r="AA15" s="192">
        <f t="shared" si="11"/>
        <v>0.91796914057729107</v>
      </c>
      <c r="AB15" s="192">
        <f>AVERAGE(S15:V15)</f>
        <v>0.7272584436184677</v>
      </c>
      <c r="AD15" s="218" t="s">
        <v>257</v>
      </c>
      <c r="AE15" s="191"/>
      <c r="AF15" s="191"/>
      <c r="AG15" s="191"/>
      <c r="AH15" s="191"/>
      <c r="AI15" s="191"/>
    </row>
    <row r="16" spans="1:35" s="13" customFormat="1" ht="17" thickTop="1" x14ac:dyDescent="0.2">
      <c r="A16" s="51"/>
      <c r="B16" s="13" t="s">
        <v>47</v>
      </c>
      <c r="C16" s="64">
        <v>-773.04600000000005</v>
      </c>
      <c r="D16" s="65">
        <v>-2240.578</v>
      </c>
      <c r="E16" s="66">
        <v>-1062.5820000000001</v>
      </c>
      <c r="F16" s="67">
        <v>-775</v>
      </c>
      <c r="G16" s="67">
        <v>862</v>
      </c>
      <c r="H16" s="67">
        <v>5644</v>
      </c>
      <c r="I16" s="51">
        <f>SUM(I14:I15)</f>
        <v>5117.4593129602745</v>
      </c>
      <c r="J16" s="51">
        <f t="shared" ref="J16:M16" si="12">SUM(J14:J15)</f>
        <v>7559.4762160174623</v>
      </c>
      <c r="K16" s="51">
        <f t="shared" si="12"/>
        <v>10274.738262204331</v>
      </c>
      <c r="L16" s="51">
        <f t="shared" si="12"/>
        <v>11969.520377647832</v>
      </c>
      <c r="M16" s="51">
        <f t="shared" si="12"/>
        <v>13776.397548916571</v>
      </c>
      <c r="N16" s="51"/>
      <c r="R16" s="155" t="s">
        <v>220</v>
      </c>
      <c r="S16" s="192">
        <f t="shared" ref="S16:AA16" si="13">E4/((D51+E51)/2)</f>
        <v>6.4791899100294712</v>
      </c>
      <c r="T16" s="192">
        <f t="shared" si="13"/>
        <v>6.1538267656807966</v>
      </c>
      <c r="U16" s="192">
        <f t="shared" si="13"/>
        <v>6.5088200705605646</v>
      </c>
      <c r="V16" s="209">
        <f t="shared" si="13"/>
        <v>8.1592615134915807</v>
      </c>
      <c r="W16" s="192">
        <f t="shared" si="13"/>
        <v>8.328449445482601</v>
      </c>
      <c r="X16" s="192">
        <f t="shared" si="13"/>
        <v>7.2048895881098085</v>
      </c>
      <c r="Y16" s="192">
        <f t="shared" si="13"/>
        <v>6.9655209417735886</v>
      </c>
      <c r="Z16" s="192">
        <f t="shared" si="13"/>
        <v>6.4891588073193622</v>
      </c>
      <c r="AA16" s="192">
        <f t="shared" si="13"/>
        <v>6.481623960228422</v>
      </c>
      <c r="AB16" s="192">
        <f t="shared" ref="AB16:AB17" si="14">AVERAGE(S16:V16)</f>
        <v>6.825274564940603</v>
      </c>
      <c r="AD16" s="191"/>
      <c r="AE16" s="191"/>
      <c r="AF16" s="191"/>
      <c r="AG16" s="191"/>
      <c r="AH16" s="191"/>
      <c r="AI16" s="191"/>
    </row>
    <row r="17" spans="2:35" x14ac:dyDescent="0.2">
      <c r="B17" s="13" t="s">
        <v>231</v>
      </c>
      <c r="C17" s="64"/>
      <c r="D17" s="65">
        <v>-279</v>
      </c>
      <c r="E17" s="66">
        <v>-87</v>
      </c>
      <c r="F17" s="67">
        <v>87</v>
      </c>
      <c r="G17" s="67">
        <v>141</v>
      </c>
      <c r="H17" s="67">
        <v>125</v>
      </c>
      <c r="I17" s="51">
        <f>I3*I28</f>
        <v>152.02759510353201</v>
      </c>
      <c r="J17" s="51">
        <f>J3*J28</f>
        <v>224.25438277124513</v>
      </c>
      <c r="K17" s="51">
        <f>K3*K28</f>
        <v>304.86482888090791</v>
      </c>
      <c r="L17" s="51">
        <f>L3*L28</f>
        <v>353.26422346303133</v>
      </c>
      <c r="M17" s="51">
        <f>M3*M28</f>
        <v>408.32265323115917</v>
      </c>
      <c r="R17" s="155" t="s">
        <v>244</v>
      </c>
      <c r="S17" s="192">
        <f>E137/((D50+E50/2))</f>
        <v>-0.43806900146682654</v>
      </c>
      <c r="T17" s="192">
        <f>F137/((E50+F50/2))</f>
        <v>-0.23275783943360182</v>
      </c>
      <c r="U17" s="192">
        <f t="shared" ref="U17:AA17" si="15">G137/((F50+G50/2))</f>
        <v>-0.24790471989413321</v>
      </c>
      <c r="V17" s="209">
        <f t="shared" si="15"/>
        <v>-9.4986807387862793E-3</v>
      </c>
      <c r="W17" s="192">
        <f t="shared" si="15"/>
        <v>-0.65110228060947728</v>
      </c>
      <c r="X17" s="192">
        <f t="shared" si="15"/>
        <v>-0.27342600385050592</v>
      </c>
      <c r="Y17" s="192">
        <f t="shared" si="15"/>
        <v>-0.21399859699451965</v>
      </c>
      <c r="Z17" s="192">
        <f t="shared" si="15"/>
        <v>-0.10051859212347959</v>
      </c>
      <c r="AA17" s="192">
        <f t="shared" si="15"/>
        <v>-9.8772705629232876E-2</v>
      </c>
      <c r="AB17" s="192">
        <f t="shared" si="14"/>
        <v>-0.23205756038333694</v>
      </c>
      <c r="AD17" s="191"/>
      <c r="AE17" s="191"/>
      <c r="AF17" s="191"/>
      <c r="AG17" s="191"/>
      <c r="AH17" s="191"/>
      <c r="AI17" s="191"/>
    </row>
    <row r="18" spans="2:35" x14ac:dyDescent="0.2">
      <c r="B18" s="13" t="s">
        <v>207</v>
      </c>
      <c r="C18" s="64"/>
      <c r="D18" s="65">
        <v>-1962</v>
      </c>
      <c r="E18" s="66">
        <v>-976</v>
      </c>
      <c r="F18" s="67">
        <v>-862</v>
      </c>
      <c r="G18" s="51">
        <v>721</v>
      </c>
      <c r="H18" s="67">
        <v>5519</v>
      </c>
      <c r="I18" s="51">
        <f>I16-I17</f>
        <v>4965.4317178567426</v>
      </c>
      <c r="J18" s="51">
        <f t="shared" ref="J18:M18" si="16">J16-J17</f>
        <v>7335.2218332462171</v>
      </c>
      <c r="K18" s="51">
        <f t="shared" si="16"/>
        <v>9969.8734333234243</v>
      </c>
      <c r="L18" s="51">
        <f t="shared" si="16"/>
        <v>11616.256154184801</v>
      </c>
      <c r="M18" s="51">
        <f t="shared" si="16"/>
        <v>13368.074895685411</v>
      </c>
      <c r="R18" s="155"/>
      <c r="S18" s="192"/>
      <c r="T18" s="192"/>
      <c r="U18" s="192"/>
      <c r="V18" s="209"/>
      <c r="W18" s="192"/>
      <c r="X18" s="192"/>
      <c r="Y18" s="192"/>
      <c r="Z18" s="192"/>
      <c r="AA18" s="192"/>
      <c r="AB18" s="192"/>
      <c r="AD18" s="191"/>
      <c r="AE18" s="191"/>
      <c r="AF18" s="191"/>
      <c r="AG18" s="191"/>
      <c r="AH18" s="191"/>
      <c r="AI18" s="191"/>
    </row>
    <row r="19" spans="2:35" x14ac:dyDescent="0.2">
      <c r="B19" s="204"/>
      <c r="C19" s="204"/>
      <c r="D19" s="205">
        <v>171</v>
      </c>
      <c r="E19" s="206"/>
      <c r="F19" s="204"/>
      <c r="G19" s="204"/>
      <c r="H19" s="204"/>
      <c r="I19" s="204"/>
      <c r="J19" s="204"/>
      <c r="K19" s="204"/>
      <c r="L19" s="204"/>
      <c r="M19" s="204"/>
      <c r="R19" s="171" t="s">
        <v>239</v>
      </c>
      <c r="S19" s="192"/>
      <c r="T19" s="192"/>
      <c r="U19" s="192"/>
      <c r="V19" s="209"/>
      <c r="W19" s="192"/>
      <c r="X19" s="192"/>
      <c r="Y19" s="192"/>
      <c r="Z19" s="192"/>
      <c r="AA19" s="192"/>
      <c r="AB19" s="192"/>
      <c r="AD19" s="191"/>
      <c r="AE19" s="191"/>
      <c r="AF19" s="191"/>
      <c r="AG19" s="191"/>
      <c r="AH19" s="191"/>
      <c r="AI19" s="191"/>
    </row>
    <row r="20" spans="2:35" s="13" customFormat="1" x14ac:dyDescent="0.2">
      <c r="B20" s="204"/>
      <c r="C20" s="204"/>
      <c r="D20" s="205">
        <v>171</v>
      </c>
      <c r="E20" s="206"/>
      <c r="F20" s="204"/>
      <c r="G20" s="204"/>
      <c r="H20" s="204"/>
      <c r="I20" s="204"/>
      <c r="J20" s="204"/>
      <c r="K20" s="204"/>
      <c r="L20" s="204"/>
      <c r="M20" s="204"/>
      <c r="R20" s="155" t="s">
        <v>221</v>
      </c>
      <c r="S20" s="192">
        <f>E5/E3</f>
        <v>0.18834026954977681</v>
      </c>
      <c r="T20" s="192">
        <f t="shared" ref="T20:AA20" si="17">F5/F3</f>
        <v>0.1655545609895028</v>
      </c>
      <c r="U20" s="192">
        <f t="shared" si="17"/>
        <v>0.2102359208523592</v>
      </c>
      <c r="V20" s="209">
        <f t="shared" si="17"/>
        <v>0.25279155751258753</v>
      </c>
      <c r="W20" s="192">
        <f t="shared" si="17"/>
        <v>0.20423057722605656</v>
      </c>
      <c r="X20" s="192">
        <f t="shared" si="17"/>
        <v>0.20423057722605659</v>
      </c>
      <c r="Y20" s="192">
        <f t="shared" si="17"/>
        <v>0.20423057722605659</v>
      </c>
      <c r="Z20" s="192">
        <f t="shared" si="17"/>
        <v>0.20423057722605659</v>
      </c>
      <c r="AA20" s="192">
        <f t="shared" si="17"/>
        <v>0.20423057722605659</v>
      </c>
      <c r="AB20" s="192">
        <f>AVERAGE(S20:V20)</f>
        <v>0.20423057722605659</v>
      </c>
      <c r="AD20" s="218" t="s">
        <v>259</v>
      </c>
      <c r="AE20" s="191"/>
      <c r="AF20" s="191"/>
      <c r="AG20" s="191"/>
      <c r="AH20" s="191"/>
      <c r="AI20" s="191"/>
    </row>
    <row r="21" spans="2:35" x14ac:dyDescent="0.2">
      <c r="B21" s="77" t="s">
        <v>51</v>
      </c>
      <c r="C21" s="78">
        <f t="shared" ref="C21:H21" si="18">ABS(C15/C14)</f>
        <v>3.5771516772336767E-2</v>
      </c>
      <c r="D21" s="79">
        <f t="shared" si="18"/>
        <v>1.4280463116876531E-2</v>
      </c>
      <c r="E21" s="80">
        <f t="shared" si="18"/>
        <v>5.7563859486735446E-2</v>
      </c>
      <c r="F21" s="81">
        <f t="shared" si="18"/>
        <v>0.16541353383458646</v>
      </c>
      <c r="G21" s="81">
        <f t="shared" si="18"/>
        <v>0.2530329289428076</v>
      </c>
      <c r="H21" s="81">
        <f t="shared" si="18"/>
        <v>0.11020022071574964</v>
      </c>
      <c r="I21" s="82">
        <f>AVERAGE(E21:H21)</f>
        <v>0.14655263574496979</v>
      </c>
      <c r="J21" s="82">
        <f>AVERAGE(E21:H21)</f>
        <v>0.14655263574496979</v>
      </c>
      <c r="K21" s="82">
        <f>AVERAGE(E21:H21)</f>
        <v>0.14655263574496979</v>
      </c>
      <c r="L21" s="82">
        <f>AVERAGE(E21:H21)</f>
        <v>0.14655263574496979</v>
      </c>
      <c r="M21" s="82">
        <f>AVERAGE(E21:H21)</f>
        <v>0.14655263574496979</v>
      </c>
      <c r="R21" s="155" t="s">
        <v>222</v>
      </c>
      <c r="S21" s="192">
        <f>E10/E3</f>
        <v>-1.8082482358451512E-2</v>
      </c>
      <c r="T21" s="192">
        <f t="shared" ref="T21:AA21" si="19">F10/F3</f>
        <v>-2.8073887216209618E-3</v>
      </c>
      <c r="U21" s="192">
        <f t="shared" si="19"/>
        <v>6.3229325215626589E-2</v>
      </c>
      <c r="V21" s="209">
        <f t="shared" si="19"/>
        <v>0.12119354179440016</v>
      </c>
      <c r="W21" s="192">
        <f t="shared" si="19"/>
        <v>7.0274649684275492E-2</v>
      </c>
      <c r="X21" s="192">
        <f t="shared" si="19"/>
        <v>7.0274649684275506E-2</v>
      </c>
      <c r="Y21" s="192">
        <f t="shared" si="19"/>
        <v>7.0274649684275506E-2</v>
      </c>
      <c r="Z21" s="192">
        <f t="shared" si="19"/>
        <v>7.0274649684275506E-2</v>
      </c>
      <c r="AA21" s="192">
        <f t="shared" si="19"/>
        <v>7.027464968427552E-2</v>
      </c>
      <c r="AB21" s="192">
        <f t="shared" ref="AB21:AB22" si="20">AVERAGE(S21:V21)</f>
        <v>4.0883248982488567E-2</v>
      </c>
      <c r="AD21" s="218"/>
      <c r="AE21" s="191"/>
      <c r="AF21" s="191"/>
      <c r="AG21" s="191"/>
      <c r="AH21" s="191"/>
      <c r="AI21" s="191"/>
    </row>
    <row r="22" spans="2:35" x14ac:dyDescent="0.2">
      <c r="B22" s="77" t="s">
        <v>52</v>
      </c>
      <c r="C22" s="69"/>
      <c r="D22" s="70"/>
      <c r="E22" s="57">
        <f>E12/(E74+E77+E80)</f>
        <v>-4.5162866558223817E-2</v>
      </c>
      <c r="F22" s="57">
        <f>F12/(F74+F77+F80)</f>
        <v>-4.2615403757621004E-2</v>
      </c>
      <c r="G22" s="57">
        <f>G12/(G74+G77+G80)</f>
        <v>-4.9806898388600349E-2</v>
      </c>
      <c r="H22" s="57">
        <f>H12/(H74+H77+H80)</f>
        <v>-3.5741811175337188E-2</v>
      </c>
      <c r="I22" s="82">
        <f>AVERAGE(E22:H22)</f>
        <v>-4.3331744969945588E-2</v>
      </c>
      <c r="J22" s="82">
        <f t="shared" ref="J22:M22" si="21">AVERAGE(F22:I22)</f>
        <v>-4.2873964572876025E-2</v>
      </c>
      <c r="K22" s="82">
        <f t="shared" si="21"/>
        <v>-4.2938604776689787E-2</v>
      </c>
      <c r="L22" s="82">
        <f t="shared" si="21"/>
        <v>-4.122153137371215E-2</v>
      </c>
      <c r="M22" s="82">
        <f t="shared" si="21"/>
        <v>-4.2591461423305887E-2</v>
      </c>
      <c r="R22" s="155" t="s">
        <v>272</v>
      </c>
      <c r="S22" s="192">
        <f>((S30*S28+E82)-E47)/DCF!G8</f>
        <v>20.827079327709541</v>
      </c>
      <c r="T22" s="192">
        <f>((T30*T28+F82)-F47)/DCF!H8</f>
        <v>45.124316546762586</v>
      </c>
      <c r="U22" s="192">
        <f>((U30*U28+G82)-G47)/DCF!I8</f>
        <v>154.49467099165895</v>
      </c>
      <c r="V22" s="209">
        <f>((V30*V28+H82)-H47)/DCF!J8</f>
        <v>111.7434810260759</v>
      </c>
      <c r="W22" s="192">
        <f>((W30*W28+I82)-I47)/DCF!K8</f>
        <v>64.461281995842569</v>
      </c>
      <c r="X22" s="192">
        <f>((X30*X28+J82)-J47)/DCF!L8</f>
        <v>55.335152292343174</v>
      </c>
      <c r="Y22" s="192">
        <f>((Y30*Y28+K82)-K47)/DCF!M8</f>
        <v>43.347383461836991</v>
      </c>
      <c r="Z22" s="192">
        <f>((Z30*Z28+L82)-L47)/DCF!N8</f>
        <v>39.301322428620665</v>
      </c>
      <c r="AA22" s="192">
        <f>((AA30*AA28+M82)-M47)/DCF!O8</f>
        <v>35.664000933414606</v>
      </c>
      <c r="AB22" s="192">
        <f t="shared" si="20"/>
        <v>83.047386973051744</v>
      </c>
      <c r="AD22" s="218"/>
      <c r="AE22" s="191"/>
      <c r="AF22" s="191"/>
      <c r="AG22" s="191"/>
      <c r="AH22" s="191"/>
      <c r="AI22" s="191"/>
    </row>
    <row r="23" spans="2:35" x14ac:dyDescent="0.2">
      <c r="B23" s="10"/>
      <c r="C23" s="69"/>
      <c r="D23" s="70"/>
      <c r="E23" s="74"/>
      <c r="F23" s="75"/>
      <c r="G23" s="75"/>
      <c r="H23" s="75"/>
      <c r="I23" s="72"/>
      <c r="J23" s="72"/>
      <c r="K23" s="83"/>
      <c r="L23" s="83"/>
      <c r="M23" s="83"/>
      <c r="R23" s="155" t="s">
        <v>223</v>
      </c>
      <c r="S23" s="94">
        <f>S30/S27</f>
        <v>-11.625874125874127</v>
      </c>
      <c r="T23" s="94">
        <f>T30/T27</f>
        <v>-85.306122448979593</v>
      </c>
      <c r="U23" s="94">
        <f>U30/U27</f>
        <v>1101.5625</v>
      </c>
      <c r="V23" s="210">
        <f>V30/V27</f>
        <v>215.51020408163265</v>
      </c>
      <c r="W23" s="94">
        <f>W30/W27</f>
        <v>209.49823988832537</v>
      </c>
      <c r="X23" s="94">
        <f>800/X27</f>
        <v>148.85709546287296</v>
      </c>
      <c r="Y23" s="94">
        <f>800/Y27</f>
        <v>120.41832449845772</v>
      </c>
      <c r="Z23" s="94">
        <f>800/Z27</f>
        <v>113.6358793455322</v>
      </c>
      <c r="AA23" s="94">
        <f>800/AA27</f>
        <v>108.57059533683264</v>
      </c>
      <c r="AB23" s="94">
        <f>AVERAGE(S23:V23)</f>
        <v>305.03517687669478</v>
      </c>
      <c r="AD23" s="218" t="s">
        <v>261</v>
      </c>
      <c r="AE23" s="191"/>
      <c r="AF23" s="191"/>
      <c r="AG23" s="191"/>
      <c r="AH23" s="221"/>
      <c r="AI23" s="191"/>
    </row>
    <row r="24" spans="2:35" x14ac:dyDescent="0.2">
      <c r="B24" s="84" t="s">
        <v>53</v>
      </c>
      <c r="C24" s="69"/>
      <c r="D24" s="70"/>
      <c r="E24" s="74"/>
      <c r="F24" s="75"/>
      <c r="G24" s="75"/>
      <c r="H24" s="75"/>
      <c r="I24" s="72"/>
      <c r="J24" s="72"/>
      <c r="K24" s="72"/>
      <c r="L24" s="83"/>
      <c r="M24" s="83"/>
      <c r="R24" s="25" t="s">
        <v>241</v>
      </c>
      <c r="S24" s="94">
        <f t="shared" ref="S24:AA24" si="22">S30/(E3/S29)</f>
        <v>0.54845314824827684</v>
      </c>
      <c r="T24" s="94">
        <f t="shared" si="22"/>
        <v>3.0170559036536737</v>
      </c>
      <c r="U24" s="94">
        <f t="shared" si="22"/>
        <v>24.210901826484019</v>
      </c>
      <c r="V24" s="210">
        <f t="shared" si="22"/>
        <v>22.150827713059474</v>
      </c>
      <c r="W24" s="94">
        <f t="shared" si="22"/>
        <v>10.741778480708229</v>
      </c>
      <c r="X24" s="94">
        <f t="shared" si="22"/>
        <v>9.5546127881644889</v>
      </c>
      <c r="Y24" s="94">
        <f t="shared" si="22"/>
        <v>7.7276267781627164</v>
      </c>
      <c r="Z24" s="94">
        <f t="shared" si="22"/>
        <v>7.332519697378399</v>
      </c>
      <c r="AA24" s="94">
        <f t="shared" si="22"/>
        <v>6.9750745305853936</v>
      </c>
      <c r="AB24" s="94">
        <f>AVERAGE(S24:V24)</f>
        <v>12.481809647861361</v>
      </c>
      <c r="AD24" s="217" t="s">
        <v>270</v>
      </c>
    </row>
    <row r="25" spans="2:35" x14ac:dyDescent="0.2">
      <c r="B25" s="85" t="s">
        <v>35</v>
      </c>
      <c r="C25" s="55">
        <f t="shared" ref="C25:H25" si="23">C5/C3</f>
        <v>0.22846097759299394</v>
      </c>
      <c r="D25" s="56">
        <f t="shared" si="23"/>
        <v>0.18900706376042831</v>
      </c>
      <c r="E25" s="57">
        <f t="shared" si="23"/>
        <v>0.18834026954977681</v>
      </c>
      <c r="F25" s="58">
        <f t="shared" si="23"/>
        <v>0.1655545609895028</v>
      </c>
      <c r="G25" s="58">
        <f t="shared" si="23"/>
        <v>0.2102359208523592</v>
      </c>
      <c r="H25" s="58">
        <f t="shared" si="23"/>
        <v>0.25279155751258753</v>
      </c>
      <c r="I25" s="7">
        <f>AVERAGE($E25:$H25)</f>
        <v>0.20423057722605659</v>
      </c>
      <c r="J25" s="7">
        <f t="shared" ref="J25:M28" si="24">AVERAGE($E25:$H25)</f>
        <v>0.20423057722605659</v>
      </c>
      <c r="K25" s="7">
        <f t="shared" si="24"/>
        <v>0.20423057722605659</v>
      </c>
      <c r="L25" s="7">
        <f t="shared" si="24"/>
        <v>0.20423057722605659</v>
      </c>
      <c r="M25" s="7">
        <f t="shared" si="24"/>
        <v>0.20423057722605659</v>
      </c>
      <c r="S25" s="192"/>
      <c r="T25" s="192"/>
      <c r="U25" s="192"/>
      <c r="V25" s="209"/>
      <c r="X25" s="192"/>
      <c r="Y25" s="192"/>
      <c r="Z25" s="192"/>
      <c r="AA25" s="192"/>
      <c r="AB25" s="192"/>
    </row>
    <row r="26" spans="2:35" x14ac:dyDescent="0.2">
      <c r="B26" s="85" t="s">
        <v>36</v>
      </c>
      <c r="C26" s="55">
        <f t="shared" ref="C26:H27" si="25">C6/C$3</f>
        <v>0.11919889510654941</v>
      </c>
      <c r="D26" s="56">
        <f t="shared" si="25"/>
        <v>0.11719552527304981</v>
      </c>
      <c r="E26" s="57">
        <f t="shared" si="25"/>
        <v>6.8046771514152851E-2</v>
      </c>
      <c r="F26" s="58">
        <f t="shared" si="25"/>
        <v>5.4642363088941333E-2</v>
      </c>
      <c r="G26" s="58">
        <f t="shared" si="25"/>
        <v>4.7279299847792999E-2</v>
      </c>
      <c r="H26" s="58">
        <f t="shared" si="25"/>
        <v>4.817643015067908E-2</v>
      </c>
      <c r="I26" s="7">
        <f>AVERAGE($F26:$H26)</f>
        <v>5.0032697695804464E-2</v>
      </c>
      <c r="J26" s="7">
        <f t="shared" ref="J26:K26" si="26">AVERAGE($F26:$H26)</f>
        <v>5.0032697695804464E-2</v>
      </c>
      <c r="K26" s="7">
        <f t="shared" si="26"/>
        <v>5.0032697695804464E-2</v>
      </c>
      <c r="L26" s="7">
        <f>AVERAGE($F26:$H26)</f>
        <v>5.0032697695804464E-2</v>
      </c>
      <c r="M26" s="7">
        <f>AVERAGE($F26:$H26)</f>
        <v>5.0032697695804464E-2</v>
      </c>
      <c r="R26" s="203" t="s">
        <v>48</v>
      </c>
      <c r="S26" s="179">
        <v>-5.72</v>
      </c>
      <c r="T26" s="179">
        <v>-0.98</v>
      </c>
      <c r="U26" s="179">
        <v>0.74</v>
      </c>
      <c r="V26" s="183">
        <v>5.6</v>
      </c>
      <c r="W26" s="179">
        <f>I18/W28</f>
        <v>4.8056574333814321</v>
      </c>
      <c r="X26" s="179">
        <f>J18/X28</f>
        <v>6.774570362451998</v>
      </c>
      <c r="Y26" s="179">
        <f>K18/Y28</f>
        <v>8.7868024132351152</v>
      </c>
      <c r="Z26" s="179">
        <f>L18/Z28</f>
        <v>9.7696747619070869</v>
      </c>
      <c r="AA26" s="179">
        <f>M18/AA28</f>
        <v>10.728907624556593</v>
      </c>
      <c r="AB26" s="179">
        <f>AVERAGE(S26:AA26)</f>
        <v>4.5006236217258033</v>
      </c>
      <c r="AG26" s="220">
        <f>V27/U27-1</f>
        <v>6.65625</v>
      </c>
    </row>
    <row r="27" spans="2:35" x14ac:dyDescent="0.2">
      <c r="B27" s="85" t="s">
        <v>54</v>
      </c>
      <c r="C27" s="55">
        <f t="shared" si="25"/>
        <v>0.20459457050238478</v>
      </c>
      <c r="D27" s="56">
        <f t="shared" si="25"/>
        <v>0.21060910295659802</v>
      </c>
      <c r="E27" s="57">
        <f t="shared" si="25"/>
        <v>0.13207472177319626</v>
      </c>
      <c r="F27" s="58">
        <f t="shared" si="25"/>
        <v>0.10765725445520384</v>
      </c>
      <c r="G27" s="58">
        <f t="shared" si="25"/>
        <v>9.9727295788939629E-2</v>
      </c>
      <c r="H27" s="58">
        <f t="shared" si="25"/>
        <v>8.3923229845976624E-2</v>
      </c>
      <c r="I27" s="7">
        <f>H27</f>
        <v>8.3923229845976624E-2</v>
      </c>
      <c r="J27" s="7">
        <f>I27-1%</f>
        <v>7.3923229845976629E-2</v>
      </c>
      <c r="K27" s="7">
        <f>I27-1%</f>
        <v>7.3923229845976629E-2</v>
      </c>
      <c r="L27" s="7">
        <f>K27-1%</f>
        <v>6.3923229845976634E-2</v>
      </c>
      <c r="M27" s="7">
        <f>K27-1%</f>
        <v>6.3923229845976634E-2</v>
      </c>
      <c r="P27" s="88"/>
      <c r="R27" s="203" t="s">
        <v>49</v>
      </c>
      <c r="S27" s="179">
        <v>-5.72</v>
      </c>
      <c r="T27" s="179">
        <v>-0.98</v>
      </c>
      <c r="U27" s="179">
        <v>0.64</v>
      </c>
      <c r="V27" s="183">
        <v>4.9000000000000004</v>
      </c>
      <c r="W27" s="179">
        <f>I18/W29</f>
        <v>4.0000336062331705</v>
      </c>
      <c r="X27" s="179">
        <f>J18/X29</f>
        <v>5.3742819414310761</v>
      </c>
      <c r="Y27" s="179">
        <f>K18/Y29</f>
        <v>6.6435071516897422</v>
      </c>
      <c r="Z27" s="179">
        <f>L18/Z29</f>
        <v>7.0400300029134542</v>
      </c>
      <c r="AA27" s="179">
        <f>M18/AA29</f>
        <v>7.3684776022278982</v>
      </c>
      <c r="AB27" s="179">
        <f>AVERAGE(S27:AA27)</f>
        <v>3.25181447827726</v>
      </c>
      <c r="AD27" s="168" t="s">
        <v>269</v>
      </c>
      <c r="AE27" s="88"/>
    </row>
    <row r="28" spans="2:35" x14ac:dyDescent="0.2">
      <c r="B28" s="10" t="s">
        <v>231</v>
      </c>
      <c r="C28" s="55"/>
      <c r="D28" s="56">
        <f>D17/D3</f>
        <v>-2.3727009781906259E-2</v>
      </c>
      <c r="E28" s="57">
        <f>E17/E3</f>
        <v>-4.0538145276411437E-3</v>
      </c>
      <c r="F28" s="57">
        <f>F17/F3</f>
        <v>3.5397509968264304E-3</v>
      </c>
      <c r="G28" s="57">
        <f>G17/G3</f>
        <v>4.4710806697108064E-3</v>
      </c>
      <c r="H28" s="57">
        <f>H17/H3</f>
        <v>2.3224272151310776E-3</v>
      </c>
      <c r="I28" s="7">
        <f>AVERAGE($E28:$H28)</f>
        <v>1.5698610885067927E-3</v>
      </c>
      <c r="J28" s="7">
        <f>AVERAGE($E28:$H28)</f>
        <v>1.5698610885067927E-3</v>
      </c>
      <c r="K28" s="7">
        <f t="shared" si="24"/>
        <v>1.5698610885067927E-3</v>
      </c>
      <c r="L28" s="7">
        <f t="shared" si="24"/>
        <v>1.5698610885067927E-3</v>
      </c>
      <c r="M28" s="7">
        <f t="shared" si="24"/>
        <v>1.5698610885067927E-3</v>
      </c>
      <c r="P28" s="88"/>
      <c r="R28" s="203" t="s">
        <v>50</v>
      </c>
      <c r="S28" s="74">
        <v>177</v>
      </c>
      <c r="T28" s="75">
        <v>887</v>
      </c>
      <c r="U28" s="75">
        <v>933</v>
      </c>
      <c r="V28" s="211">
        <v>986</v>
      </c>
      <c r="W28" s="75">
        <f t="shared" ref="W28:AA29" si="27">V28*(1+I33)</f>
        <v>1033.2471231439581</v>
      </c>
      <c r="X28" s="75">
        <f t="shared" si="27"/>
        <v>1082.7582327436771</v>
      </c>
      <c r="Y28" s="75">
        <f t="shared" si="27"/>
        <v>1134.6418144450715</v>
      </c>
      <c r="Z28" s="75">
        <f t="shared" si="27"/>
        <v>1189.0115523065019</v>
      </c>
      <c r="AA28" s="75">
        <f t="shared" si="27"/>
        <v>1245.9865778961714</v>
      </c>
      <c r="AB28" s="94">
        <f>AVERAGE(S28:AA28)</f>
        <v>963.18281117059792</v>
      </c>
      <c r="AD28" s="88"/>
      <c r="AE28" s="88"/>
    </row>
    <row r="29" spans="2:35" x14ac:dyDescent="0.2">
      <c r="N29" s="89" t="s">
        <v>56</v>
      </c>
      <c r="P29" s="88"/>
      <c r="R29" s="203" t="s">
        <v>258</v>
      </c>
      <c r="S29" s="74">
        <v>177</v>
      </c>
      <c r="T29" s="75">
        <v>887</v>
      </c>
      <c r="U29" s="75">
        <v>1083</v>
      </c>
      <c r="V29" s="211">
        <v>1129</v>
      </c>
      <c r="W29" s="75">
        <f t="shared" si="27"/>
        <v>1241.3475002108012</v>
      </c>
      <c r="X29" s="75">
        <f t="shared" si="27"/>
        <v>1364.8747708411029</v>
      </c>
      <c r="Y29" s="75">
        <f t="shared" si="27"/>
        <v>1500.6943178781162</v>
      </c>
      <c r="Z29" s="75">
        <f t="shared" si="27"/>
        <v>1650.0293534796749</v>
      </c>
      <c r="AA29" s="75">
        <f t="shared" si="27"/>
        <v>1814.224812414915</v>
      </c>
      <c r="AB29" s="94">
        <f t="shared" ref="AB29:AB30" si="28">AVERAGE(S29:AA29)</f>
        <v>1205.2411949805123</v>
      </c>
      <c r="AD29" s="88"/>
      <c r="AE29" s="88"/>
    </row>
    <row r="30" spans="2:35" x14ac:dyDescent="0.2">
      <c r="B30" s="85" t="s">
        <v>40</v>
      </c>
      <c r="C30" s="55">
        <f t="shared" ref="C30:H30" si="29">C10/C$3</f>
        <v>-9.533248801594027E-2</v>
      </c>
      <c r="D30" s="56">
        <f t="shared" si="29"/>
        <v>-0.13879756446921956</v>
      </c>
      <c r="E30" s="57">
        <f t="shared" si="29"/>
        <v>-1.8082482358451512E-2</v>
      </c>
      <c r="F30" s="58">
        <f t="shared" si="29"/>
        <v>-2.8073887216209618E-3</v>
      </c>
      <c r="G30" s="58">
        <f t="shared" si="29"/>
        <v>6.3229325215626589E-2</v>
      </c>
      <c r="H30" s="58">
        <f t="shared" si="29"/>
        <v>0.12119354179440016</v>
      </c>
      <c r="I30" s="90">
        <f>AVERAGE(E30:H30)</f>
        <v>4.0883248982488567E-2</v>
      </c>
      <c r="J30" s="90">
        <f>I30</f>
        <v>4.0883248982488567E-2</v>
      </c>
      <c r="K30" s="90">
        <f t="shared" ref="K30:M30" si="30">J30</f>
        <v>4.0883248982488567E-2</v>
      </c>
      <c r="L30" s="90">
        <f t="shared" si="30"/>
        <v>4.0883248982488567E-2</v>
      </c>
      <c r="M30" s="90">
        <f t="shared" si="30"/>
        <v>4.0883248982488567E-2</v>
      </c>
      <c r="N30" s="12">
        <f>AVERAGE(E30:M30)</f>
        <v>4.0883248982488567E-2</v>
      </c>
      <c r="P30" s="88"/>
      <c r="R30" s="174" t="s">
        <v>240</v>
      </c>
      <c r="S30" s="74">
        <v>66.5</v>
      </c>
      <c r="T30" s="74">
        <v>83.6</v>
      </c>
      <c r="U30" s="74">
        <v>705</v>
      </c>
      <c r="V30" s="211">
        <v>1056</v>
      </c>
      <c r="W30" s="74">
        <v>838</v>
      </c>
      <c r="X30" s="74">
        <v>1000</v>
      </c>
      <c r="Y30" s="74">
        <f>X30</f>
        <v>1000</v>
      </c>
      <c r="Z30" s="74">
        <f>Y30</f>
        <v>1000</v>
      </c>
      <c r="AA30" s="74">
        <f>Z30</f>
        <v>1000</v>
      </c>
      <c r="AB30" s="94">
        <f t="shared" si="28"/>
        <v>749.90000000000009</v>
      </c>
      <c r="AD30" s="88"/>
      <c r="AE30" s="88"/>
    </row>
    <row r="31" spans="2:35" x14ac:dyDescent="0.2">
      <c r="B31" s="85" t="s">
        <v>45</v>
      </c>
      <c r="C31" s="55">
        <f t="shared" ref="C31:H31" si="31">C14/C$3</f>
        <v>-0.10661913232493329</v>
      </c>
      <c r="D31" s="56">
        <f t="shared" si="31"/>
        <v>-0.18786280957901058</v>
      </c>
      <c r="E31" s="57">
        <f t="shared" si="31"/>
        <v>-4.6816665259480472E-2</v>
      </c>
      <c r="F31" s="58">
        <f t="shared" si="31"/>
        <v>-2.7056717389535356E-2</v>
      </c>
      <c r="G31" s="58">
        <f t="shared" si="31"/>
        <v>3.6593099949264331E-2</v>
      </c>
      <c r="H31" s="58">
        <f t="shared" si="31"/>
        <v>0.11784924660461141</v>
      </c>
      <c r="I31" s="90">
        <f>AVERAGE(E31:H31)</f>
        <v>2.0142240976214976E-2</v>
      </c>
      <c r="J31" s="90">
        <f t="shared" ref="J31:M32" si="32">I31</f>
        <v>2.0142240976214976E-2</v>
      </c>
      <c r="K31" s="90">
        <f t="shared" si="32"/>
        <v>2.0142240976214976E-2</v>
      </c>
      <c r="L31" s="90">
        <f t="shared" si="32"/>
        <v>2.0142240976214976E-2</v>
      </c>
      <c r="M31" s="90">
        <f t="shared" si="32"/>
        <v>2.0142240976214976E-2</v>
      </c>
      <c r="N31" s="12">
        <f>AVERAGE(E31:M31)</f>
        <v>2.0142240976214976E-2</v>
      </c>
      <c r="P31" s="88"/>
      <c r="V31" s="208"/>
      <c r="AD31" s="88"/>
      <c r="AE31" s="88"/>
    </row>
    <row r="32" spans="2:35" x14ac:dyDescent="0.2">
      <c r="B32" s="85" t="s">
        <v>47</v>
      </c>
      <c r="C32" s="55">
        <f t="shared" ref="C32:H32" si="33">C16/C$3</f>
        <v>-0.11043306040514664</v>
      </c>
      <c r="D32" s="56">
        <f t="shared" si="33"/>
        <v>-0.19054557750223641</v>
      </c>
      <c r="E32" s="57">
        <f t="shared" si="33"/>
        <v>-4.951161320011474E-2</v>
      </c>
      <c r="F32" s="58">
        <f t="shared" si="33"/>
        <v>-3.1532264626902111E-2</v>
      </c>
      <c r="G32" s="58">
        <f t="shared" si="33"/>
        <v>2.7333840690005072E-2</v>
      </c>
      <c r="H32" s="58">
        <f t="shared" si="33"/>
        <v>0.10486223361759843</v>
      </c>
      <c r="I32" s="90">
        <f>AVERAGE(E32:H32)</f>
        <v>1.2788049120146661E-2</v>
      </c>
      <c r="J32" s="90">
        <f t="shared" si="32"/>
        <v>1.2788049120146661E-2</v>
      </c>
      <c r="K32" s="90">
        <f t="shared" si="32"/>
        <v>1.2788049120146661E-2</v>
      </c>
      <c r="L32" s="90">
        <f t="shared" si="32"/>
        <v>1.2788049120146661E-2</v>
      </c>
      <c r="M32" s="90">
        <f t="shared" si="32"/>
        <v>1.2788049120146661E-2</v>
      </c>
      <c r="N32" s="12">
        <f>AVERAGE(E32:M32)</f>
        <v>1.2788049120146663E-2</v>
      </c>
      <c r="P32" s="88"/>
      <c r="Q32" s="88"/>
      <c r="R32" s="13" t="s">
        <v>242</v>
      </c>
      <c r="S32" s="192"/>
      <c r="T32" s="192"/>
      <c r="U32" s="192"/>
      <c r="V32" s="209"/>
      <c r="W32" s="192"/>
      <c r="X32" s="192"/>
      <c r="Y32" s="192"/>
      <c r="Z32" s="192"/>
      <c r="AA32" s="192"/>
      <c r="AB32" s="192"/>
      <c r="AD32" s="88"/>
      <c r="AE32" s="219" t="s">
        <v>268</v>
      </c>
    </row>
    <row r="33" spans="2:31" x14ac:dyDescent="0.2">
      <c r="B33" s="72" t="s">
        <v>50</v>
      </c>
      <c r="C33" s="55"/>
      <c r="D33" s="56"/>
      <c r="E33" s="177">
        <f>S28/D19-1</f>
        <v>3.5087719298245723E-2</v>
      </c>
      <c r="F33" s="177"/>
      <c r="G33" s="177">
        <f>U28/T28-1</f>
        <v>5.1860202931228949E-2</v>
      </c>
      <c r="H33" s="177">
        <f>V28/U28-1</f>
        <v>5.6806002143622747E-2</v>
      </c>
      <c r="I33" s="90">
        <f>AVERAGE(E33:H33)</f>
        <v>4.7917974791032471E-2</v>
      </c>
      <c r="J33" s="90">
        <f t="shared" ref="J33" si="34">I33</f>
        <v>4.7917974791032471E-2</v>
      </c>
      <c r="K33" s="90">
        <f t="shared" ref="K33" si="35">J33</f>
        <v>4.7917974791032471E-2</v>
      </c>
      <c r="L33" s="90">
        <f t="shared" ref="L33" si="36">K33</f>
        <v>4.7917974791032471E-2</v>
      </c>
      <c r="M33" s="90">
        <f t="shared" ref="M33" si="37">L33</f>
        <v>4.7917974791032471E-2</v>
      </c>
      <c r="N33" s="12">
        <f>AVERAGE(E33:M33)</f>
        <v>4.7917974791032478E-2</v>
      </c>
      <c r="P33" s="88"/>
      <c r="Q33" s="88"/>
      <c r="R33" s="184" t="s">
        <v>254</v>
      </c>
      <c r="S33" s="194">
        <f t="shared" ref="S33:AA33" si="38">E18/((E89+D89)/2)</f>
        <v>-0.21308915412229809</v>
      </c>
      <c r="T33" s="194">
        <f t="shared" si="38"/>
        <v>-0.14937732443550492</v>
      </c>
      <c r="U33" s="194">
        <f t="shared" si="38"/>
        <v>4.9994799431404502E-2</v>
      </c>
      <c r="V33" s="209">
        <f t="shared" si="38"/>
        <v>0.21059258976609302</v>
      </c>
      <c r="W33" s="194">
        <f t="shared" si="38"/>
        <v>0.15162674695142356</v>
      </c>
      <c r="X33" s="194">
        <f t="shared" si="38"/>
        <v>0.18766782949602073</v>
      </c>
      <c r="Y33" s="194">
        <f t="shared" si="38"/>
        <v>0.20769139758026881</v>
      </c>
      <c r="Z33" s="194">
        <f t="shared" si="38"/>
        <v>0.19646800661307595</v>
      </c>
      <c r="AA33" s="194">
        <f t="shared" si="38"/>
        <v>0.1856718511233327</v>
      </c>
      <c r="AB33" s="194">
        <f t="shared" ref="AB33:AB40" si="39">AVERAGE(S33:V33)</f>
        <v>-2.5469772340076371E-2</v>
      </c>
      <c r="AC33" s="88"/>
      <c r="AD33" s="88"/>
      <c r="AE33" s="219" t="s">
        <v>262</v>
      </c>
    </row>
    <row r="34" spans="2:31" x14ac:dyDescent="0.2">
      <c r="B34" s="72" t="s">
        <v>206</v>
      </c>
      <c r="C34" s="69"/>
      <c r="D34" s="70"/>
      <c r="E34" s="177">
        <f>S29/D20-1</f>
        <v>3.5087719298245723E-2</v>
      </c>
      <c r="F34" s="177"/>
      <c r="G34" s="177">
        <f>U29/T29-1</f>
        <v>0.22096956031567072</v>
      </c>
      <c r="H34" s="177">
        <f>V29/U29-1</f>
        <v>4.2474607571560519E-2</v>
      </c>
      <c r="I34" s="178">
        <f>AVERAGE(E34:H34)</f>
        <v>9.9510629061825659E-2</v>
      </c>
      <c r="J34" s="90">
        <f>I34</f>
        <v>9.9510629061825659E-2</v>
      </c>
      <c r="K34" s="90">
        <f t="shared" ref="K34" si="40">J34</f>
        <v>9.9510629061825659E-2</v>
      </c>
      <c r="L34" s="90">
        <f t="shared" ref="L34" si="41">K34</f>
        <v>9.9510629061825659E-2</v>
      </c>
      <c r="M34" s="90">
        <f t="shared" ref="M34" si="42">L34</f>
        <v>9.9510629061825659E-2</v>
      </c>
      <c r="N34" s="12">
        <f>AVERAGE(E34:M34)</f>
        <v>9.9510629061825645E-2</v>
      </c>
      <c r="P34" s="88"/>
      <c r="Q34" s="248" t="s">
        <v>246</v>
      </c>
      <c r="R34" s="185" t="s">
        <v>243</v>
      </c>
      <c r="S34" s="195">
        <f t="shared" ref="S34:AA34" si="43">((D66+E66)/2)/((E89+D89)/2)</f>
        <v>6.3746609486288106</v>
      </c>
      <c r="T34" s="195">
        <f t="shared" si="43"/>
        <v>5.5495421073795947</v>
      </c>
      <c r="U34" s="195">
        <f t="shared" si="43"/>
        <v>2.99750372707416</v>
      </c>
      <c r="V34" s="212">
        <f t="shared" si="43"/>
        <v>2.1803144198115008</v>
      </c>
      <c r="W34" s="195">
        <f t="shared" si="43"/>
        <v>2.4720323223105201</v>
      </c>
      <c r="X34" s="195">
        <f t="shared" si="43"/>
        <v>3.1085589368000286</v>
      </c>
      <c r="Y34" s="195">
        <f t="shared" si="43"/>
        <v>3.5516952272880959</v>
      </c>
      <c r="Z34" s="195">
        <f t="shared" si="43"/>
        <v>3.672386538348464</v>
      </c>
      <c r="AA34" s="195">
        <f t="shared" si="43"/>
        <v>3.6101387731976033</v>
      </c>
      <c r="AB34" s="195">
        <f>AVERAGE(S34:V34)</f>
        <v>4.2755053007235171</v>
      </c>
      <c r="AC34" s="246" t="s">
        <v>245</v>
      </c>
      <c r="AD34" s="88"/>
      <c r="AE34" s="219" t="s">
        <v>263</v>
      </c>
    </row>
    <row r="35" spans="2:31" x14ac:dyDescent="0.2">
      <c r="C35" s="69"/>
      <c r="D35" s="70"/>
      <c r="E35" s="8"/>
      <c r="F35" s="1"/>
      <c r="G35" s="1"/>
      <c r="H35" s="1"/>
      <c r="I35" s="92"/>
      <c r="J35" s="92"/>
      <c r="K35" s="92"/>
      <c r="L35" s="92"/>
      <c r="M35" s="92"/>
      <c r="N35" s="12"/>
      <c r="P35" s="88"/>
      <c r="Q35" s="249"/>
      <c r="R35" s="186" t="s">
        <v>252</v>
      </c>
      <c r="S35" s="196">
        <f t="shared" ref="S35:AA35" si="44">E16/((D66+E66)/2)</f>
        <v>-3.6392919076990625E-2</v>
      </c>
      <c r="T35" s="196">
        <f t="shared" si="44"/>
        <v>-2.4200367552059752E-2</v>
      </c>
      <c r="U35" s="196">
        <f t="shared" si="44"/>
        <v>1.9940548480747656E-2</v>
      </c>
      <c r="V35" s="213">
        <f t="shared" si="44"/>
        <v>9.8775803078430854E-2</v>
      </c>
      <c r="W35" s="196">
        <f t="shared" si="44"/>
        <v>6.3214842030975785E-2</v>
      </c>
      <c r="X35" s="196">
        <f t="shared" si="44"/>
        <v>6.2217015984384963E-2</v>
      </c>
      <c r="Y35" s="196">
        <f t="shared" si="44"/>
        <v>6.0264830522498099E-2</v>
      </c>
      <c r="Z35" s="196">
        <f t="shared" si="44"/>
        <v>5.5125687677678156E-2</v>
      </c>
      <c r="AA35" s="196">
        <f t="shared" si="44"/>
        <v>5.3001598467518937E-2</v>
      </c>
      <c r="AB35" s="197">
        <f t="shared" si="39"/>
        <v>1.4530766232532032E-2</v>
      </c>
      <c r="AC35" s="247"/>
      <c r="AD35" s="88"/>
      <c r="AE35" s="219" t="s">
        <v>264</v>
      </c>
    </row>
    <row r="36" spans="2:31" x14ac:dyDescent="0.2">
      <c r="B36" s="91" t="s">
        <v>57</v>
      </c>
      <c r="C36" s="55"/>
      <c r="D36" s="56"/>
      <c r="E36" s="57"/>
      <c r="F36" s="58"/>
      <c r="G36" s="58"/>
      <c r="H36" s="58"/>
      <c r="I36" s="10"/>
      <c r="J36" s="10"/>
      <c r="K36" s="12"/>
      <c r="L36" s="12"/>
      <c r="M36" s="10"/>
      <c r="P36" s="88"/>
      <c r="Q36" s="250"/>
      <c r="R36" s="187" t="s">
        <v>253</v>
      </c>
      <c r="S36" s="198">
        <f t="shared" ref="S36:AA36" si="45">E3/((E66+D66)/2)</f>
        <v>0.73503803905355847</v>
      </c>
      <c r="T36" s="198">
        <f t="shared" si="45"/>
        <v>0.76747952734777369</v>
      </c>
      <c r="U36" s="198">
        <f t="shared" si="45"/>
        <v>0.72951872028869846</v>
      </c>
      <c r="V36" s="214">
        <f t="shared" si="45"/>
        <v>0.94195784002310134</v>
      </c>
      <c r="W36" s="198">
        <f t="shared" si="45"/>
        <v>1.1962607656278534</v>
      </c>
      <c r="X36" s="198">
        <f t="shared" si="45"/>
        <v>1.1757018120303429</v>
      </c>
      <c r="Y36" s="198">
        <f t="shared" si="45"/>
        <v>1.13904077599512</v>
      </c>
      <c r="Z36" s="198">
        <f t="shared" si="45"/>
        <v>1.0363720780610062</v>
      </c>
      <c r="AA36" s="198">
        <f t="shared" si="45"/>
        <v>1.0006807619723002</v>
      </c>
      <c r="AB36" s="199">
        <f t="shared" si="39"/>
        <v>0.79349853167828299</v>
      </c>
      <c r="AC36" s="251" t="s">
        <v>247</v>
      </c>
      <c r="AD36" s="88"/>
      <c r="AE36" s="219" t="s">
        <v>265</v>
      </c>
    </row>
    <row r="37" spans="2:31" x14ac:dyDescent="0.2">
      <c r="B37" s="10" t="s">
        <v>32</v>
      </c>
      <c r="C37" s="55"/>
      <c r="D37" s="56"/>
      <c r="E37" s="57">
        <f t="shared" ref="E37:M37" si="46">E3/D3-1</f>
        <v>0.82513159773516764</v>
      </c>
      <c r="F37" s="58">
        <f t="shared" si="46"/>
        <v>0.14522590184326489</v>
      </c>
      <c r="G37" s="58">
        <f t="shared" si="46"/>
        <v>0.28309870615998056</v>
      </c>
      <c r="H37" s="58">
        <f t="shared" si="46"/>
        <v>0.70671613394216126</v>
      </c>
      <c r="I37" s="58">
        <f t="shared" si="46"/>
        <v>0.79925740897344721</v>
      </c>
      <c r="J37" s="58">
        <f t="shared" si="46"/>
        <v>0.47508998362123744</v>
      </c>
      <c r="K37" s="58">
        <f t="shared" si="46"/>
        <v>0.35945984695376465</v>
      </c>
      <c r="L37" s="58">
        <f t="shared" si="46"/>
        <v>0.1587568981301879</v>
      </c>
      <c r="M37" s="58">
        <f t="shared" si="46"/>
        <v>0.15585622916578656</v>
      </c>
      <c r="N37" s="12">
        <f t="shared" ref="N37:N43" si="47">AVERAGE(E37:M37)</f>
        <v>0.43428807850277756</v>
      </c>
      <c r="P37" s="88"/>
      <c r="Q37" s="88"/>
      <c r="R37" s="188" t="s">
        <v>248</v>
      </c>
      <c r="S37" s="200">
        <f t="shared" ref="S37:AA37" si="48">E16/E3</f>
        <v>-4.951161320011474E-2</v>
      </c>
      <c r="T37" s="200">
        <f t="shared" si="48"/>
        <v>-3.1532264626902111E-2</v>
      </c>
      <c r="U37" s="200">
        <f t="shared" si="48"/>
        <v>2.7333840690005072E-2</v>
      </c>
      <c r="V37" s="215">
        <f t="shared" si="48"/>
        <v>0.10486223361759843</v>
      </c>
      <c r="W37" s="200">
        <f t="shared" si="48"/>
        <v>5.2843697500851911E-2</v>
      </c>
      <c r="X37" s="200">
        <f t="shared" si="48"/>
        <v>5.2919044053305629E-2</v>
      </c>
      <c r="Y37" s="200">
        <f t="shared" si="48"/>
        <v>5.2908404854819964E-2</v>
      </c>
      <c r="Z37" s="200">
        <f t="shared" si="48"/>
        <v>5.3191019755004607E-2</v>
      </c>
      <c r="AA37" s="200">
        <f t="shared" si="48"/>
        <v>5.2965541540995545E-2</v>
      </c>
      <c r="AB37" s="201">
        <f t="shared" si="39"/>
        <v>1.2788049120146661E-2</v>
      </c>
      <c r="AC37" s="252"/>
      <c r="AD37" s="88"/>
      <c r="AE37" s="219" t="s">
        <v>265</v>
      </c>
    </row>
    <row r="38" spans="2:31" ht="16" customHeight="1" x14ac:dyDescent="0.2">
      <c r="B38" s="10" t="s">
        <v>34</v>
      </c>
      <c r="C38" s="55"/>
      <c r="D38" s="56"/>
      <c r="E38" s="57">
        <f t="shared" ref="E38:M38" si="49">E4/D4-1</f>
        <v>0.82663221152434541</v>
      </c>
      <c r="F38" s="58">
        <f t="shared" si="49"/>
        <v>0.17737580734689629</v>
      </c>
      <c r="G38" s="58">
        <f t="shared" si="49"/>
        <v>0.21439368082305332</v>
      </c>
      <c r="H38" s="58">
        <f t="shared" si="49"/>
        <v>0.61475146551031878</v>
      </c>
      <c r="I38" s="58">
        <f t="shared" si="49"/>
        <v>0.91619091587641055</v>
      </c>
      <c r="J38" s="58">
        <f t="shared" si="49"/>
        <v>0.47508998362123744</v>
      </c>
      <c r="K38" s="58">
        <f t="shared" si="49"/>
        <v>0.35945984695376487</v>
      </c>
      <c r="L38" s="58">
        <f t="shared" si="49"/>
        <v>0.15875689813018767</v>
      </c>
      <c r="M38" s="58">
        <f t="shared" si="49"/>
        <v>0.15585622916578679</v>
      </c>
      <c r="N38" s="12">
        <f t="shared" si="47"/>
        <v>0.43316744877244456</v>
      </c>
      <c r="P38" s="88"/>
      <c r="Q38" s="88"/>
      <c r="R38" s="189" t="s">
        <v>249</v>
      </c>
      <c r="S38" s="194">
        <f t="shared" ref="S38:AA38" si="50">E10/E3</f>
        <v>-1.8082482358451512E-2</v>
      </c>
      <c r="T38" s="194">
        <f t="shared" si="50"/>
        <v>-2.8073887216209618E-3</v>
      </c>
      <c r="U38" s="194">
        <f t="shared" si="50"/>
        <v>6.3229325215626589E-2</v>
      </c>
      <c r="V38" s="209">
        <f t="shared" si="50"/>
        <v>0.12119354179440016</v>
      </c>
      <c r="W38" s="194">
        <f t="shared" si="50"/>
        <v>7.0274649684275492E-2</v>
      </c>
      <c r="X38" s="194">
        <f t="shared" si="50"/>
        <v>7.0274649684275506E-2</v>
      </c>
      <c r="Y38" s="194">
        <f t="shared" si="50"/>
        <v>7.0274649684275506E-2</v>
      </c>
      <c r="Z38" s="194">
        <f t="shared" si="50"/>
        <v>7.0274649684275506E-2</v>
      </c>
      <c r="AA38" s="194">
        <f t="shared" si="50"/>
        <v>7.027464968427552E-2</v>
      </c>
      <c r="AB38" s="194">
        <f t="shared" si="39"/>
        <v>4.0883248982488567E-2</v>
      </c>
      <c r="AC38" s="252"/>
      <c r="AD38" s="88"/>
      <c r="AE38" s="206" t="s">
        <v>267</v>
      </c>
    </row>
    <row r="39" spans="2:31" x14ac:dyDescent="0.2">
      <c r="B39" s="85" t="s">
        <v>35</v>
      </c>
      <c r="C39" s="55"/>
      <c r="D39" s="56">
        <f>D5/C5-1</f>
        <v>0.38969971680599169</v>
      </c>
      <c r="E39" s="57">
        <f t="shared" ref="E39:M39" si="51">E5/D5-1</f>
        <v>0.81869275275850861</v>
      </c>
      <c r="F39" s="58">
        <f t="shared" si="51"/>
        <v>6.6746313292287418E-3</v>
      </c>
      <c r="G39" s="58">
        <f t="shared" si="51"/>
        <v>0.62939297124600646</v>
      </c>
      <c r="H39" s="58">
        <f t="shared" si="51"/>
        <v>1.0521870286576167</v>
      </c>
      <c r="I39" s="92">
        <f t="shared" si="51"/>
        <v>0.45362203876056451</v>
      </c>
      <c r="J39" s="92">
        <f t="shared" si="51"/>
        <v>0.47508998362123767</v>
      </c>
      <c r="K39" s="92">
        <f t="shared" si="51"/>
        <v>0.35945984695376465</v>
      </c>
      <c r="L39" s="92">
        <f t="shared" si="51"/>
        <v>0.1587568981301879</v>
      </c>
      <c r="M39" s="92">
        <f t="shared" si="51"/>
        <v>0.15585622916578656</v>
      </c>
      <c r="N39" s="12">
        <f t="shared" si="47"/>
        <v>0.45663693118032245</v>
      </c>
      <c r="P39" s="88"/>
      <c r="Q39" s="88"/>
      <c r="R39" s="189" t="s">
        <v>251</v>
      </c>
      <c r="S39" s="194">
        <f t="shared" ref="S39:AA39" si="52">E14/E10</f>
        <v>2.589061851765003</v>
      </c>
      <c r="T39" s="194">
        <f t="shared" si="52"/>
        <v>9.6376811594202891</v>
      </c>
      <c r="U39" s="194">
        <f t="shared" si="52"/>
        <v>0.5787362086258776</v>
      </c>
      <c r="V39" s="209">
        <f t="shared" si="52"/>
        <v>0.97240533496857273</v>
      </c>
      <c r="W39" s="194">
        <f t="shared" si="52"/>
        <v>0.88108491745353512</v>
      </c>
      <c r="X39" s="194">
        <f t="shared" si="52"/>
        <v>0.88234120181834519</v>
      </c>
      <c r="Y39" s="194">
        <f t="shared" si="52"/>
        <v>0.88216381004292366</v>
      </c>
      <c r="Z39" s="194">
        <f t="shared" si="52"/>
        <v>0.8868759656598979</v>
      </c>
      <c r="AA39" s="194">
        <f t="shared" si="52"/>
        <v>0.88311647374367552</v>
      </c>
      <c r="AB39" s="194">
        <f t="shared" si="39"/>
        <v>3.4444711386949352</v>
      </c>
      <c r="AC39" s="252"/>
      <c r="AD39" s="88"/>
      <c r="AE39" s="204" t="s">
        <v>266</v>
      </c>
    </row>
    <row r="40" spans="2:31" x14ac:dyDescent="0.2">
      <c r="B40" s="85" t="s">
        <v>58</v>
      </c>
      <c r="C40" s="55"/>
      <c r="D40" s="56"/>
      <c r="E40" s="57"/>
      <c r="F40" s="58">
        <f t="shared" ref="F40:M40" si="53">F9/E9-1</f>
        <v>-6.5934041128698384E-2</v>
      </c>
      <c r="G40" s="58">
        <f t="shared" si="53"/>
        <v>0.12034799420009668</v>
      </c>
      <c r="H40" s="58">
        <f t="shared" si="53"/>
        <v>0.52782571182053495</v>
      </c>
      <c r="I40" s="58">
        <f t="shared" si="53"/>
        <v>0.83149566344220904</v>
      </c>
      <c r="J40" s="58">
        <f t="shared" si="53"/>
        <v>0.47508998362123744</v>
      </c>
      <c r="K40" s="58">
        <f t="shared" si="53"/>
        <v>0.35945984695376443</v>
      </c>
      <c r="L40" s="58">
        <f t="shared" si="53"/>
        <v>0.15875689813018812</v>
      </c>
      <c r="M40" s="58">
        <f t="shared" si="53"/>
        <v>0.15585622916578634</v>
      </c>
      <c r="N40" s="12">
        <f t="shared" si="47"/>
        <v>0.3203622857756398</v>
      </c>
      <c r="P40" s="88"/>
      <c r="R40" s="190" t="s">
        <v>250</v>
      </c>
      <c r="S40" s="202">
        <f t="shared" ref="S40:AA40" si="54">E16/E14</f>
        <v>1.0575638594867356</v>
      </c>
      <c r="T40" s="202">
        <f t="shared" si="54"/>
        <v>1.1654135338345866</v>
      </c>
      <c r="U40" s="202">
        <f t="shared" si="54"/>
        <v>0.7469670710571924</v>
      </c>
      <c r="V40" s="216">
        <f t="shared" si="54"/>
        <v>0.88979977928425036</v>
      </c>
      <c r="W40" s="202">
        <f t="shared" si="54"/>
        <v>0.85344736425503021</v>
      </c>
      <c r="X40" s="202">
        <f t="shared" si="54"/>
        <v>0.85344736425503021</v>
      </c>
      <c r="Y40" s="202">
        <f t="shared" si="54"/>
        <v>0.85344736425503021</v>
      </c>
      <c r="Z40" s="202">
        <f t="shared" si="54"/>
        <v>0.85344736425503021</v>
      </c>
      <c r="AA40" s="202">
        <f t="shared" si="54"/>
        <v>0.85344736425503021</v>
      </c>
      <c r="AB40" s="202">
        <f t="shared" si="39"/>
        <v>0.96493606091569128</v>
      </c>
      <c r="AC40" s="253"/>
    </row>
    <row r="41" spans="2:31" x14ac:dyDescent="0.2">
      <c r="B41" s="85" t="s">
        <v>40</v>
      </c>
      <c r="C41" s="55"/>
      <c r="D41" s="56">
        <f>(D10-C10)/-C10</f>
        <v>-1.4456588845266281</v>
      </c>
      <c r="E41" s="57">
        <f>(E10-D10)/-D10</f>
        <v>0.76222270149979832</v>
      </c>
      <c r="F41" s="58">
        <f>(F10-E10)/-E10</f>
        <v>0.82219840081634121</v>
      </c>
      <c r="G41" s="93">
        <f>(G10-F10)/-F10</f>
        <v>29.89855072463768</v>
      </c>
      <c r="H41" s="58">
        <f t="shared" ref="H41:M41" si="55">H10/G10-1</f>
        <v>2.2713139418254764</v>
      </c>
      <c r="I41" s="92">
        <f t="shared" si="55"/>
        <v>4.330793733176086E-2</v>
      </c>
      <c r="J41" s="92">
        <f t="shared" si="55"/>
        <v>0.47508998362123789</v>
      </c>
      <c r="K41" s="92">
        <f t="shared" si="55"/>
        <v>0.35945984695376465</v>
      </c>
      <c r="L41" s="92">
        <f t="shared" si="55"/>
        <v>0.1587568981301879</v>
      </c>
      <c r="M41" s="92">
        <f t="shared" si="55"/>
        <v>0.15585622916578656</v>
      </c>
      <c r="N41" s="12">
        <f t="shared" si="47"/>
        <v>3.8829729626646698</v>
      </c>
      <c r="P41" s="88"/>
    </row>
    <row r="42" spans="2:31" x14ac:dyDescent="0.2">
      <c r="B42" s="85" t="s">
        <v>59</v>
      </c>
      <c r="C42" s="55"/>
      <c r="D42" s="56">
        <f>D14/C14-1</f>
        <v>1.9597881953190739</v>
      </c>
      <c r="E42" s="57">
        <f>(E14-D14)/-D14</f>
        <v>0.54516503156133556</v>
      </c>
      <c r="F42" s="58">
        <f>(F14-E14)/-E14</f>
        <v>0.33814052321733373</v>
      </c>
      <c r="G42" s="58">
        <f>(G14-F14)/-F14</f>
        <v>2.7353383458646618</v>
      </c>
      <c r="H42" s="58">
        <f t="shared" ref="H42:M42" si="56">H14/G14-1</f>
        <v>4.4965337954939342</v>
      </c>
      <c r="I42" s="92">
        <f t="shared" si="56"/>
        <v>-5.4671077187907868E-2</v>
      </c>
      <c r="J42" s="92">
        <f t="shared" si="56"/>
        <v>0.47719322298716316</v>
      </c>
      <c r="K42" s="92">
        <f t="shared" si="56"/>
        <v>0.35918653205543682</v>
      </c>
      <c r="L42" s="92">
        <f t="shared" si="56"/>
        <v>0.16494650006587164</v>
      </c>
      <c r="M42" s="92">
        <f t="shared" si="56"/>
        <v>0.15095652242197977</v>
      </c>
      <c r="N42" s="12">
        <f t="shared" si="47"/>
        <v>1.0236432662755344</v>
      </c>
      <c r="P42" s="88"/>
    </row>
    <row r="43" spans="2:31" x14ac:dyDescent="0.2">
      <c r="B43" s="85" t="s">
        <v>47</v>
      </c>
      <c r="C43" s="55"/>
      <c r="D43" s="56">
        <f>D16/C16-1</f>
        <v>1.8983760345438689</v>
      </c>
      <c r="E43" s="57">
        <f>(E16-D16)/-D16</f>
        <v>0.5257554077563914</v>
      </c>
      <c r="F43" s="58">
        <f>(F16-E16)/-E16</f>
        <v>0.2706445243755306</v>
      </c>
      <c r="G43" s="58">
        <f>(G16-F16)/-F16</f>
        <v>2.1122580645161291</v>
      </c>
      <c r="H43" s="58">
        <f t="shared" ref="H43:M43" si="57">H16/G16-1</f>
        <v>5.5475638051044083</v>
      </c>
      <c r="I43" s="92">
        <f t="shared" si="57"/>
        <v>-9.3292113224614726E-2</v>
      </c>
      <c r="J43" s="92">
        <f t="shared" si="57"/>
        <v>0.47719322298716338</v>
      </c>
      <c r="K43" s="92">
        <f t="shared" si="57"/>
        <v>0.35918653205543682</v>
      </c>
      <c r="L43" s="92">
        <f t="shared" si="57"/>
        <v>0.16494650006587164</v>
      </c>
      <c r="M43" s="92">
        <f t="shared" si="57"/>
        <v>0.15095652242197977</v>
      </c>
      <c r="N43" s="12">
        <f t="shared" si="47"/>
        <v>1.0572458295620328</v>
      </c>
    </row>
    <row r="44" spans="2:31" x14ac:dyDescent="0.2">
      <c r="S44" s="76"/>
    </row>
    <row r="45" spans="2:31" x14ac:dyDescent="0.2">
      <c r="B45" s="38" t="s">
        <v>61</v>
      </c>
      <c r="C45" s="39">
        <v>2016</v>
      </c>
      <c r="D45" s="62">
        <v>2017</v>
      </c>
      <c r="E45" s="63">
        <v>2018</v>
      </c>
      <c r="F45" s="40">
        <v>2019</v>
      </c>
      <c r="G45" s="40">
        <v>2020</v>
      </c>
      <c r="H45" s="40">
        <v>2021</v>
      </c>
      <c r="I45" s="41">
        <v>2022</v>
      </c>
      <c r="J45" s="41">
        <v>2023</v>
      </c>
      <c r="K45" s="41">
        <v>2024</v>
      </c>
      <c r="L45" s="41">
        <v>2025</v>
      </c>
      <c r="M45" s="41">
        <v>2025</v>
      </c>
    </row>
    <row r="46" spans="2:31" x14ac:dyDescent="0.2">
      <c r="B46" s="14" t="s">
        <v>62</v>
      </c>
      <c r="C46" s="94"/>
      <c r="D46" s="95"/>
      <c r="E46" s="95"/>
      <c r="F46" s="94"/>
      <c r="G46" s="94"/>
      <c r="H46" s="94"/>
      <c r="I46" s="24"/>
      <c r="J46" s="24"/>
      <c r="K46" s="24"/>
      <c r="L46" s="24"/>
      <c r="M46" s="24"/>
    </row>
    <row r="47" spans="2:31" x14ac:dyDescent="0.2">
      <c r="B47" s="25" t="s">
        <v>63</v>
      </c>
      <c r="C47" s="3">
        <v>3393.2160000000003</v>
      </c>
      <c r="D47" s="5">
        <v>3367.9139999999998</v>
      </c>
      <c r="E47" s="5">
        <v>3685.6179999999999</v>
      </c>
      <c r="F47" s="3">
        <v>6268</v>
      </c>
      <c r="G47" s="3">
        <v>19384</v>
      </c>
      <c r="H47" s="3">
        <v>17576</v>
      </c>
      <c r="I47" s="176">
        <f>H47+I205</f>
        <v>9427.4381537591817</v>
      </c>
      <c r="J47" s="176">
        <f t="shared" ref="J47:M47" si="58">I47+J205</f>
        <v>10113.53684368529</v>
      </c>
      <c r="K47" s="176">
        <f t="shared" si="58"/>
        <v>16914.95189464961</v>
      </c>
      <c r="L47" s="176">
        <f t="shared" si="58"/>
        <v>27003.253648881899</v>
      </c>
      <c r="M47" s="176">
        <f t="shared" si="58"/>
        <v>41242.869096077411</v>
      </c>
    </row>
    <row r="48" spans="2:31" x14ac:dyDescent="0.2">
      <c r="B48" s="25" t="s">
        <v>64</v>
      </c>
      <c r="C48" s="3">
        <v>105.51900000000001</v>
      </c>
      <c r="D48" s="5"/>
      <c r="E48" s="5"/>
      <c r="F48" s="3">
        <v>246</v>
      </c>
      <c r="G48" s="3"/>
      <c r="H48" s="3"/>
      <c r="I48" s="24"/>
      <c r="J48" s="24"/>
      <c r="K48" s="24"/>
      <c r="L48" s="24"/>
      <c r="M48" s="24"/>
    </row>
    <row r="49" spans="2:18" x14ac:dyDescent="0.2">
      <c r="B49" s="25" t="s">
        <v>65</v>
      </c>
      <c r="C49" s="3"/>
      <c r="D49" s="5">
        <v>155.32300000000001</v>
      </c>
      <c r="E49" s="5">
        <v>192.55099999999999</v>
      </c>
      <c r="F49" s="3"/>
      <c r="G49" s="3"/>
      <c r="H49" s="3">
        <v>131</v>
      </c>
      <c r="I49" s="24"/>
      <c r="J49" s="24"/>
      <c r="K49" s="24"/>
      <c r="L49" s="24"/>
      <c r="M49" s="24"/>
    </row>
    <row r="50" spans="2:18" x14ac:dyDescent="0.2">
      <c r="B50" s="25" t="s">
        <v>66</v>
      </c>
      <c r="C50" s="3">
        <v>499.142</v>
      </c>
      <c r="D50" s="5">
        <v>515.38100000000009</v>
      </c>
      <c r="E50" s="5">
        <v>949.02199999999993</v>
      </c>
      <c r="F50" s="3">
        <v>1324</v>
      </c>
      <c r="G50" s="3">
        <v>1886</v>
      </c>
      <c r="H50" s="3">
        <v>1913</v>
      </c>
      <c r="I50" s="24">
        <f>I3/365*I94</f>
        <v>4683.1699948800751</v>
      </c>
      <c r="J50" s="24">
        <f>J3/365*J94</f>
        <v>6908.0971510431209</v>
      </c>
      <c r="K50" s="24">
        <f>K3/365*K94</f>
        <v>9391.2806956988188</v>
      </c>
      <c r="L50" s="24">
        <f>L3/365*L94</f>
        <v>10882.211288417877</v>
      </c>
      <c r="M50" s="24">
        <f>M3/365*M94</f>
        <v>12578.271704816043</v>
      </c>
    </row>
    <row r="51" spans="2:18" x14ac:dyDescent="0.2">
      <c r="B51" s="25" t="s">
        <v>67</v>
      </c>
      <c r="C51" s="3">
        <v>2067.4540000000002</v>
      </c>
      <c r="D51" s="5">
        <v>2263.5369999999998</v>
      </c>
      <c r="E51" s="5">
        <v>3113.4459999999999</v>
      </c>
      <c r="F51" s="3">
        <v>3552</v>
      </c>
      <c r="G51" s="3">
        <v>4101</v>
      </c>
      <c r="H51" s="3">
        <v>5757</v>
      </c>
      <c r="I51" s="24">
        <f>I$3/365*I95</f>
        <v>12749.073805995487</v>
      </c>
      <c r="J51" s="24">
        <f>J3/365*J95</f>
        <v>18806.031071671834</v>
      </c>
      <c r="K51" s="24">
        <f>K3/365*K95</f>
        <v>25566.044122502735</v>
      </c>
      <c r="L51" s="24">
        <f>L3/365*L95</f>
        <v>29624.829984850789</v>
      </c>
      <c r="M51" s="24">
        <f>M3/365*M95</f>
        <v>34242.044275967157</v>
      </c>
    </row>
    <row r="52" spans="2:18" x14ac:dyDescent="0.2">
      <c r="B52" s="25" t="s">
        <v>68</v>
      </c>
      <c r="C52" s="4">
        <v>194.465</v>
      </c>
      <c r="D52" s="4">
        <v>268.36500000000001</v>
      </c>
      <c r="E52" s="4">
        <v>365.67099999999999</v>
      </c>
      <c r="F52" s="4">
        <v>713</v>
      </c>
      <c r="G52" s="4">
        <v>1346</v>
      </c>
      <c r="H52" s="4">
        <v>1723</v>
      </c>
      <c r="I52" s="15">
        <f>I3*I96</f>
        <v>2923.2082082447446</v>
      </c>
      <c r="J52" s="15">
        <f>J3*J96</f>
        <v>4311.9951480212067</v>
      </c>
      <c r="K52" s="15">
        <f>K3*K96</f>
        <v>5861.9842639942863</v>
      </c>
      <c r="L52" s="15">
        <f>L3*L96</f>
        <v>6792.6147026339913</v>
      </c>
      <c r="M52" s="15">
        <f>M3*M96</f>
        <v>7851.2860163626056</v>
      </c>
    </row>
    <row r="53" spans="2:18" x14ac:dyDescent="0.2">
      <c r="B53" s="13" t="s">
        <v>69</v>
      </c>
      <c r="C53" s="96">
        <v>6259.7960000000003</v>
      </c>
      <c r="D53" s="97">
        <v>6570.5199999999995</v>
      </c>
      <c r="E53" s="97">
        <v>8306.3080000000009</v>
      </c>
      <c r="F53" s="96">
        <v>12103</v>
      </c>
      <c r="G53" s="96">
        <v>26717</v>
      </c>
      <c r="H53" s="96">
        <v>27100</v>
      </c>
      <c r="I53" s="51">
        <f>SUM(I47:I52)</f>
        <v>29782.890162879492</v>
      </c>
      <c r="J53" s="51">
        <f>SUM(J47:J52)</f>
        <v>40139.660214421448</v>
      </c>
      <c r="K53" s="51">
        <f>SUM(K47:K52)</f>
        <v>57734.260976845449</v>
      </c>
      <c r="L53" s="51">
        <f>SUM(L47:L52)</f>
        <v>74302.909624784545</v>
      </c>
      <c r="M53" s="51">
        <f>SUM(M47:M52)</f>
        <v>95914.471093223212</v>
      </c>
    </row>
    <row r="54" spans="2:18" x14ac:dyDescent="0.2">
      <c r="B54" s="14" t="s">
        <v>70</v>
      </c>
      <c r="C54" s="3"/>
      <c r="D54" s="5"/>
      <c r="E54" s="5"/>
      <c r="F54" s="3"/>
      <c r="G54" s="3"/>
      <c r="H54" s="3"/>
      <c r="I54" s="24"/>
      <c r="J54" s="24"/>
      <c r="K54" s="24"/>
      <c r="L54" s="24"/>
      <c r="M54" s="24"/>
    </row>
    <row r="55" spans="2:18" x14ac:dyDescent="0.2">
      <c r="B55" s="25" t="s">
        <v>71</v>
      </c>
      <c r="C55" s="3">
        <v>3134.08</v>
      </c>
      <c r="D55" s="5">
        <v>4116.6040000000003</v>
      </c>
      <c r="E55" s="5">
        <v>2089.7580000000003</v>
      </c>
      <c r="F55" s="3">
        <v>2447</v>
      </c>
      <c r="G55" s="3">
        <v>3091</v>
      </c>
      <c r="H55" s="3">
        <v>4511</v>
      </c>
      <c r="I55" s="24">
        <f t="shared" ref="I55:M56" si="59">I$3*I97</f>
        <v>9169.9337122976376</v>
      </c>
      <c r="J55" s="24">
        <f t="shared" si="59"/>
        <v>13526.477369480954</v>
      </c>
      <c r="K55" s="24">
        <f t="shared" si="59"/>
        <v>18388.70285453814</v>
      </c>
      <c r="L55" s="24">
        <f t="shared" si="59"/>
        <v>21308.036280362347</v>
      </c>
      <c r="M55" s="24">
        <f t="shared" si="59"/>
        <v>24629.026465947394</v>
      </c>
    </row>
    <row r="56" spans="2:18" x14ac:dyDescent="0.2">
      <c r="B56" s="25" t="s">
        <v>72</v>
      </c>
      <c r="C56" s="3">
        <v>5919.88</v>
      </c>
      <c r="D56" s="5">
        <v>6347.49</v>
      </c>
      <c r="E56" s="5">
        <v>6271.3959999999997</v>
      </c>
      <c r="F56" s="3">
        <v>6138</v>
      </c>
      <c r="G56" s="3">
        <v>5979</v>
      </c>
      <c r="H56" s="3">
        <v>5765</v>
      </c>
      <c r="I56" s="24">
        <f>I$3*I98</f>
        <v>14366.580801081211</v>
      </c>
      <c r="J56" s="24">
        <f t="shared" si="59"/>
        <v>21191.999438560069</v>
      </c>
      <c r="K56" s="24">
        <f t="shared" si="59"/>
        <v>28809.672313389139</v>
      </c>
      <c r="L56" s="24">
        <f t="shared" si="59"/>
        <v>33383.406526009952</v>
      </c>
      <c r="M56" s="24">
        <f t="shared" si="59"/>
        <v>38586.418383862372</v>
      </c>
    </row>
    <row r="57" spans="2:18" x14ac:dyDescent="0.2">
      <c r="B57" s="25" t="s">
        <v>73</v>
      </c>
      <c r="C57" s="3">
        <v>5982.9570000000003</v>
      </c>
      <c r="D57" s="5">
        <v>10027.522000000001</v>
      </c>
      <c r="E57" s="5">
        <v>11330.077000000001</v>
      </c>
      <c r="F57" s="3">
        <v>10396</v>
      </c>
      <c r="G57" s="3">
        <v>12747</v>
      </c>
      <c r="H57" s="3">
        <v>18884</v>
      </c>
      <c r="I57" s="24">
        <f>I$3*I99</f>
        <v>38027.639854216672</v>
      </c>
      <c r="J57" s="24">
        <f t="shared" ref="J57:M58" si="60">J$3*J99</f>
        <v>56094.190649710792</v>
      </c>
      <c r="K57" s="24">
        <f t="shared" si="60"/>
        <v>76257.799835651138</v>
      </c>
      <c r="L57" s="24">
        <f t="shared" si="60"/>
        <v>88364.251595791851</v>
      </c>
      <c r="M57" s="24">
        <f t="shared" si="60"/>
        <v>102136.37064256881</v>
      </c>
    </row>
    <row r="58" spans="2:18" x14ac:dyDescent="0.2">
      <c r="B58" s="25" t="s">
        <v>74</v>
      </c>
      <c r="C58" s="3"/>
      <c r="D58" s="5">
        <v>361.50200000000001</v>
      </c>
      <c r="E58" s="5">
        <v>282.49200000000002</v>
      </c>
      <c r="F58" s="3">
        <v>1218</v>
      </c>
      <c r="G58" s="3">
        <v>1558</v>
      </c>
      <c r="H58" s="3">
        <v>2016</v>
      </c>
      <c r="I58" s="24">
        <f>I$3*I100</f>
        <v>3621.3696325994697</v>
      </c>
      <c r="J58" s="24">
        <f t="shared" si="60"/>
        <v>5341.8460720375979</v>
      </c>
      <c r="K58" s="24">
        <f t="shared" si="60"/>
        <v>7262.0252435428029</v>
      </c>
      <c r="L58" s="24">
        <f t="shared" si="60"/>
        <v>8414.9218453507801</v>
      </c>
      <c r="M58" s="24">
        <f t="shared" si="60"/>
        <v>9726.4398328919542</v>
      </c>
    </row>
    <row r="59" spans="2:18" ht="16" customHeight="1" x14ac:dyDescent="0.2">
      <c r="B59" s="25" t="s">
        <v>75</v>
      </c>
      <c r="C59" s="3"/>
      <c r="D59" s="5">
        <v>60.237000000000002</v>
      </c>
      <c r="E59" s="5">
        <v>68.159000000000006</v>
      </c>
      <c r="F59" s="3"/>
      <c r="G59" s="3"/>
      <c r="H59" s="3">
        <v>1260</v>
      </c>
      <c r="I59" s="24"/>
      <c r="J59" s="24"/>
      <c r="K59" s="24"/>
      <c r="L59" s="24"/>
      <c r="M59" s="24"/>
    </row>
    <row r="60" spans="2:18" x14ac:dyDescent="0.2">
      <c r="B60" s="25" t="s">
        <v>76</v>
      </c>
      <c r="C60" s="3">
        <v>376.14499999999998</v>
      </c>
      <c r="D60" s="5">
        <v>456.65200000000004</v>
      </c>
      <c r="E60" s="5">
        <v>421.54799999999994</v>
      </c>
      <c r="F60" s="3">
        <v>339</v>
      </c>
      <c r="G60" s="3">
        <v>313</v>
      </c>
      <c r="H60" s="3">
        <v>257</v>
      </c>
      <c r="I60" s="24">
        <f>AVERAGE($E60:$H60)</f>
        <v>332.637</v>
      </c>
      <c r="J60" s="24">
        <f>AVERAGE($E60:$H60)</f>
        <v>332.637</v>
      </c>
      <c r="K60" s="24">
        <f>AVERAGE($E60:$H60)</f>
        <v>332.637</v>
      </c>
      <c r="L60" s="24">
        <f>AVERAGE($E60:$H60)</f>
        <v>332.637</v>
      </c>
      <c r="M60" s="24">
        <f>AVERAGE($E60:$H60)</f>
        <v>332.637</v>
      </c>
    </row>
    <row r="61" spans="2:18" x14ac:dyDescent="0.2">
      <c r="B61" s="25" t="s">
        <v>77</v>
      </c>
      <c r="C61" s="3"/>
      <c r="D61" s="5">
        <v>441.72200000000004</v>
      </c>
      <c r="E61" s="5">
        <v>398.21899999999999</v>
      </c>
      <c r="F61" s="3">
        <v>198</v>
      </c>
      <c r="G61" s="3">
        <v>207</v>
      </c>
      <c r="H61" s="3">
        <v>200</v>
      </c>
      <c r="I61" s="24">
        <f>I$3*I101</f>
        <v>893.14519665812361</v>
      </c>
      <c r="J61" s="24">
        <f>J$3*J101</f>
        <v>1317.4695335098183</v>
      </c>
      <c r="K61" s="24">
        <f>K$3*K101</f>
        <v>1791.0469303915054</v>
      </c>
      <c r="L61" s="24">
        <f>L$3*L101</f>
        <v>2075.3879854660554</v>
      </c>
      <c r="M61" s="24">
        <f>M$3*M101</f>
        <v>2398.850130936773</v>
      </c>
    </row>
    <row r="62" spans="2:18" x14ac:dyDescent="0.2">
      <c r="B62" s="25" t="s">
        <v>78</v>
      </c>
      <c r="C62" s="3">
        <v>506.30200000000002</v>
      </c>
      <c r="D62" s="5"/>
      <c r="E62" s="5"/>
      <c r="F62" s="3">
        <v>393</v>
      </c>
      <c r="G62" s="3"/>
      <c r="H62" s="3"/>
      <c r="I62" s="24"/>
      <c r="J62" s="24"/>
      <c r="K62" s="24"/>
      <c r="L62" s="24"/>
      <c r="M62" s="24"/>
    </row>
    <row r="63" spans="2:18" x14ac:dyDescent="0.2">
      <c r="B63" s="25" t="s">
        <v>79</v>
      </c>
      <c r="C63" s="3">
        <v>268.16500000000002</v>
      </c>
      <c r="D63" s="5"/>
      <c r="E63" s="5"/>
      <c r="F63" s="3">
        <v>269</v>
      </c>
      <c r="G63" s="3"/>
      <c r="H63" s="3"/>
      <c r="I63" s="24"/>
      <c r="J63" s="24"/>
      <c r="K63" s="24"/>
      <c r="L63" s="24"/>
      <c r="M63" s="24"/>
    </row>
    <row r="64" spans="2:18" x14ac:dyDescent="0.2">
      <c r="B64" s="25" t="s">
        <v>80</v>
      </c>
      <c r="C64" s="5">
        <v>216.75100000000003</v>
      </c>
      <c r="D64" s="5">
        <v>273.12299999999999</v>
      </c>
      <c r="E64" s="4">
        <v>571.65699999999993</v>
      </c>
      <c r="F64" s="4">
        <v>808</v>
      </c>
      <c r="G64" s="4">
        <v>1536</v>
      </c>
      <c r="H64" s="4">
        <v>2138</v>
      </c>
      <c r="I64" s="15">
        <f>I$3*I102</f>
        <v>3581.6960264787681</v>
      </c>
      <c r="J64" s="15">
        <f>J$3*J102</f>
        <v>5283.3239330348169</v>
      </c>
      <c r="K64" s="15">
        <f>K$3*K102</f>
        <v>7182.4667454106748</v>
      </c>
      <c r="L64" s="15">
        <f>L$3*L102</f>
        <v>8322.7328868352997</v>
      </c>
      <c r="M64" s="15">
        <f>M$3*M102</f>
        <v>9619.8826509315295</v>
      </c>
      <c r="R64" s="13"/>
    </row>
    <row r="65" spans="2:30" x14ac:dyDescent="0.2">
      <c r="B65" s="14" t="s">
        <v>81</v>
      </c>
      <c r="C65" s="17">
        <f>SUM(C55:C64)</f>
        <v>16404.28</v>
      </c>
      <c r="D65" s="17">
        <f>SUM(D55:D64)</f>
        <v>22084.852000000006</v>
      </c>
      <c r="E65" s="4">
        <f>SUM(E55:E64)</f>
        <v>21433.305999999997</v>
      </c>
      <c r="F65" s="4">
        <f>SUM(F55:F64)</f>
        <v>22206</v>
      </c>
      <c r="G65" s="4">
        <f t="shared" ref="G65:H65" si="61">SUM(G55:G64)</f>
        <v>25431</v>
      </c>
      <c r="H65" s="4">
        <f t="shared" si="61"/>
        <v>35031</v>
      </c>
      <c r="I65" s="15">
        <f>SUM(I55:I64)</f>
        <v>69993.002223331874</v>
      </c>
      <c r="J65" s="15">
        <f t="shared" ref="J65:M65" si="62">SUM(J55:J64)</f>
        <v>103087.94399633406</v>
      </c>
      <c r="K65" s="15">
        <f t="shared" si="62"/>
        <v>140024.35092292339</v>
      </c>
      <c r="L65" s="15">
        <f t="shared" si="62"/>
        <v>162201.37411981626</v>
      </c>
      <c r="M65" s="15">
        <f t="shared" si="62"/>
        <v>187429.62510713883</v>
      </c>
      <c r="S65" s="13"/>
      <c r="T65" s="13"/>
      <c r="U65" s="13"/>
      <c r="V65" s="13"/>
      <c r="W65" s="13"/>
      <c r="X65" s="13"/>
      <c r="Y65" s="13"/>
      <c r="Z65" s="13"/>
      <c r="AA65" s="13"/>
    </row>
    <row r="66" spans="2:30" x14ac:dyDescent="0.2">
      <c r="B66" s="13" t="s">
        <v>82</v>
      </c>
      <c r="C66" s="96">
        <v>22664.076000000001</v>
      </c>
      <c r="D66" s="97">
        <v>28655.371999999996</v>
      </c>
      <c r="E66" s="97">
        <v>29739.614000000001</v>
      </c>
      <c r="F66" s="96">
        <v>34309</v>
      </c>
      <c r="G66" s="96">
        <v>52148</v>
      </c>
      <c r="H66" s="96">
        <v>62131</v>
      </c>
      <c r="I66" s="51">
        <f>I65+I53</f>
        <v>99775.892386211373</v>
      </c>
      <c r="J66" s="51">
        <f t="shared" ref="J66:M66" si="63">J65+J53</f>
        <v>143227.6042107555</v>
      </c>
      <c r="K66" s="51">
        <f t="shared" si="63"/>
        <v>197758.61189976885</v>
      </c>
      <c r="L66" s="51">
        <f t="shared" si="63"/>
        <v>236504.28374460081</v>
      </c>
      <c r="M66" s="51">
        <f t="shared" si="63"/>
        <v>283344.09620036202</v>
      </c>
    </row>
    <row r="67" spans="2:30" x14ac:dyDescent="0.2">
      <c r="B67" s="13"/>
      <c r="C67" s="96"/>
      <c r="D67" s="97"/>
      <c r="E67" s="97"/>
      <c r="F67" s="96"/>
      <c r="G67" s="96"/>
      <c r="H67" s="96"/>
      <c r="I67" s="51"/>
      <c r="J67" s="24"/>
      <c r="K67" s="24"/>
      <c r="L67" s="24"/>
      <c r="M67" s="51"/>
    </row>
    <row r="68" spans="2:30" x14ac:dyDescent="0.2">
      <c r="B68" s="14" t="s">
        <v>83</v>
      </c>
      <c r="C68" s="3"/>
      <c r="D68" s="5"/>
      <c r="E68" s="5"/>
      <c r="F68" s="3"/>
      <c r="G68" s="3"/>
      <c r="H68" s="3"/>
    </row>
    <row r="69" spans="2:30" x14ac:dyDescent="0.2">
      <c r="B69" s="25" t="s">
        <v>84</v>
      </c>
      <c r="C69" s="3">
        <v>1860.3409999999999</v>
      </c>
      <c r="D69" s="5">
        <v>2390.25</v>
      </c>
      <c r="E69" s="5">
        <v>3404.451</v>
      </c>
      <c r="F69" s="3">
        <v>3771</v>
      </c>
      <c r="G69" s="3">
        <v>6051</v>
      </c>
      <c r="H69" s="3">
        <v>10025</v>
      </c>
      <c r="I69" s="24">
        <f>I3/365*I105</f>
        <v>16709.912578306335</v>
      </c>
      <c r="J69" s="24">
        <f>J3/365*J105</f>
        <v>24648.624671446203</v>
      </c>
      <c r="K69" s="24">
        <f>K3/365*K105</f>
        <v>33508.815523465048</v>
      </c>
      <c r="L69" s="24">
        <f>L3/365*L105</f>
        <v>38828.57113598704</v>
      </c>
      <c r="M69" s="24">
        <f>M3/365*M105</f>
        <v>44880.245817137489</v>
      </c>
    </row>
    <row r="70" spans="2:30" x14ac:dyDescent="0.2">
      <c r="B70" s="25" t="s">
        <v>85</v>
      </c>
      <c r="C70" s="3">
        <v>1210.028</v>
      </c>
      <c r="D70" s="5">
        <v>1731.366</v>
      </c>
      <c r="E70" s="5">
        <v>2094.2529999999997</v>
      </c>
      <c r="F70" s="3">
        <v>2905</v>
      </c>
      <c r="G70" s="3">
        <v>3855</v>
      </c>
      <c r="H70" s="3">
        <v>5719</v>
      </c>
      <c r="I70" s="24">
        <f>I$3*$I$106</f>
        <v>10756.056327724824</v>
      </c>
      <c r="J70" s="24">
        <f>J3*$I$106</f>
        <v>15866.150952292719</v>
      </c>
      <c r="K70" s="24">
        <f>K3*$I$106</f>
        <v>21569.395145349186</v>
      </c>
      <c r="L70" s="24">
        <f>L3*$I$106</f>
        <v>24993.685413169158</v>
      </c>
      <c r="M70" s="24">
        <f>M3*$I$106</f>
        <v>28889.106974621627</v>
      </c>
      <c r="AB70" s="13"/>
    </row>
    <row r="71" spans="2:30" x14ac:dyDescent="0.2">
      <c r="B71" s="25" t="s">
        <v>86</v>
      </c>
      <c r="C71" s="3">
        <v>763.12599999999998</v>
      </c>
      <c r="D71" s="5">
        <v>1015.253</v>
      </c>
      <c r="E71" s="5">
        <v>630.29200000000003</v>
      </c>
      <c r="F71" s="3">
        <v>1163</v>
      </c>
      <c r="G71" s="3">
        <v>1458</v>
      </c>
      <c r="H71" s="3">
        <v>1447</v>
      </c>
      <c r="I71" s="24">
        <f>I3*I107</f>
        <v>3626.8290076878457</v>
      </c>
      <c r="J71" s="24">
        <f>J3*J107</f>
        <v>5349.8991415472938</v>
      </c>
      <c r="K71" s="24">
        <f>K3*K107</f>
        <v>7272.973068185961</v>
      </c>
      <c r="L71" s="24">
        <f>L3*L107</f>
        <v>8427.607712675559</v>
      </c>
      <c r="M71" s="24">
        <f>M3*M107</f>
        <v>9741.1028716616711</v>
      </c>
    </row>
    <row r="72" spans="2:30" x14ac:dyDescent="0.2">
      <c r="B72" s="25" t="s">
        <v>87</v>
      </c>
      <c r="C72" s="3">
        <v>179.50399999999999</v>
      </c>
      <c r="D72" s="5">
        <v>787.33299999999997</v>
      </c>
      <c r="E72" s="5">
        <v>502.84</v>
      </c>
      <c r="F72" s="3">
        <v>317</v>
      </c>
      <c r="G72" s="3"/>
      <c r="H72" s="3"/>
      <c r="I72" s="24"/>
      <c r="J72" s="24"/>
      <c r="K72" s="24"/>
      <c r="L72" s="24"/>
      <c r="M72" s="24"/>
      <c r="N72" s="16"/>
      <c r="Q72" s="13"/>
    </row>
    <row r="73" spans="2:30" s="13" customFormat="1" x14ac:dyDescent="0.2">
      <c r="B73" s="25" t="s">
        <v>88</v>
      </c>
      <c r="C73" s="3">
        <v>663.85900000000004</v>
      </c>
      <c r="D73" s="5">
        <v>853.9190000000001</v>
      </c>
      <c r="E73" s="5">
        <v>792.601</v>
      </c>
      <c r="F73" s="3">
        <v>726</v>
      </c>
      <c r="G73" s="3">
        <v>752</v>
      </c>
      <c r="H73" s="3">
        <v>925</v>
      </c>
      <c r="I73" s="24">
        <f>I3*I109</f>
        <v>2602.6626564919829</v>
      </c>
      <c r="J73" s="24">
        <f>J3*J109</f>
        <v>3839.1616153363652</v>
      </c>
      <c r="K73" s="24">
        <f>K3*K109</f>
        <v>5219.1860620159432</v>
      </c>
      <c r="L73" s="24">
        <f>L3*L109</f>
        <v>6047.7678519859046</v>
      </c>
      <c r="M73" s="24">
        <f>M3*M109</f>
        <v>6990.3501442664974</v>
      </c>
      <c r="N73" s="14"/>
      <c r="Q73" s="14"/>
      <c r="R73" s="14"/>
      <c r="S73" s="14"/>
      <c r="T73" s="14"/>
      <c r="U73" s="14"/>
      <c r="V73" s="14"/>
      <c r="W73" s="14"/>
      <c r="X73" s="14"/>
      <c r="Y73" s="14"/>
      <c r="Z73" s="14"/>
      <c r="AA73" s="14"/>
      <c r="AB73" s="14"/>
      <c r="AC73" s="14"/>
      <c r="AD73" s="14"/>
    </row>
    <row r="74" spans="2:30" x14ac:dyDescent="0.2">
      <c r="B74" s="25" t="s">
        <v>89</v>
      </c>
      <c r="C74" s="3">
        <v>984.21100000000001</v>
      </c>
      <c r="D74" s="5">
        <v>796.54899999999998</v>
      </c>
      <c r="E74" s="4">
        <v>2567.6990000000001</v>
      </c>
      <c r="F74" s="4">
        <v>1785</v>
      </c>
      <c r="G74" s="4">
        <v>2132</v>
      </c>
      <c r="H74" s="4">
        <v>1589</v>
      </c>
      <c r="I74" s="15">
        <f>I3*I110</f>
        <v>2859.0200228588078</v>
      </c>
      <c r="J74" s="15">
        <f>J3*J110</f>
        <v>4217.3117986915886</v>
      </c>
      <c r="K74" s="15">
        <f>K3*K110</f>
        <v>5733.2660524055727</v>
      </c>
      <c r="L74" s="15">
        <f>L3*L110</f>
        <v>6643.4615870405887</v>
      </c>
      <c r="M74" s="15">
        <f>M3*M110</f>
        <v>7678.8864586044874</v>
      </c>
      <c r="AC74" s="13"/>
      <c r="AD74" s="13"/>
    </row>
    <row r="75" spans="2:30" x14ac:dyDescent="0.2">
      <c r="B75" s="13" t="s">
        <v>90</v>
      </c>
      <c r="C75" s="96">
        <v>5827.0050000000001</v>
      </c>
      <c r="D75" s="97">
        <v>7674.67</v>
      </c>
      <c r="E75" s="97">
        <v>9992.1360000000004</v>
      </c>
      <c r="F75" s="96">
        <v>10667</v>
      </c>
      <c r="G75" s="96">
        <v>14248</v>
      </c>
      <c r="H75" s="96">
        <v>19705</v>
      </c>
      <c r="I75" s="51">
        <f>SUM(I69:I74)</f>
        <v>36554.480593069798</v>
      </c>
      <c r="J75" s="51">
        <f>SUM(J69:J74)</f>
        <v>53921.148179314172</v>
      </c>
      <c r="K75" s="51">
        <f>SUM(K69:K74)</f>
        <v>73303.635851421714</v>
      </c>
      <c r="L75" s="51">
        <f>SUM(L69:L74)</f>
        <v>84941.09370085824</v>
      </c>
      <c r="M75" s="51">
        <f>SUM(M69:M74)</f>
        <v>98179.692266291764</v>
      </c>
    </row>
    <row r="76" spans="2:30" x14ac:dyDescent="0.2">
      <c r="B76" s="14" t="s">
        <v>91</v>
      </c>
      <c r="C76" s="96"/>
      <c r="D76" s="97"/>
      <c r="E76" s="97"/>
      <c r="F76" s="96"/>
      <c r="G76" s="96"/>
      <c r="H76" s="96"/>
      <c r="I76" s="51"/>
      <c r="J76" s="51"/>
      <c r="K76" s="51"/>
      <c r="L76" s="51"/>
      <c r="M76" s="51"/>
    </row>
    <row r="77" spans="2:30" x14ac:dyDescent="0.2">
      <c r="B77" s="25" t="s">
        <v>92</v>
      </c>
      <c r="C77" s="3">
        <v>5860.049</v>
      </c>
      <c r="D77" s="5">
        <v>9418.3189999999995</v>
      </c>
      <c r="E77" s="5">
        <v>9403.6720000000005</v>
      </c>
      <c r="F77" s="3">
        <v>11634</v>
      </c>
      <c r="G77" s="3">
        <v>9556</v>
      </c>
      <c r="H77" s="3">
        <v>5245</v>
      </c>
      <c r="I77" s="24">
        <f>I$3*I111</f>
        <v>9437.1051100657314</v>
      </c>
      <c r="J77" s="24">
        <f>J3*J111</f>
        <v>13920.579222238755</v>
      </c>
      <c r="K77" s="24">
        <f>K3*K111</f>
        <v>18924.468498972456</v>
      </c>
      <c r="L77" s="24">
        <f>L3*L111</f>
        <v>21928.858416631774</v>
      </c>
      <c r="M77" s="24">
        <f>M3*M111</f>
        <v>25346.607599358424</v>
      </c>
    </row>
    <row r="78" spans="2:30" x14ac:dyDescent="0.2">
      <c r="B78" s="25" t="s">
        <v>93</v>
      </c>
      <c r="C78" s="3">
        <v>851.79</v>
      </c>
      <c r="D78" s="5">
        <v>1177.799</v>
      </c>
      <c r="E78" s="5">
        <v>990.87299999999993</v>
      </c>
      <c r="F78" s="3">
        <v>1207</v>
      </c>
      <c r="G78" s="3">
        <v>1284</v>
      </c>
      <c r="H78" s="3">
        <v>2052</v>
      </c>
      <c r="I78" s="24">
        <f>I$3*I112</f>
        <v>4215.4975595091173</v>
      </c>
      <c r="J78" s="24">
        <f>J$3*J112</f>
        <v>6218.238226011671</v>
      </c>
      <c r="K78" s="24">
        <f>K$3*K112</f>
        <v>8453.4451870558751</v>
      </c>
      <c r="L78" s="24">
        <f>L$3*L112</f>
        <v>9795.4879234664313</v>
      </c>
      <c r="M78" s="24">
        <f>M$3*M112</f>
        <v>11322.175734056911</v>
      </c>
    </row>
    <row r="79" spans="2:30" x14ac:dyDescent="0.2">
      <c r="B79" s="25" t="s">
        <v>94</v>
      </c>
      <c r="C79" s="3">
        <v>2210.4229999999998</v>
      </c>
      <c r="D79" s="5">
        <v>2309.2220000000002</v>
      </c>
      <c r="E79" s="5">
        <v>328.92600000000004</v>
      </c>
      <c r="F79" s="3">
        <v>36</v>
      </c>
      <c r="G79" s="3"/>
      <c r="H79" s="3"/>
      <c r="I79" s="24"/>
      <c r="J79" s="24"/>
      <c r="K79" s="24"/>
      <c r="L79" s="24"/>
      <c r="M79" s="24"/>
    </row>
    <row r="80" spans="2:30" x14ac:dyDescent="0.2">
      <c r="B80" s="25" t="s">
        <v>95</v>
      </c>
      <c r="C80" s="4">
        <v>1891.4490000000001</v>
      </c>
      <c r="D80" s="4">
        <v>2442.9700000000003</v>
      </c>
      <c r="E80" s="4">
        <v>2710.4029999999998</v>
      </c>
      <c r="F80" s="4">
        <v>2655</v>
      </c>
      <c r="G80" s="4">
        <v>3330</v>
      </c>
      <c r="H80" s="4">
        <v>3546</v>
      </c>
      <c r="I80" s="15">
        <f>I$3*I114</f>
        <v>6380.1667722198436</v>
      </c>
      <c r="J80" s="15">
        <f>J$3*J114</f>
        <v>9411.3200995345323</v>
      </c>
      <c r="K80" s="15">
        <f>K$3*K114</f>
        <v>12794.311782146106</v>
      </c>
      <c r="L80" s="15">
        <f>L$3*L114</f>
        <v>14825.497034390137</v>
      </c>
      <c r="M80" s="15">
        <f>M$3*M114</f>
        <v>17136.143097678734</v>
      </c>
    </row>
    <row r="81" spans="2:13" ht="17" thickBot="1" x14ac:dyDescent="0.25">
      <c r="B81" s="14" t="s">
        <v>117</v>
      </c>
      <c r="C81" s="27"/>
      <c r="D81" s="27"/>
      <c r="E81" s="27">
        <f>SUM(E77:E80)</f>
        <v>13433.874</v>
      </c>
      <c r="F81" s="27">
        <f t="shared" ref="F81:M81" si="64">SUM(F77:F80)</f>
        <v>15532</v>
      </c>
      <c r="G81" s="27">
        <f t="shared" si="64"/>
        <v>14170</v>
      </c>
      <c r="H81" s="27">
        <f t="shared" si="64"/>
        <v>10843</v>
      </c>
      <c r="I81" s="27">
        <f t="shared" si="64"/>
        <v>20032.769441794691</v>
      </c>
      <c r="J81" s="27">
        <f t="shared" si="64"/>
        <v>29550.137547784958</v>
      </c>
      <c r="K81" s="27">
        <f t="shared" si="64"/>
        <v>40172.225468174438</v>
      </c>
      <c r="L81" s="27">
        <f t="shared" si="64"/>
        <v>46549.843374488344</v>
      </c>
      <c r="M81" s="27">
        <f t="shared" si="64"/>
        <v>53804.926431094063</v>
      </c>
    </row>
    <row r="82" spans="2:13" ht="17" thickTop="1" x14ac:dyDescent="0.2">
      <c r="B82" s="13" t="s">
        <v>96</v>
      </c>
      <c r="C82" s="96">
        <v>16750.167000000001</v>
      </c>
      <c r="D82" s="97">
        <v>23022.98</v>
      </c>
      <c r="E82" s="97">
        <v>23426.01</v>
      </c>
      <c r="F82" s="96">
        <v>26199</v>
      </c>
      <c r="G82" s="96">
        <v>28418</v>
      </c>
      <c r="H82" s="96">
        <v>30548</v>
      </c>
      <c r="I82" s="51">
        <f>I81+I75</f>
        <v>56587.25003486449</v>
      </c>
      <c r="J82" s="51">
        <f t="shared" ref="J82:M82" si="65">J81+J75</f>
        <v>83471.285727099137</v>
      </c>
      <c r="K82" s="51">
        <f t="shared" si="65"/>
        <v>113475.86131959615</v>
      </c>
      <c r="L82" s="51">
        <f t="shared" si="65"/>
        <v>131490.93707534659</v>
      </c>
      <c r="M82" s="51">
        <f t="shared" si="65"/>
        <v>151984.61869738583</v>
      </c>
    </row>
    <row r="83" spans="2:13" x14ac:dyDescent="0.2">
      <c r="B83" s="13"/>
      <c r="C83" s="96"/>
      <c r="D83" s="97"/>
      <c r="E83" s="97"/>
      <c r="F83" s="96"/>
      <c r="G83" s="96"/>
      <c r="H83" s="96"/>
      <c r="I83" s="51"/>
      <c r="J83" s="24"/>
      <c r="K83" s="24"/>
      <c r="L83" s="24"/>
      <c r="M83" s="51"/>
    </row>
    <row r="84" spans="2:13" x14ac:dyDescent="0.2">
      <c r="B84" s="14" t="s">
        <v>97</v>
      </c>
      <c r="C84" s="96"/>
      <c r="D84" s="97"/>
      <c r="E84" s="97"/>
      <c r="F84" s="96"/>
      <c r="G84" s="96"/>
      <c r="H84" s="96"/>
      <c r="I84" s="51"/>
      <c r="J84" s="24"/>
      <c r="K84" s="24"/>
      <c r="L84" s="24"/>
      <c r="M84" s="51"/>
    </row>
    <row r="85" spans="2:13" x14ac:dyDescent="0.2">
      <c r="B85" s="25" t="s">
        <v>98</v>
      </c>
      <c r="C85" s="3">
        <v>0.161</v>
      </c>
      <c r="D85" s="5">
        <v>0.16899999999999998</v>
      </c>
      <c r="E85" s="162">
        <v>0.17299999999999999</v>
      </c>
      <c r="F85" s="163"/>
      <c r="G85" s="163">
        <v>1</v>
      </c>
      <c r="H85" s="163">
        <v>1</v>
      </c>
      <c r="I85" s="172">
        <v>1</v>
      </c>
      <c r="J85" s="172">
        <v>1</v>
      </c>
      <c r="K85" s="172">
        <v>1</v>
      </c>
      <c r="L85" s="172">
        <v>1</v>
      </c>
      <c r="M85" s="172">
        <v>1</v>
      </c>
    </row>
    <row r="86" spans="2:13" x14ac:dyDescent="0.2">
      <c r="B86" s="25" t="s">
        <v>99</v>
      </c>
      <c r="C86" s="1">
        <v>-7773.7270000000008</v>
      </c>
      <c r="D86" s="8">
        <v>9178.0240000000013</v>
      </c>
      <c r="E86" s="8">
        <v>10249.119999999999</v>
      </c>
      <c r="F86" s="1">
        <v>12737</v>
      </c>
      <c r="G86" s="1">
        <v>27260</v>
      </c>
      <c r="H86" s="1">
        <v>29803</v>
      </c>
      <c r="I86" s="24">
        <f>H86</f>
        <v>29803</v>
      </c>
      <c r="J86" s="24">
        <f t="shared" ref="J86:M86" si="66">I86</f>
        <v>29803</v>
      </c>
      <c r="K86" s="24">
        <f t="shared" si="66"/>
        <v>29803</v>
      </c>
      <c r="L86" s="24">
        <f t="shared" si="66"/>
        <v>29803</v>
      </c>
      <c r="M86" s="24">
        <f t="shared" si="66"/>
        <v>29803</v>
      </c>
    </row>
    <row r="87" spans="2:13" x14ac:dyDescent="0.2">
      <c r="B87" s="25" t="s">
        <v>100</v>
      </c>
      <c r="C87" s="1">
        <v>-23.740000000000002</v>
      </c>
      <c r="D87" s="8">
        <v>33.347999999999999</v>
      </c>
      <c r="E87" s="8">
        <v>-8.218</v>
      </c>
      <c r="F87" s="1">
        <v>-36</v>
      </c>
      <c r="G87" s="1">
        <v>363</v>
      </c>
      <c r="H87" s="1">
        <v>54</v>
      </c>
      <c r="I87" s="1">
        <v>54</v>
      </c>
      <c r="J87" s="1">
        <v>54</v>
      </c>
      <c r="K87" s="1">
        <v>54</v>
      </c>
      <c r="L87" s="1">
        <v>54</v>
      </c>
      <c r="M87" s="1">
        <v>54</v>
      </c>
    </row>
    <row r="88" spans="2:13" x14ac:dyDescent="0.2">
      <c r="B88" s="25" t="s">
        <v>101</v>
      </c>
      <c r="C88" s="2">
        <v>-2997.2370000000001</v>
      </c>
      <c r="D88" s="2">
        <v>-4974.299</v>
      </c>
      <c r="E88" s="2">
        <v>-5317.8320000000003</v>
      </c>
      <c r="F88" s="2">
        <v>-6083</v>
      </c>
      <c r="G88" s="2">
        <v>-5399</v>
      </c>
      <c r="H88" s="2">
        <v>331</v>
      </c>
      <c r="I88" s="15">
        <f>H88+I16</f>
        <v>5448.4593129602745</v>
      </c>
      <c r="J88" s="15">
        <f>I88+J16</f>
        <v>13007.935528977738</v>
      </c>
      <c r="K88" s="15">
        <f>J88+K16</f>
        <v>23282.673791182067</v>
      </c>
      <c r="L88" s="15">
        <f>K88+L16</f>
        <v>35252.194168829898</v>
      </c>
      <c r="M88" s="15">
        <f>L88+M16</f>
        <v>49028.591717746473</v>
      </c>
    </row>
    <row r="89" spans="2:13" ht="17" thickBot="1" x14ac:dyDescent="0.25">
      <c r="B89" s="13" t="s">
        <v>102</v>
      </c>
      <c r="C89" s="98">
        <v>4752.9110000000001</v>
      </c>
      <c r="D89" s="98">
        <v>4237.2420000000002</v>
      </c>
      <c r="E89" s="98">
        <v>4923.2430000000004</v>
      </c>
      <c r="F89" s="98">
        <v>6618</v>
      </c>
      <c r="G89" s="98">
        <v>22225</v>
      </c>
      <c r="H89" s="98">
        <v>30189</v>
      </c>
      <c r="I89" s="99">
        <f>SUM(I85:I88)</f>
        <v>35306.459312960273</v>
      </c>
      <c r="J89" s="99">
        <f t="shared" ref="J89:M89" si="67">SUM(J85:J88)</f>
        <v>42865.935528977738</v>
      </c>
      <c r="K89" s="99">
        <f t="shared" si="67"/>
        <v>53140.673791182067</v>
      </c>
      <c r="L89" s="99">
        <f t="shared" si="67"/>
        <v>65110.194168829898</v>
      </c>
      <c r="M89" s="99">
        <f t="shared" si="67"/>
        <v>78886.591717746473</v>
      </c>
    </row>
    <row r="90" spans="2:13" ht="17" thickTop="1" x14ac:dyDescent="0.2">
      <c r="B90" s="13" t="s">
        <v>103</v>
      </c>
      <c r="C90" s="67">
        <v>22664.076000000001</v>
      </c>
      <c r="D90" s="66">
        <v>28655.371999999996</v>
      </c>
      <c r="E90" s="66">
        <v>29739.614000000001</v>
      </c>
      <c r="F90" s="67">
        <v>34309</v>
      </c>
      <c r="G90" s="67">
        <v>52148</v>
      </c>
      <c r="H90" s="67">
        <v>62131</v>
      </c>
      <c r="I90" s="51">
        <f>I82+I89</f>
        <v>91893.70934782477</v>
      </c>
      <c r="J90" s="51">
        <f t="shared" ref="J90:M90" si="68">J82+J89</f>
        <v>126337.22125607688</v>
      </c>
      <c r="K90" s="51">
        <f t="shared" si="68"/>
        <v>166616.53511077823</v>
      </c>
      <c r="L90" s="51">
        <f t="shared" si="68"/>
        <v>196601.13124417647</v>
      </c>
      <c r="M90" s="51">
        <f t="shared" si="68"/>
        <v>230871.21041513229</v>
      </c>
    </row>
    <row r="91" spans="2:13" x14ac:dyDescent="0.2">
      <c r="B91" s="13"/>
      <c r="C91" s="67"/>
      <c r="D91" s="66"/>
      <c r="E91" s="66">
        <f>E89+E82</f>
        <v>28349.252999999997</v>
      </c>
      <c r="F91" s="67">
        <f t="shared" ref="F91:H91" si="69">F89+F82</f>
        <v>32817</v>
      </c>
      <c r="G91" s="67">
        <f t="shared" si="69"/>
        <v>50643</v>
      </c>
      <c r="H91" s="67">
        <f t="shared" si="69"/>
        <v>60737</v>
      </c>
      <c r="I91" s="67"/>
      <c r="J91" s="67"/>
      <c r="K91" s="67"/>
      <c r="L91" s="67"/>
      <c r="M91" s="67"/>
    </row>
    <row r="92" spans="2:13" x14ac:dyDescent="0.2">
      <c r="B92" s="13"/>
      <c r="C92" s="67"/>
      <c r="D92" s="66"/>
      <c r="E92" s="66"/>
      <c r="F92" s="67"/>
      <c r="G92" s="67"/>
      <c r="H92" s="67"/>
      <c r="I92" s="24"/>
      <c r="J92" s="24"/>
      <c r="K92" s="24"/>
      <c r="L92" s="24"/>
      <c r="M92" s="24"/>
    </row>
    <row r="93" spans="2:13" x14ac:dyDescent="0.2">
      <c r="B93" s="10" t="s">
        <v>115</v>
      </c>
      <c r="C93" s="100"/>
      <c r="D93" s="101"/>
      <c r="E93" s="101"/>
      <c r="F93" s="100"/>
      <c r="G93" s="100"/>
      <c r="H93" s="100"/>
      <c r="I93" s="21"/>
      <c r="J93" s="21"/>
      <c r="K93" s="21"/>
      <c r="L93" s="21"/>
      <c r="M93" s="21"/>
    </row>
    <row r="94" spans="2:13" x14ac:dyDescent="0.2">
      <c r="B94" s="19" t="s">
        <v>104</v>
      </c>
      <c r="C94" s="102"/>
      <c r="D94" s="103">
        <v>3.7424011767971128E-3</v>
      </c>
      <c r="E94" s="103">
        <f t="shared" ref="E94:H95" si="70">E50/(E$3/365)</f>
        <v>16.140380428593499</v>
      </c>
      <c r="F94" s="102">
        <f t="shared" si="70"/>
        <v>19.662299617544146</v>
      </c>
      <c r="G94" s="102">
        <f t="shared" si="70"/>
        <v>21.828703703703702</v>
      </c>
      <c r="H94" s="102">
        <f t="shared" si="70"/>
        <v>12.972985526633595</v>
      </c>
      <c r="I94" s="6">
        <f>AVERAGE(E94:H94)</f>
        <v>17.651092319118735</v>
      </c>
      <c r="J94" s="104">
        <f t="shared" ref="J94:M96" si="71">I94</f>
        <v>17.651092319118735</v>
      </c>
      <c r="K94" s="104">
        <f t="shared" si="71"/>
        <v>17.651092319118735</v>
      </c>
      <c r="L94" s="104">
        <f t="shared" si="71"/>
        <v>17.651092319118735</v>
      </c>
      <c r="M94" s="104">
        <f t="shared" si="71"/>
        <v>17.651092319118735</v>
      </c>
    </row>
    <row r="95" spans="2:13" x14ac:dyDescent="0.2">
      <c r="B95" s="19" t="s">
        <v>105</v>
      </c>
      <c r="C95" s="102"/>
      <c r="D95" s="103">
        <v>0</v>
      </c>
      <c r="E95" s="103">
        <f t="shared" si="70"/>
        <v>52.951567912949038</v>
      </c>
      <c r="F95" s="102">
        <f t="shared" si="70"/>
        <v>52.749613475465864</v>
      </c>
      <c r="G95" s="102">
        <f t="shared" si="70"/>
        <v>47.465277777777771</v>
      </c>
      <c r="H95" s="102">
        <f t="shared" si="70"/>
        <v>39.041023354328075</v>
      </c>
      <c r="I95" s="6">
        <f>AVERAGE(E95:H95)</f>
        <v>48.051870630130189</v>
      </c>
      <c r="J95" s="104">
        <f t="shared" si="71"/>
        <v>48.051870630130189</v>
      </c>
      <c r="K95" s="104">
        <f t="shared" si="71"/>
        <v>48.051870630130189</v>
      </c>
      <c r="L95" s="104">
        <f t="shared" si="71"/>
        <v>48.051870630130189</v>
      </c>
      <c r="M95" s="104">
        <f t="shared" si="71"/>
        <v>48.051870630130189</v>
      </c>
    </row>
    <row r="96" spans="2:13" x14ac:dyDescent="0.2">
      <c r="B96" s="19" t="s">
        <v>106</v>
      </c>
      <c r="C96" s="105">
        <v>2.7780190430694733E-2</v>
      </c>
      <c r="D96" s="106">
        <v>2.2822576989681983E-2</v>
      </c>
      <c r="E96" s="106">
        <f>E52/E3</f>
        <v>1.7038648415368559E-2</v>
      </c>
      <c r="F96" s="105">
        <f>F52/F3</f>
        <v>2.9009683456749938E-2</v>
      </c>
      <c r="G96" s="105">
        <f>G52/G3</f>
        <v>4.2681380010147131E-2</v>
      </c>
      <c r="H96" s="105">
        <f>H52/H3</f>
        <v>3.2012336733366779E-2</v>
      </c>
      <c r="I96" s="7">
        <f t="shared" ref="I96" si="72">AVERAGE(E96:H96)</f>
        <v>3.0185512153908106E-2</v>
      </c>
      <c r="J96" s="107">
        <f t="shared" si="71"/>
        <v>3.0185512153908106E-2</v>
      </c>
      <c r="K96" s="107">
        <f t="shared" si="71"/>
        <v>3.0185512153908106E-2</v>
      </c>
      <c r="L96" s="107">
        <f t="shared" si="71"/>
        <v>3.0185512153908106E-2</v>
      </c>
      <c r="M96" s="107">
        <f t="shared" si="71"/>
        <v>3.0185512153908106E-2</v>
      </c>
    </row>
    <row r="97" spans="1:14" x14ac:dyDescent="0.2">
      <c r="B97" s="19" t="s">
        <v>114</v>
      </c>
      <c r="C97" s="10"/>
      <c r="D97" s="28"/>
      <c r="E97" s="30">
        <f t="shared" ref="E97:H100" si="73">E55/E$3</f>
        <v>9.7373463674187394E-2</v>
      </c>
      <c r="F97" s="12">
        <f t="shared" si="73"/>
        <v>9.9560582634876715E-2</v>
      </c>
      <c r="G97" s="12">
        <f t="shared" si="73"/>
        <v>9.8014967021816335E-2</v>
      </c>
      <c r="H97" s="12">
        <f t="shared" si="73"/>
        <v>8.3811753339650338E-2</v>
      </c>
      <c r="I97" s="20">
        <f t="shared" ref="I97:M102" si="74">AVERAGE($E97:$H97)</f>
        <v>9.4690191667632692E-2</v>
      </c>
      <c r="J97" s="20">
        <f t="shared" si="74"/>
        <v>9.4690191667632692E-2</v>
      </c>
      <c r="K97" s="20">
        <f t="shared" si="74"/>
        <v>9.4690191667632692E-2</v>
      </c>
      <c r="L97" s="20">
        <f t="shared" si="74"/>
        <v>9.4690191667632692E-2</v>
      </c>
      <c r="M97" s="20">
        <f t="shared" si="74"/>
        <v>9.4690191667632692E-2</v>
      </c>
    </row>
    <row r="98" spans="1:14" x14ac:dyDescent="0.2">
      <c r="B98" s="19" t="s">
        <v>72</v>
      </c>
      <c r="C98" s="10"/>
      <c r="D98" s="28"/>
      <c r="E98" s="30">
        <f t="shared" si="73"/>
        <v>0.29221926682058114</v>
      </c>
      <c r="F98" s="12">
        <f t="shared" si="73"/>
        <v>0.24973553584506469</v>
      </c>
      <c r="G98" s="12">
        <f t="shared" si="73"/>
        <v>0.18959284627092846</v>
      </c>
      <c r="H98" s="12">
        <f t="shared" si="73"/>
        <v>0.10711034316184531</v>
      </c>
      <c r="I98" s="20">
        <f>AVERAGE($G98:$H98)</f>
        <v>0.14835159471638687</v>
      </c>
      <c r="J98" s="20">
        <f t="shared" ref="J98:M98" si="75">AVERAGE($G98:$H98)</f>
        <v>0.14835159471638687</v>
      </c>
      <c r="K98" s="20">
        <f t="shared" si="75"/>
        <v>0.14835159471638687</v>
      </c>
      <c r="L98" s="20">
        <f t="shared" si="75"/>
        <v>0.14835159471638687</v>
      </c>
      <c r="M98" s="20">
        <f t="shared" si="75"/>
        <v>0.14835159471638687</v>
      </c>
    </row>
    <row r="99" spans="1:14" hidden="1" x14ac:dyDescent="0.2">
      <c r="B99" s="19" t="s">
        <v>113</v>
      </c>
      <c r="C99" s="10"/>
      <c r="D99" s="28"/>
      <c r="E99" s="30">
        <f>E57/E$3</f>
        <v>0.52793138783784821</v>
      </c>
      <c r="F99" s="12">
        <f t="shared" si="73"/>
        <v>0.42297990072422492</v>
      </c>
      <c r="G99" s="12">
        <f t="shared" si="73"/>
        <v>0.40420471841704719</v>
      </c>
      <c r="H99" s="12">
        <f>H57/H$3</f>
        <v>0.35085372424428218</v>
      </c>
      <c r="I99" s="20">
        <f>AVERAGE($F99:$H99)</f>
        <v>0.39267944779518477</v>
      </c>
      <c r="J99" s="20">
        <f t="shared" ref="J99" si="76">AVERAGE($F99:$H99)</f>
        <v>0.39267944779518477</v>
      </c>
      <c r="K99" s="20">
        <f t="shared" ref="K99:M99" si="77">AVERAGE($F99:$H99)</f>
        <v>0.39267944779518477</v>
      </c>
      <c r="L99" s="20">
        <f t="shared" si="77"/>
        <v>0.39267944779518477</v>
      </c>
      <c r="M99" s="20">
        <f t="shared" si="77"/>
        <v>0.39267944779518477</v>
      </c>
    </row>
    <row r="100" spans="1:14" x14ac:dyDescent="0.2">
      <c r="B100" s="19" t="s">
        <v>74</v>
      </c>
      <c r="C100" s="10"/>
      <c r="D100" s="28"/>
      <c r="E100" s="30">
        <f t="shared" si="73"/>
        <v>1.3162875557958646E-2</v>
      </c>
      <c r="F100" s="12">
        <f t="shared" si="73"/>
        <v>4.9556513955570022E-2</v>
      </c>
      <c r="G100" s="12">
        <f t="shared" si="73"/>
        <v>4.9403855910705223E-2</v>
      </c>
      <c r="H100" s="12">
        <f t="shared" si="73"/>
        <v>3.745610612563402E-2</v>
      </c>
      <c r="I100" s="20">
        <f t="shared" si="74"/>
        <v>3.7394837887466975E-2</v>
      </c>
      <c r="J100" s="20">
        <f t="shared" si="74"/>
        <v>3.7394837887466975E-2</v>
      </c>
      <c r="K100" s="20">
        <f t="shared" si="74"/>
        <v>3.7394837887466975E-2</v>
      </c>
      <c r="L100" s="20">
        <f t="shared" si="74"/>
        <v>3.7394837887466975E-2</v>
      </c>
      <c r="M100" s="20">
        <f t="shared" si="74"/>
        <v>3.7394837887466975E-2</v>
      </c>
      <c r="N100" s="14" t="s">
        <v>228</v>
      </c>
    </row>
    <row r="101" spans="1:14" x14ac:dyDescent="0.2">
      <c r="B101" s="19" t="s">
        <v>77</v>
      </c>
      <c r="C101" s="10"/>
      <c r="D101" s="28"/>
      <c r="E101" s="30">
        <f>E61/E$3</f>
        <v>1.8555241004399179E-2</v>
      </c>
      <c r="F101" s="12">
        <f>F61/F$3</f>
        <v>8.0559850272601506E-3</v>
      </c>
      <c r="G101" s="12">
        <f>G61/G$3</f>
        <v>6.563926940639269E-3</v>
      </c>
      <c r="H101" s="12">
        <f>H61/H$3</f>
        <v>3.7158835442097243E-3</v>
      </c>
      <c r="I101" s="20">
        <f t="shared" si="74"/>
        <v>9.2227591291270811E-3</v>
      </c>
      <c r="J101" s="20">
        <f t="shared" si="74"/>
        <v>9.2227591291270811E-3</v>
      </c>
      <c r="K101" s="20">
        <f t="shared" si="74"/>
        <v>9.2227591291270811E-3</v>
      </c>
      <c r="L101" s="20">
        <f t="shared" si="74"/>
        <v>9.2227591291270811E-3</v>
      </c>
      <c r="M101" s="20">
        <f t="shared" si="74"/>
        <v>9.2227591291270811E-3</v>
      </c>
      <c r="N101" s="94">
        <f>AVERAGE(E94:H94)</f>
        <v>17.651092319118735</v>
      </c>
    </row>
    <row r="102" spans="1:14" x14ac:dyDescent="0.2">
      <c r="B102" s="19" t="s">
        <v>80</v>
      </c>
      <c r="C102" s="10"/>
      <c r="D102" s="28"/>
      <c r="E102" s="31">
        <f>E64/E3</f>
        <v>2.663668334974429E-2</v>
      </c>
      <c r="F102" s="11">
        <f>F64/F3</f>
        <v>3.287492879811213E-2</v>
      </c>
      <c r="G102" s="11">
        <f>G64/G3</f>
        <v>4.8706240487062402E-2</v>
      </c>
      <c r="H102" s="11">
        <f>H64/H3</f>
        <v>3.9722795087601952E-2</v>
      </c>
      <c r="I102" s="20">
        <f t="shared" si="74"/>
        <v>3.6985161930630193E-2</v>
      </c>
      <c r="J102" s="20">
        <f t="shared" si="74"/>
        <v>3.6985161930630193E-2</v>
      </c>
      <c r="K102" s="20">
        <f t="shared" si="74"/>
        <v>3.6985161930630193E-2</v>
      </c>
      <c r="L102" s="20">
        <f t="shared" si="74"/>
        <v>3.6985161930630193E-2</v>
      </c>
      <c r="M102" s="20">
        <f t="shared" si="74"/>
        <v>3.6985161930630193E-2</v>
      </c>
      <c r="N102" s="94">
        <f>AVERAGE(E95:H95)</f>
        <v>48.051870630130189</v>
      </c>
    </row>
    <row r="103" spans="1:14" x14ac:dyDescent="0.2">
      <c r="B103" s="19"/>
      <c r="C103" s="10"/>
      <c r="D103" s="28"/>
      <c r="E103" s="31"/>
      <c r="F103" s="11"/>
      <c r="G103" s="11"/>
      <c r="H103" s="11"/>
      <c r="I103" s="20"/>
      <c r="J103" s="20"/>
      <c r="K103" s="20"/>
      <c r="L103" s="20"/>
      <c r="M103" s="20"/>
      <c r="N103" s="170">
        <f>AVERAGE(E96:H96)</f>
        <v>3.0185512153908106E-2</v>
      </c>
    </row>
    <row r="104" spans="1:14" x14ac:dyDescent="0.2">
      <c r="B104" s="10" t="s">
        <v>116</v>
      </c>
      <c r="C104" s="10"/>
      <c r="D104" s="28"/>
      <c r="E104" s="28"/>
      <c r="F104" s="10"/>
      <c r="G104" s="10"/>
      <c r="H104" s="10"/>
      <c r="I104" s="23"/>
      <c r="J104" s="23"/>
      <c r="K104" s="23"/>
      <c r="L104" s="23"/>
      <c r="M104" s="23"/>
      <c r="N104" s="170">
        <f t="shared" ref="N104:N109" si="78">AVERAGE(E97:H97)</f>
        <v>9.4690191667632692E-2</v>
      </c>
    </row>
    <row r="105" spans="1:14" x14ac:dyDescent="0.2">
      <c r="A105" s="10"/>
      <c r="B105" s="19" t="s">
        <v>107</v>
      </c>
      <c r="C105" s="108">
        <v>1860.3409999999999</v>
      </c>
      <c r="D105" s="109">
        <v>2390.25</v>
      </c>
      <c r="E105" s="110">
        <f>E69/(E3/365)</f>
        <v>57.900801341281422</v>
      </c>
      <c r="F105" s="111">
        <f>F69/F3*365</f>
        <v>56.001912279274144</v>
      </c>
      <c r="G105" s="111">
        <f>G69/G3*365</f>
        <v>70.034722222222214</v>
      </c>
      <c r="H105" s="111">
        <f>H69/H3*365</f>
        <v>67.984411868532035</v>
      </c>
      <c r="I105" s="112">
        <f>AVERAGE(E105:H105)</f>
        <v>62.980461927827463</v>
      </c>
      <c r="J105" s="112">
        <f t="shared" ref="J105:J109" si="79">I105</f>
        <v>62.980461927827463</v>
      </c>
      <c r="K105" s="112">
        <f t="shared" ref="K105:M105" si="80">J105</f>
        <v>62.980461927827463</v>
      </c>
      <c r="L105" s="112">
        <f t="shared" si="80"/>
        <v>62.980461927827463</v>
      </c>
      <c r="M105" s="112">
        <f t="shared" si="80"/>
        <v>62.980461927827463</v>
      </c>
      <c r="N105" s="170">
        <f t="shared" si="78"/>
        <v>0.20966449802460488</v>
      </c>
    </row>
    <row r="106" spans="1:14" x14ac:dyDescent="0.2">
      <c r="A106" s="10"/>
      <c r="B106" s="19" t="s">
        <v>108</v>
      </c>
      <c r="C106" s="108">
        <v>1210.028</v>
      </c>
      <c r="D106" s="109">
        <v>1731.366</v>
      </c>
      <c r="E106" s="106">
        <f t="shared" ref="E106:H107" si="81">E70/E$3</f>
        <v>9.7582910758115496E-2</v>
      </c>
      <c r="F106" s="105">
        <f t="shared" si="81"/>
        <v>0.11819513385954919</v>
      </c>
      <c r="G106" s="105">
        <f t="shared" si="81"/>
        <v>0.12224124809741248</v>
      </c>
      <c r="H106" s="105">
        <f t="shared" si="81"/>
        <v>0.10625568994667707</v>
      </c>
      <c r="I106" s="7">
        <f t="shared" ref="I106" si="82">AVERAGE(E106:H106)</f>
        <v>0.11106874566543856</v>
      </c>
      <c r="J106" s="107">
        <f t="shared" si="79"/>
        <v>0.11106874566543856</v>
      </c>
      <c r="K106" s="107">
        <f t="shared" ref="K106:M109" si="83">J106</f>
        <v>0.11106874566543856</v>
      </c>
      <c r="L106" s="107">
        <f t="shared" si="83"/>
        <v>0.11106874566543856</v>
      </c>
      <c r="M106" s="107">
        <f t="shared" si="83"/>
        <v>0.11106874566543856</v>
      </c>
      <c r="N106" s="170">
        <f t="shared" si="78"/>
        <v>0.42649243280585064</v>
      </c>
    </row>
    <row r="107" spans="1:14" x14ac:dyDescent="0.2">
      <c r="A107" s="10"/>
      <c r="B107" s="19" t="s">
        <v>109</v>
      </c>
      <c r="C107" s="108">
        <v>763.12599999999998</v>
      </c>
      <c r="D107" s="109">
        <v>1015.253</v>
      </c>
      <c r="E107" s="106">
        <f t="shared" si="81"/>
        <v>2.9368814554666577E-2</v>
      </c>
      <c r="F107" s="105">
        <f t="shared" si="81"/>
        <v>4.7318740336886649E-2</v>
      </c>
      <c r="G107" s="105">
        <f t="shared" si="81"/>
        <v>4.6232876712328765E-2</v>
      </c>
      <c r="H107" s="105">
        <f t="shared" si="81"/>
        <v>2.6884417442357356E-2</v>
      </c>
      <c r="I107" s="7">
        <f>AVERAGE(E107:H107)</f>
        <v>3.7451212261559841E-2</v>
      </c>
      <c r="J107" s="107">
        <f t="shared" si="79"/>
        <v>3.7451212261559841E-2</v>
      </c>
      <c r="K107" s="107">
        <f t="shared" si="83"/>
        <v>3.7451212261559841E-2</v>
      </c>
      <c r="L107" s="107">
        <f t="shared" si="83"/>
        <v>3.7451212261559841E-2</v>
      </c>
      <c r="M107" s="107">
        <f t="shared" si="83"/>
        <v>3.7451212261559841E-2</v>
      </c>
      <c r="N107" s="170">
        <f t="shared" si="78"/>
        <v>3.7394837887466975E-2</v>
      </c>
    </row>
    <row r="108" spans="1:14" x14ac:dyDescent="0.2">
      <c r="A108" s="10"/>
      <c r="B108" s="19" t="s">
        <v>110</v>
      </c>
      <c r="C108" s="108">
        <v>179.50399999999999</v>
      </c>
      <c r="D108" s="109">
        <v>787.33299999999997</v>
      </c>
      <c r="E108" s="106">
        <f t="shared" ref="E108:F110" si="84">E72/E$3</f>
        <v>2.3430116058380145E-2</v>
      </c>
      <c r="F108" s="105">
        <f t="shared" si="84"/>
        <v>1.2897713402229637E-2</v>
      </c>
      <c r="G108" s="105"/>
      <c r="H108" s="105"/>
      <c r="I108" s="7">
        <f>AVERAGE(E108:H108)</f>
        <v>1.8163914730304889E-2</v>
      </c>
      <c r="J108" s="107">
        <f t="shared" si="79"/>
        <v>1.8163914730304889E-2</v>
      </c>
      <c r="K108" s="107">
        <f t="shared" si="83"/>
        <v>1.8163914730304889E-2</v>
      </c>
      <c r="L108" s="107">
        <f t="shared" si="83"/>
        <v>1.8163914730304889E-2</v>
      </c>
      <c r="M108" s="107">
        <f t="shared" si="83"/>
        <v>1.8163914730304889E-2</v>
      </c>
      <c r="N108" s="170">
        <f t="shared" si="78"/>
        <v>9.2227591291270811E-3</v>
      </c>
    </row>
    <row r="109" spans="1:14" x14ac:dyDescent="0.2">
      <c r="A109" s="10"/>
      <c r="B109" s="19" t="s">
        <v>111</v>
      </c>
      <c r="C109" s="108">
        <v>663.85900000000004</v>
      </c>
      <c r="D109" s="109">
        <v>853.9190000000001</v>
      </c>
      <c r="E109" s="106">
        <f t="shared" si="84"/>
        <v>3.6931694809458605E-2</v>
      </c>
      <c r="F109" s="105">
        <f t="shared" si="84"/>
        <v>2.9538611766620555E-2</v>
      </c>
      <c r="G109" s="105">
        <f>G73/G$3</f>
        <v>2.3845763571790968E-2</v>
      </c>
      <c r="H109" s="105">
        <f>H73/H$3</f>
        <v>1.7185961391969977E-2</v>
      </c>
      <c r="I109" s="7">
        <f>AVERAGE(E109:H109)</f>
        <v>2.6875507884960029E-2</v>
      </c>
      <c r="J109" s="107">
        <f t="shared" si="79"/>
        <v>2.6875507884960029E-2</v>
      </c>
      <c r="K109" s="107">
        <f t="shared" si="83"/>
        <v>2.6875507884960029E-2</v>
      </c>
      <c r="L109" s="107">
        <f t="shared" si="83"/>
        <v>2.6875507884960029E-2</v>
      </c>
      <c r="M109" s="107">
        <f t="shared" si="83"/>
        <v>2.6875507884960029E-2</v>
      </c>
      <c r="N109" s="170">
        <f t="shared" si="78"/>
        <v>3.6985161930630193E-2</v>
      </c>
    </row>
    <row r="110" spans="1:14" x14ac:dyDescent="0.2">
      <c r="A110" s="10"/>
      <c r="B110" s="19" t="s">
        <v>89</v>
      </c>
      <c r="C110" s="108">
        <v>984.21100000000001</v>
      </c>
      <c r="D110" s="109">
        <v>796.54899999999998</v>
      </c>
      <c r="E110" s="106">
        <f t="shared" si="84"/>
        <v>0.11964339665298435</v>
      </c>
      <c r="F110" s="105">
        <f t="shared" si="84"/>
        <v>7.2625925624542273E-2</v>
      </c>
      <c r="G110" s="105">
        <f>G74/G$3</f>
        <v>6.7605276509386095E-2</v>
      </c>
      <c r="H110" s="105">
        <f>H74/H$3</f>
        <v>2.9522694758746262E-2</v>
      </c>
      <c r="I110" s="7">
        <f>H110</f>
        <v>2.9522694758746262E-2</v>
      </c>
      <c r="J110" s="7">
        <f t="shared" ref="J110:M110" si="85">AVERAGE(H110:I110)</f>
        <v>2.9522694758746262E-2</v>
      </c>
      <c r="K110" s="7">
        <f t="shared" si="85"/>
        <v>2.9522694758746262E-2</v>
      </c>
      <c r="L110" s="7">
        <f t="shared" si="85"/>
        <v>2.9522694758746262E-2</v>
      </c>
      <c r="M110" s="7">
        <f t="shared" si="85"/>
        <v>2.9522694758746262E-2</v>
      </c>
      <c r="N110" s="10"/>
    </row>
    <row r="111" spans="1:14" x14ac:dyDescent="0.2">
      <c r="A111" s="10"/>
      <c r="B111" s="19" t="s">
        <v>92</v>
      </c>
      <c r="C111" s="10"/>
      <c r="D111" s="28"/>
      <c r="E111" s="30">
        <f t="shared" ref="E111:H112" si="86">E77/E$3</f>
        <v>0.43816945019278453</v>
      </c>
      <c r="F111" s="12">
        <f t="shared" si="86"/>
        <v>0.47335015054113433</v>
      </c>
      <c r="G111" s="12">
        <f t="shared" si="86"/>
        <v>0.30301877219685441</v>
      </c>
      <c r="H111" s="12">
        <f t="shared" si="86"/>
        <v>9.7449045946900029E-2</v>
      </c>
      <c r="I111" s="20">
        <f>$H$111</f>
        <v>9.7449045946900029E-2</v>
      </c>
      <c r="J111" s="20">
        <f t="shared" ref="J111:M111" si="87">$H$111</f>
        <v>9.7449045946900029E-2</v>
      </c>
      <c r="K111" s="20">
        <f t="shared" si="87"/>
        <v>9.7449045946900029E-2</v>
      </c>
      <c r="L111" s="20">
        <f t="shared" si="87"/>
        <v>9.7449045946900029E-2</v>
      </c>
      <c r="M111" s="20">
        <f t="shared" si="87"/>
        <v>9.7449045946900029E-2</v>
      </c>
    </row>
    <row r="112" spans="1:14" x14ac:dyDescent="0.2">
      <c r="B112" s="19" t="s">
        <v>93</v>
      </c>
      <c r="C112" s="10"/>
      <c r="D112" s="28"/>
      <c r="E112" s="30">
        <f t="shared" si="86"/>
        <v>4.6170291522383486E-2</v>
      </c>
      <c r="F112" s="12">
        <f t="shared" si="86"/>
        <v>4.9108959231833345E-2</v>
      </c>
      <c r="G112" s="12">
        <f t="shared" si="86"/>
        <v>4.0715372907153727E-2</v>
      </c>
      <c r="H112" s="12">
        <f t="shared" si="86"/>
        <v>3.8124965163591776E-2</v>
      </c>
      <c r="I112" s="20">
        <f t="shared" ref="I112:M112" si="88">AVERAGE($E112:$H112)</f>
        <v>4.3529897206240578E-2</v>
      </c>
      <c r="J112" s="20">
        <f t="shared" si="88"/>
        <v>4.3529897206240578E-2</v>
      </c>
      <c r="K112" s="20">
        <f t="shared" si="88"/>
        <v>4.3529897206240578E-2</v>
      </c>
      <c r="L112" s="20">
        <f t="shared" si="88"/>
        <v>4.3529897206240578E-2</v>
      </c>
      <c r="M112" s="20">
        <f t="shared" si="88"/>
        <v>4.3529897206240578E-2</v>
      </c>
      <c r="N112" s="94">
        <f>AVERAGE(E105:H105)</f>
        <v>62.980461927827463</v>
      </c>
    </row>
    <row r="113" spans="2:14" x14ac:dyDescent="0.2">
      <c r="B113" s="19" t="s">
        <v>94</v>
      </c>
      <c r="C113" s="10"/>
      <c r="D113" s="28"/>
      <c r="E113" s="30">
        <f>E79/E$3</f>
        <v>1.532649422205622E-2</v>
      </c>
      <c r="F113" s="12">
        <f>F79/F$3</f>
        <v>1.4647245504109366E-3</v>
      </c>
      <c r="G113" s="12"/>
      <c r="H113" s="12"/>
      <c r="I113" s="20"/>
      <c r="J113" s="20"/>
      <c r="K113" s="20"/>
      <c r="L113" s="20"/>
      <c r="M113" s="20"/>
      <c r="N113" s="170">
        <f>AVERAGE(E106:H106)</f>
        <v>0.11106874566543856</v>
      </c>
    </row>
    <row r="114" spans="2:14" x14ac:dyDescent="0.2">
      <c r="B114" s="19" t="s">
        <v>95</v>
      </c>
      <c r="C114" s="55"/>
      <c r="D114" s="56"/>
      <c r="E114" s="30">
        <f>E80/E$3</f>
        <v>0.12629277077197862</v>
      </c>
      <c r="F114" s="12">
        <f>F80/F$3</f>
        <v>0.10802343559280657</v>
      </c>
      <c r="G114" s="12">
        <f>G80/G$3</f>
        <v>0.10559360730593607</v>
      </c>
      <c r="H114" s="12">
        <f>H80/H$3</f>
        <v>6.5882615238838413E-2</v>
      </c>
      <c r="I114" s="20">
        <f>$H$114</f>
        <v>6.5882615238838413E-2</v>
      </c>
      <c r="J114" s="20">
        <f t="shared" ref="J114:M114" si="89">$H$114</f>
        <v>6.5882615238838413E-2</v>
      </c>
      <c r="K114" s="20">
        <f t="shared" si="89"/>
        <v>6.5882615238838413E-2</v>
      </c>
      <c r="L114" s="20">
        <f t="shared" si="89"/>
        <v>6.5882615238838413E-2</v>
      </c>
      <c r="M114" s="20">
        <f t="shared" si="89"/>
        <v>6.5882615238838413E-2</v>
      </c>
      <c r="N114" s="170">
        <f t="shared" ref="N114:N121" si="90">AVERAGE(E107:H107)</f>
        <v>3.7451212261559841E-2</v>
      </c>
    </row>
    <row r="115" spans="2:14" x14ac:dyDescent="0.2">
      <c r="N115" s="170">
        <f t="shared" si="90"/>
        <v>1.8163914730304889E-2</v>
      </c>
    </row>
    <row r="116" spans="2:14" x14ac:dyDescent="0.2">
      <c r="B116" s="38" t="s">
        <v>118</v>
      </c>
      <c r="C116" s="39">
        <v>2016</v>
      </c>
      <c r="D116" s="62">
        <v>2017</v>
      </c>
      <c r="E116" s="63">
        <v>2018</v>
      </c>
      <c r="F116" s="40">
        <v>2019</v>
      </c>
      <c r="G116" s="40">
        <v>2020</v>
      </c>
      <c r="H116" s="40">
        <v>2021</v>
      </c>
      <c r="I116" s="41">
        <v>2022</v>
      </c>
      <c r="J116" s="41">
        <v>2023</v>
      </c>
      <c r="K116" s="41">
        <v>2024</v>
      </c>
      <c r="L116" s="41">
        <v>2025</v>
      </c>
      <c r="M116" s="41">
        <v>2026</v>
      </c>
      <c r="N116" s="170">
        <f t="shared" si="90"/>
        <v>2.6875507884960029E-2</v>
      </c>
    </row>
    <row r="117" spans="2:14" x14ac:dyDescent="0.2">
      <c r="B117" s="14" t="s">
        <v>119</v>
      </c>
      <c r="C117" s="70"/>
      <c r="D117" s="70"/>
      <c r="E117" s="8"/>
      <c r="F117" s="1"/>
      <c r="G117" s="1"/>
      <c r="H117" s="1"/>
      <c r="I117" s="24"/>
      <c r="J117" s="24"/>
      <c r="K117" s="24"/>
      <c r="L117" s="24"/>
      <c r="M117" s="24"/>
      <c r="N117" s="170">
        <f t="shared" si="90"/>
        <v>7.2349323386414741E-2</v>
      </c>
    </row>
    <row r="118" spans="2:14" x14ac:dyDescent="0.2">
      <c r="B118" s="113" t="s">
        <v>60</v>
      </c>
      <c r="C118" s="70">
        <v>-773.04600000000005</v>
      </c>
      <c r="D118" s="70">
        <v>-2240.578</v>
      </c>
      <c r="E118" s="8">
        <v>-1062.5819999999999</v>
      </c>
      <c r="F118" s="1">
        <v>-775</v>
      </c>
      <c r="G118" s="1">
        <v>862</v>
      </c>
      <c r="H118" s="1">
        <v>5644</v>
      </c>
      <c r="I118" s="24">
        <f>I16</f>
        <v>5117.4593129602745</v>
      </c>
      <c r="J118" s="24">
        <f>J16</f>
        <v>7559.4762160174623</v>
      </c>
      <c r="K118" s="24">
        <f>K16</f>
        <v>10274.738262204331</v>
      </c>
      <c r="L118" s="24">
        <f>L16</f>
        <v>11969.520377647832</v>
      </c>
      <c r="M118" s="24">
        <f>M16</f>
        <v>13776.397548916571</v>
      </c>
      <c r="N118" s="170">
        <f t="shared" si="90"/>
        <v>0.32799685471941831</v>
      </c>
    </row>
    <row r="119" spans="2:14" x14ac:dyDescent="0.2">
      <c r="B119" s="113" t="s">
        <v>120</v>
      </c>
      <c r="C119" s="70"/>
      <c r="D119" s="70"/>
      <c r="E119" s="8"/>
      <c r="F119" s="1"/>
      <c r="G119" s="1"/>
      <c r="H119" s="1"/>
      <c r="I119" s="24"/>
      <c r="J119" s="24"/>
      <c r="K119" s="24"/>
      <c r="L119" s="24"/>
      <c r="M119" s="24"/>
      <c r="N119" s="170">
        <f t="shared" si="90"/>
        <v>4.3529897206240578E-2</v>
      </c>
    </row>
    <row r="120" spans="2:14" x14ac:dyDescent="0.2">
      <c r="B120" s="114" t="s">
        <v>121</v>
      </c>
      <c r="C120" s="70">
        <v>947.09899999999993</v>
      </c>
      <c r="D120" s="70">
        <v>1636.0030000000002</v>
      </c>
      <c r="E120" s="8">
        <v>1901.05</v>
      </c>
      <c r="F120" s="1">
        <v>2154</v>
      </c>
      <c r="G120" s="1">
        <v>2322</v>
      </c>
      <c r="H120" s="1">
        <v>2911</v>
      </c>
      <c r="I120" s="24">
        <f>I3*I210</f>
        <v>7358.3674048282819</v>
      </c>
      <c r="J120" s="24">
        <f>J3*J210</f>
        <v>10854.254054667199</v>
      </c>
      <c r="K120" s="24">
        <f>K3*K210</f>
        <v>14755.922555955149</v>
      </c>
      <c r="L120" s="24">
        <f>L3*L210</f>
        <v>17098.527049987864</v>
      </c>
      <c r="M120" s="24">
        <f>M3*M210</f>
        <v>19763.439000288174</v>
      </c>
      <c r="N120" s="170"/>
    </row>
    <row r="121" spans="2:14" x14ac:dyDescent="0.2">
      <c r="B121" s="114" t="s">
        <v>122</v>
      </c>
      <c r="C121" s="70">
        <v>334.22500000000002</v>
      </c>
      <c r="D121" s="70">
        <v>466.76000000000005</v>
      </c>
      <c r="E121" s="8">
        <v>749.024</v>
      </c>
      <c r="F121" s="1">
        <v>898</v>
      </c>
      <c r="G121" s="1">
        <v>1734</v>
      </c>
      <c r="H121" s="1">
        <v>2121</v>
      </c>
      <c r="I121" s="24"/>
      <c r="J121" s="24"/>
      <c r="K121" s="24"/>
      <c r="L121" s="24"/>
      <c r="M121" s="24"/>
      <c r="N121" s="170">
        <f t="shared" si="90"/>
        <v>0.10144810722738992</v>
      </c>
    </row>
    <row r="122" spans="2:14" x14ac:dyDescent="0.2">
      <c r="B122" s="114" t="s">
        <v>123</v>
      </c>
      <c r="C122" s="70">
        <v>94.69</v>
      </c>
      <c r="D122" s="70">
        <v>91.037000000000006</v>
      </c>
      <c r="E122" s="8">
        <v>158.72999999999999</v>
      </c>
      <c r="F122" s="1"/>
      <c r="G122" s="1"/>
      <c r="H122" s="1"/>
      <c r="I122" s="24"/>
      <c r="J122" s="24"/>
      <c r="K122" s="24"/>
      <c r="L122" s="24"/>
      <c r="M122" s="24"/>
    </row>
    <row r="123" spans="2:14" x14ac:dyDescent="0.2">
      <c r="B123" s="114" t="s">
        <v>124</v>
      </c>
      <c r="C123" s="70">
        <v>65.52000000000001</v>
      </c>
      <c r="D123" s="70">
        <v>131.66500000000002</v>
      </c>
      <c r="E123" s="8">
        <v>85.272000000000006</v>
      </c>
      <c r="F123" s="1">
        <v>193</v>
      </c>
      <c r="G123" s="1">
        <v>202</v>
      </c>
      <c r="H123" s="1">
        <v>140</v>
      </c>
      <c r="I123" s="24"/>
      <c r="J123" s="24"/>
      <c r="K123" s="24"/>
      <c r="L123" s="24"/>
      <c r="M123" s="24"/>
    </row>
    <row r="124" spans="2:14" x14ac:dyDescent="0.2">
      <c r="B124" s="114" t="s">
        <v>125</v>
      </c>
      <c r="C124" s="70">
        <v>34.632999999999996</v>
      </c>
      <c r="D124" s="70">
        <v>105.77000000000001</v>
      </c>
      <c r="E124" s="8">
        <v>161.36099999999999</v>
      </c>
      <c r="F124" s="1"/>
      <c r="G124" s="1"/>
      <c r="H124" s="1"/>
      <c r="I124" s="24"/>
      <c r="J124" s="24"/>
      <c r="K124" s="24"/>
      <c r="L124" s="24"/>
      <c r="M124" s="24"/>
    </row>
    <row r="125" spans="2:14" x14ac:dyDescent="0.2">
      <c r="B125" s="114" t="s">
        <v>126</v>
      </c>
      <c r="C125" s="70">
        <v>-29.183</v>
      </c>
      <c r="D125" s="70">
        <v>52.309000000000005</v>
      </c>
      <c r="E125" s="8">
        <v>-1.5109999999999999</v>
      </c>
      <c r="F125" s="1">
        <v>-48</v>
      </c>
      <c r="G125" s="1">
        <v>114</v>
      </c>
      <c r="H125" s="1">
        <v>-55</v>
      </c>
      <c r="I125" s="24"/>
      <c r="J125" s="24"/>
      <c r="K125" s="24"/>
      <c r="L125" s="24"/>
      <c r="M125" s="24"/>
    </row>
    <row r="126" spans="2:14" x14ac:dyDescent="0.2">
      <c r="B126" s="114" t="s">
        <v>127</v>
      </c>
      <c r="C126" s="70">
        <v>-88.727000000000004</v>
      </c>
      <c r="D126" s="70">
        <v>57.746000000000002</v>
      </c>
      <c r="E126" s="8">
        <v>0</v>
      </c>
      <c r="F126" s="1"/>
      <c r="G126" s="1"/>
      <c r="H126" s="1"/>
      <c r="I126" s="24"/>
      <c r="J126" s="24"/>
      <c r="K126" s="24"/>
      <c r="L126" s="24"/>
      <c r="M126" s="24"/>
    </row>
    <row r="127" spans="2:14" ht="17" customHeight="1" x14ac:dyDescent="0.2">
      <c r="B127" s="114" t="s">
        <v>128</v>
      </c>
      <c r="C127" s="70">
        <v>-15.178999999999998</v>
      </c>
      <c r="D127" s="70">
        <v>135.23699999999999</v>
      </c>
      <c r="E127" s="8">
        <v>48.506999999999998</v>
      </c>
      <c r="F127" s="1">
        <v>520</v>
      </c>
      <c r="G127" s="1">
        <v>525</v>
      </c>
      <c r="H127" s="1">
        <v>245</v>
      </c>
      <c r="I127" s="24"/>
      <c r="J127" s="24"/>
      <c r="K127" s="24"/>
      <c r="L127" s="24"/>
      <c r="M127" s="24"/>
    </row>
    <row r="128" spans="2:14" hidden="1" x14ac:dyDescent="0.2">
      <c r="B128" s="114" t="s">
        <v>129</v>
      </c>
      <c r="C128" s="70">
        <v>-216.565</v>
      </c>
      <c r="D128" s="70"/>
      <c r="E128" s="8"/>
      <c r="F128" s="1"/>
      <c r="G128" s="1"/>
      <c r="H128" s="1">
        <v>-27</v>
      </c>
      <c r="I128" s="24"/>
      <c r="J128" s="24"/>
      <c r="K128" s="24"/>
      <c r="L128" s="24"/>
      <c r="M128" s="24"/>
    </row>
    <row r="129" spans="2:30" hidden="1" x14ac:dyDescent="0.2">
      <c r="B129" s="114" t="s">
        <v>130</v>
      </c>
      <c r="C129" s="70">
        <v>-632.86699999999996</v>
      </c>
      <c r="D129" s="70"/>
      <c r="E129" s="8"/>
      <c r="F129" s="1">
        <v>-188</v>
      </c>
      <c r="G129" s="1"/>
      <c r="H129" s="1"/>
      <c r="I129" s="24"/>
      <c r="J129" s="24"/>
      <c r="K129" s="24"/>
      <c r="L129" s="24"/>
      <c r="M129" s="24"/>
      <c r="R129" s="36"/>
    </row>
    <row r="130" spans="2:30" hidden="1" x14ac:dyDescent="0.2">
      <c r="B130" s="32" t="s">
        <v>131</v>
      </c>
      <c r="C130" s="33"/>
      <c r="D130" s="33"/>
      <c r="E130" s="33"/>
      <c r="F130" s="34"/>
      <c r="G130" s="34"/>
      <c r="H130" s="35"/>
      <c r="I130" s="35"/>
      <c r="J130" s="35"/>
      <c r="K130" s="35"/>
      <c r="L130" s="35"/>
      <c r="M130" s="35"/>
      <c r="R130" s="36"/>
      <c r="S130" s="36"/>
      <c r="T130" s="36"/>
      <c r="U130" s="36"/>
      <c r="V130" s="36"/>
      <c r="W130" s="36"/>
      <c r="X130" s="36"/>
      <c r="Y130" s="36"/>
      <c r="Z130" s="36"/>
      <c r="AA130" s="36"/>
    </row>
    <row r="131" spans="2:30" hidden="1" x14ac:dyDescent="0.2">
      <c r="B131" s="37" t="s">
        <v>132</v>
      </c>
      <c r="C131" s="33">
        <v>-1832.836</v>
      </c>
      <c r="D131" s="33">
        <v>-24.634999999999998</v>
      </c>
      <c r="E131" s="33">
        <v>-496.73200000000003</v>
      </c>
      <c r="F131" s="34">
        <v>-367</v>
      </c>
      <c r="G131" s="34">
        <v>-652</v>
      </c>
      <c r="H131" s="34">
        <v>-130</v>
      </c>
      <c r="I131" s="35"/>
      <c r="J131" s="35"/>
      <c r="K131" s="35"/>
      <c r="L131" s="35"/>
      <c r="M131" s="35"/>
      <c r="R131" s="36"/>
      <c r="S131" s="36"/>
      <c r="T131" s="36"/>
      <c r="U131" s="36"/>
      <c r="V131" s="36"/>
      <c r="W131" s="36"/>
      <c r="X131" s="36"/>
      <c r="Y131" s="36"/>
      <c r="Z131" s="36"/>
      <c r="AA131" s="36"/>
    </row>
    <row r="132" spans="2:30" hidden="1" x14ac:dyDescent="0.2">
      <c r="B132" s="37" t="s">
        <v>67</v>
      </c>
      <c r="C132" s="33">
        <v>56.805999999999997</v>
      </c>
      <c r="D132" s="33">
        <v>-178.85</v>
      </c>
      <c r="E132" s="33">
        <v>-1023.2639999999999</v>
      </c>
      <c r="F132" s="34">
        <v>-429</v>
      </c>
      <c r="G132" s="34">
        <v>-422</v>
      </c>
      <c r="H132" s="34">
        <v>-1709</v>
      </c>
      <c r="I132" s="35"/>
      <c r="J132" s="35"/>
      <c r="K132" s="35"/>
      <c r="L132" s="35"/>
      <c r="M132" s="35"/>
      <c r="R132" s="36"/>
      <c r="S132" s="36"/>
      <c r="T132" s="36"/>
      <c r="U132" s="36"/>
      <c r="V132" s="36"/>
      <c r="W132" s="36"/>
      <c r="X132" s="36"/>
      <c r="Y132" s="36"/>
      <c r="Z132" s="36"/>
      <c r="AA132" s="36"/>
    </row>
    <row r="133" spans="2:30" hidden="1" x14ac:dyDescent="0.2">
      <c r="B133" s="173" t="s">
        <v>133</v>
      </c>
      <c r="C133" s="33">
        <v>-49.352999999999994</v>
      </c>
      <c r="D133" s="33">
        <v>-1522.5729999999999</v>
      </c>
      <c r="E133" s="33">
        <v>-214.74699999999999</v>
      </c>
      <c r="F133" s="34">
        <v>-764</v>
      </c>
      <c r="G133" s="34">
        <v>-1072</v>
      </c>
      <c r="H133" s="34">
        <v>-2114</v>
      </c>
      <c r="I133" s="35"/>
      <c r="J133" s="35"/>
      <c r="K133" s="35"/>
      <c r="L133" s="35"/>
      <c r="M133" s="35"/>
      <c r="R133" s="36"/>
      <c r="S133" s="36"/>
      <c r="T133" s="36"/>
      <c r="U133" s="36"/>
      <c r="V133" s="36"/>
      <c r="W133" s="36"/>
      <c r="X133" s="36"/>
      <c r="Y133" s="36"/>
      <c r="Z133" s="36"/>
      <c r="AA133" s="36"/>
    </row>
    <row r="134" spans="2:30" hidden="1" x14ac:dyDescent="0.2">
      <c r="B134" s="37" t="s">
        <v>68</v>
      </c>
      <c r="C134" s="33">
        <v>750.64</v>
      </c>
      <c r="D134" s="33">
        <v>-72.084000000000003</v>
      </c>
      <c r="E134" s="33">
        <v>-82.125</v>
      </c>
      <c r="F134" s="34">
        <v>-288</v>
      </c>
      <c r="G134" s="34">
        <v>-251</v>
      </c>
      <c r="H134" s="34">
        <v>-271</v>
      </c>
      <c r="I134" s="35"/>
      <c r="J134" s="35"/>
      <c r="K134" s="35"/>
      <c r="L134" s="35"/>
      <c r="M134" s="35"/>
      <c r="R134" s="10"/>
      <c r="S134" s="36"/>
      <c r="T134" s="36"/>
      <c r="U134" s="36"/>
      <c r="V134" s="36"/>
      <c r="W134" s="36"/>
      <c r="X134" s="36"/>
      <c r="Y134" s="36"/>
      <c r="Z134" s="36"/>
      <c r="AA134" s="36"/>
    </row>
    <row r="135" spans="2:30" hidden="1" x14ac:dyDescent="0.2">
      <c r="B135" s="37"/>
      <c r="C135" s="33"/>
      <c r="D135" s="33"/>
      <c r="E135" s="33"/>
      <c r="F135" s="34"/>
      <c r="G135" s="34"/>
      <c r="H135" s="34"/>
      <c r="I135" s="35"/>
      <c r="J135" s="35"/>
      <c r="K135" s="35"/>
      <c r="L135" s="35"/>
      <c r="M135" s="35"/>
      <c r="R135" s="10"/>
      <c r="S135" s="10"/>
      <c r="T135" s="10"/>
      <c r="U135" s="10"/>
      <c r="V135" s="10"/>
      <c r="W135" s="10"/>
      <c r="X135" s="10"/>
      <c r="Y135" s="10"/>
      <c r="Z135" s="10"/>
      <c r="AA135" s="10"/>
      <c r="AB135" s="36"/>
    </row>
    <row r="136" spans="2:30" hidden="1" x14ac:dyDescent="0.2">
      <c r="B136" s="9" t="s">
        <v>131</v>
      </c>
      <c r="C136" s="115"/>
      <c r="D136" s="115"/>
      <c r="E136" s="110"/>
      <c r="F136" s="111"/>
      <c r="G136" s="111"/>
      <c r="H136" s="111"/>
      <c r="I136" s="86"/>
      <c r="J136" s="86"/>
      <c r="K136" s="86"/>
      <c r="L136" s="86"/>
      <c r="M136" s="10"/>
      <c r="R136" s="10"/>
      <c r="S136" s="10"/>
      <c r="T136" s="10"/>
      <c r="U136" s="10"/>
      <c r="V136" s="10"/>
      <c r="W136" s="10"/>
      <c r="X136" s="10"/>
      <c r="Y136" s="10"/>
      <c r="Z136" s="10"/>
      <c r="AA136" s="10"/>
      <c r="AB136" s="36"/>
    </row>
    <row r="137" spans="2:30" hidden="1" x14ac:dyDescent="0.2">
      <c r="B137" s="19" t="s">
        <v>66</v>
      </c>
      <c r="C137" s="110"/>
      <c r="D137" s="110">
        <f t="shared" ref="D137:D138" si="91">C50-D50</f>
        <v>-16.23900000000009</v>
      </c>
      <c r="E137" s="110">
        <f>D50-E50</f>
        <v>-433.64099999999985</v>
      </c>
      <c r="F137" s="110">
        <f t="shared" ref="F137:M137" si="92">E50-F50</f>
        <v>-374.97800000000007</v>
      </c>
      <c r="G137" s="110">
        <f t="shared" si="92"/>
        <v>-562</v>
      </c>
      <c r="H137" s="110">
        <f t="shared" si="92"/>
        <v>-27</v>
      </c>
      <c r="I137" s="110">
        <f t="shared" si="92"/>
        <v>-2770.1699948800751</v>
      </c>
      <c r="J137" s="110">
        <f t="shared" si="92"/>
        <v>-2224.9271561630458</v>
      </c>
      <c r="K137" s="110">
        <f t="shared" si="92"/>
        <v>-2483.1835446556979</v>
      </c>
      <c r="L137" s="110">
        <f t="shared" si="92"/>
        <v>-1490.930592719058</v>
      </c>
      <c r="M137" s="110">
        <f t="shared" si="92"/>
        <v>-1696.0604163981661</v>
      </c>
      <c r="N137" s="36"/>
      <c r="Q137" s="36"/>
      <c r="R137" s="10"/>
      <c r="S137" s="10"/>
      <c r="T137" s="10"/>
      <c r="U137" s="10"/>
      <c r="V137" s="10"/>
      <c r="W137" s="10"/>
      <c r="X137" s="10"/>
      <c r="Y137" s="10"/>
      <c r="Z137" s="10"/>
      <c r="AA137" s="10"/>
      <c r="AB137" s="36"/>
    </row>
    <row r="138" spans="2:30" s="36" customFormat="1" hidden="1" x14ac:dyDescent="0.2">
      <c r="B138" s="19" t="s">
        <v>67</v>
      </c>
      <c r="C138" s="110"/>
      <c r="D138" s="110">
        <f t="shared" si="91"/>
        <v>-196.08299999999963</v>
      </c>
      <c r="E138" s="110">
        <f t="shared" ref="E138:M138" si="93">D51-E51</f>
        <v>-849.90900000000011</v>
      </c>
      <c r="F138" s="110">
        <f>E51-F51</f>
        <v>-438.55400000000009</v>
      </c>
      <c r="G138" s="110">
        <f t="shared" si="93"/>
        <v>-549</v>
      </c>
      <c r="H138" s="110">
        <f t="shared" si="93"/>
        <v>-1656</v>
      </c>
      <c r="I138" s="110">
        <f t="shared" si="93"/>
        <v>-6992.0738059954874</v>
      </c>
      <c r="J138" s="110">
        <f t="shared" si="93"/>
        <v>-6056.9572656763467</v>
      </c>
      <c r="K138" s="110">
        <f t="shared" si="93"/>
        <v>-6760.0130508309012</v>
      </c>
      <c r="L138" s="110">
        <f t="shared" si="93"/>
        <v>-4058.7858623480533</v>
      </c>
      <c r="M138" s="110">
        <f t="shared" si="93"/>
        <v>-4617.2142911163683</v>
      </c>
      <c r="R138" s="10"/>
      <c r="S138" s="10"/>
      <c r="T138" s="10"/>
      <c r="U138" s="10"/>
      <c r="V138" s="10"/>
      <c r="W138" s="10"/>
      <c r="X138" s="10"/>
      <c r="Y138" s="10"/>
      <c r="Z138" s="10"/>
      <c r="AA138" s="10"/>
      <c r="AC138" s="14"/>
      <c r="AD138" s="14"/>
    </row>
    <row r="139" spans="2:30" s="36" customFormat="1" hidden="1" x14ac:dyDescent="0.2">
      <c r="B139" s="174" t="s">
        <v>133</v>
      </c>
      <c r="C139" s="110"/>
      <c r="D139" s="110"/>
      <c r="E139" s="110"/>
      <c r="F139" s="110"/>
      <c r="G139" s="110"/>
      <c r="H139" s="110"/>
      <c r="I139" s="110"/>
      <c r="J139" s="110"/>
      <c r="K139" s="110"/>
      <c r="L139" s="110"/>
      <c r="M139" s="110"/>
      <c r="R139" s="10"/>
      <c r="S139" s="10"/>
      <c r="T139" s="10"/>
      <c r="U139" s="10"/>
      <c r="V139" s="10"/>
      <c r="W139" s="10"/>
      <c r="X139" s="10"/>
      <c r="Y139" s="10"/>
      <c r="Z139" s="10"/>
      <c r="AA139" s="10"/>
    </row>
    <row r="140" spans="2:30" s="36" customFormat="1" hidden="1" x14ac:dyDescent="0.2">
      <c r="B140" s="164" t="s">
        <v>68</v>
      </c>
      <c r="C140" s="110"/>
      <c r="D140" s="110">
        <f t="shared" ref="D140" si="94">C52-D52</f>
        <v>-73.900000000000006</v>
      </c>
      <c r="E140" s="110">
        <f t="shared" ref="E140:M140" si="95">D52-E52</f>
        <v>-97.305999999999983</v>
      </c>
      <c r="F140" s="110">
        <f t="shared" si="95"/>
        <v>-347.32900000000001</v>
      </c>
      <c r="G140" s="110">
        <f t="shared" si="95"/>
        <v>-633</v>
      </c>
      <c r="H140" s="110">
        <f t="shared" si="95"/>
        <v>-377</v>
      </c>
      <c r="I140" s="110">
        <f t="shared" si="95"/>
        <v>-1200.2082082447446</v>
      </c>
      <c r="J140" s="110">
        <f t="shared" si="95"/>
        <v>-1388.7869397764621</v>
      </c>
      <c r="K140" s="110">
        <f t="shared" si="95"/>
        <v>-1549.9891159730796</v>
      </c>
      <c r="L140" s="110">
        <f t="shared" si="95"/>
        <v>-930.63043863970506</v>
      </c>
      <c r="M140" s="110">
        <f t="shared" si="95"/>
        <v>-1058.6713137286142</v>
      </c>
      <c r="R140" s="10"/>
      <c r="S140" s="10"/>
      <c r="T140" s="10"/>
      <c r="U140" s="10"/>
      <c r="V140" s="10"/>
      <c r="W140" s="10"/>
      <c r="X140" s="10"/>
      <c r="Y140" s="10"/>
      <c r="Z140" s="10"/>
      <c r="AA140" s="10"/>
    </row>
    <row r="141" spans="2:30" s="36" customFormat="1" hidden="1" x14ac:dyDescent="0.2">
      <c r="B141" s="19" t="s">
        <v>84</v>
      </c>
      <c r="C141" s="8"/>
      <c r="D141" s="8">
        <f t="shared" ref="D141:D145" si="96">D69-C69</f>
        <v>529.90900000000011</v>
      </c>
      <c r="E141" s="8">
        <f t="shared" ref="E141:M141" si="97">E69-D69</f>
        <v>1014.201</v>
      </c>
      <c r="F141" s="8">
        <f t="shared" si="97"/>
        <v>366.54899999999998</v>
      </c>
      <c r="G141" s="8">
        <f t="shared" si="97"/>
        <v>2280</v>
      </c>
      <c r="H141" s="8">
        <f t="shared" si="97"/>
        <v>3974</v>
      </c>
      <c r="I141" s="8">
        <f t="shared" si="97"/>
        <v>6684.9125783063355</v>
      </c>
      <c r="J141" s="8">
        <f t="shared" si="97"/>
        <v>7938.7120931398676</v>
      </c>
      <c r="K141" s="8">
        <f t="shared" si="97"/>
        <v>8860.1908520188445</v>
      </c>
      <c r="L141" s="8">
        <f t="shared" si="97"/>
        <v>5319.7556125219926</v>
      </c>
      <c r="M141" s="8">
        <f t="shared" si="97"/>
        <v>6051.674681150449</v>
      </c>
      <c r="R141" s="10"/>
      <c r="S141" s="10"/>
      <c r="T141" s="10"/>
      <c r="U141" s="10"/>
      <c r="V141" s="10"/>
      <c r="W141" s="10"/>
      <c r="X141" s="10"/>
      <c r="Y141" s="10"/>
      <c r="Z141" s="10"/>
      <c r="AA141" s="10"/>
      <c r="AB141" s="10"/>
    </row>
    <row r="142" spans="2:30" s="36" customFormat="1" x14ac:dyDescent="0.2">
      <c r="B142" s="19" t="s">
        <v>85</v>
      </c>
      <c r="C142" s="8"/>
      <c r="D142" s="8">
        <f t="shared" si="96"/>
        <v>521.33799999999997</v>
      </c>
      <c r="E142" s="8">
        <f t="shared" ref="E142:M142" si="98">E70-D70</f>
        <v>362.88699999999972</v>
      </c>
      <c r="F142" s="8">
        <f t="shared" si="98"/>
        <v>810.7470000000003</v>
      </c>
      <c r="G142" s="8">
        <f t="shared" si="98"/>
        <v>950</v>
      </c>
      <c r="H142" s="8">
        <f t="shared" si="98"/>
        <v>1864</v>
      </c>
      <c r="I142" s="8">
        <f t="shared" si="98"/>
        <v>5037.0563277248239</v>
      </c>
      <c r="J142" s="8">
        <f t="shared" si="98"/>
        <v>5110.0946245678952</v>
      </c>
      <c r="K142" s="8">
        <f t="shared" si="98"/>
        <v>5703.2441930564673</v>
      </c>
      <c r="L142" s="8">
        <f t="shared" si="98"/>
        <v>3424.2902678199716</v>
      </c>
      <c r="M142" s="8">
        <f t="shared" si="98"/>
        <v>3895.4215614524692</v>
      </c>
      <c r="R142" s="10"/>
      <c r="S142" s="10"/>
      <c r="T142" s="10"/>
      <c r="U142" s="10"/>
      <c r="V142" s="10"/>
      <c r="W142" s="10"/>
      <c r="X142" s="10"/>
      <c r="Y142" s="10"/>
      <c r="Z142" s="10"/>
      <c r="AA142" s="10"/>
      <c r="AB142" s="10"/>
    </row>
    <row r="143" spans="2:30" s="36" customFormat="1" x14ac:dyDescent="0.2">
      <c r="B143" s="19" t="s">
        <v>86</v>
      </c>
      <c r="C143" s="8"/>
      <c r="D143" s="8">
        <f t="shared" si="96"/>
        <v>252.12700000000007</v>
      </c>
      <c r="E143" s="8">
        <f t="shared" ref="E143:M143" si="99">E71-D71</f>
        <v>-384.96100000000001</v>
      </c>
      <c r="F143" s="8">
        <f t="shared" si="99"/>
        <v>532.70799999999997</v>
      </c>
      <c r="G143" s="8">
        <f t="shared" si="99"/>
        <v>295</v>
      </c>
      <c r="H143" s="8">
        <f t="shared" si="99"/>
        <v>-11</v>
      </c>
      <c r="I143" s="8">
        <f t="shared" si="99"/>
        <v>2179.8290076878457</v>
      </c>
      <c r="J143" s="8">
        <f t="shared" si="99"/>
        <v>1723.0701338594481</v>
      </c>
      <c r="K143" s="8">
        <f t="shared" si="99"/>
        <v>1923.0739266386672</v>
      </c>
      <c r="L143" s="8">
        <f t="shared" si="99"/>
        <v>1154.634644489598</v>
      </c>
      <c r="M143" s="8">
        <f t="shared" si="99"/>
        <v>1313.4951589861121</v>
      </c>
      <c r="N143" s="10"/>
      <c r="Q143" s="10"/>
      <c r="R143" s="10"/>
      <c r="S143" s="10"/>
      <c r="T143" s="10"/>
      <c r="U143" s="10"/>
      <c r="V143" s="10"/>
      <c r="W143" s="10"/>
      <c r="X143" s="10"/>
      <c r="Y143" s="10"/>
      <c r="Z143" s="10"/>
      <c r="AA143" s="10"/>
      <c r="AB143" s="10"/>
    </row>
    <row r="144" spans="2:30" s="10" customFormat="1" ht="15" customHeight="1" x14ac:dyDescent="0.2">
      <c r="B144" s="19" t="s">
        <v>87</v>
      </c>
      <c r="C144" s="8"/>
      <c r="D144" s="8">
        <f t="shared" si="96"/>
        <v>607.82899999999995</v>
      </c>
      <c r="E144" s="8">
        <f t="shared" ref="E144:G145" si="100">E72-D72</f>
        <v>-284.49299999999999</v>
      </c>
      <c r="F144" s="8">
        <f t="shared" si="100"/>
        <v>-185.83999999999997</v>
      </c>
      <c r="G144" s="8">
        <f t="shared" si="100"/>
        <v>-317</v>
      </c>
      <c r="H144" s="8"/>
      <c r="I144" s="8"/>
      <c r="J144" s="8"/>
      <c r="K144" s="8"/>
      <c r="L144" s="8"/>
      <c r="M144" s="8"/>
      <c r="AC144" s="36"/>
      <c r="AD144" s="36"/>
    </row>
    <row r="145" spans="2:30" s="10" customFormat="1" x14ac:dyDescent="0.2">
      <c r="B145" s="19" t="s">
        <v>88</v>
      </c>
      <c r="C145" s="2"/>
      <c r="D145" s="2">
        <f t="shared" si="96"/>
        <v>190.06000000000006</v>
      </c>
      <c r="E145" s="2">
        <f t="shared" si="100"/>
        <v>-61.318000000000097</v>
      </c>
      <c r="F145" s="2">
        <f t="shared" si="100"/>
        <v>-66.600999999999999</v>
      </c>
      <c r="G145" s="2">
        <f t="shared" si="100"/>
        <v>26</v>
      </c>
      <c r="H145" s="2">
        <f t="shared" ref="H145:M145" si="101">H73-G73</f>
        <v>173</v>
      </c>
      <c r="I145" s="2">
        <f t="shared" si="101"/>
        <v>1677.6626564919829</v>
      </c>
      <c r="J145" s="2">
        <f t="shared" si="101"/>
        <v>1236.4989588443823</v>
      </c>
      <c r="K145" s="2">
        <f t="shared" si="101"/>
        <v>1380.024446679578</v>
      </c>
      <c r="L145" s="2">
        <f t="shared" si="101"/>
        <v>828.58178996996139</v>
      </c>
      <c r="M145" s="2">
        <f t="shared" si="101"/>
        <v>942.58229228059281</v>
      </c>
    </row>
    <row r="146" spans="2:30" s="10" customFormat="1" x14ac:dyDescent="0.2">
      <c r="B146" s="22" t="s">
        <v>112</v>
      </c>
      <c r="C146" s="115"/>
      <c r="D146" s="66">
        <f t="shared" ref="D146:M146" si="102">SUM(D137:D145)</f>
        <v>1815.0410000000002</v>
      </c>
      <c r="E146" s="66">
        <f t="shared" si="102"/>
        <v>-734.5400000000003</v>
      </c>
      <c r="F146" s="67">
        <f t="shared" si="102"/>
        <v>296.70200000000017</v>
      </c>
      <c r="G146" s="67">
        <f t="shared" si="102"/>
        <v>1490</v>
      </c>
      <c r="H146" s="67">
        <f t="shared" si="102"/>
        <v>3940</v>
      </c>
      <c r="I146" s="67">
        <f t="shared" si="102"/>
        <v>4617.008561090679</v>
      </c>
      <c r="J146" s="67">
        <f t="shared" si="102"/>
        <v>6337.7044487957373</v>
      </c>
      <c r="K146" s="67">
        <f t="shared" si="102"/>
        <v>7073.3477069338787</v>
      </c>
      <c r="L146" s="67">
        <f t="shared" si="102"/>
        <v>4246.9154210947072</v>
      </c>
      <c r="M146" s="67">
        <f t="shared" si="102"/>
        <v>4831.2276726264745</v>
      </c>
      <c r="R146" s="36"/>
    </row>
    <row r="147" spans="2:30" s="10" customFormat="1" x14ac:dyDescent="0.2">
      <c r="B147" s="9" t="s">
        <v>80</v>
      </c>
      <c r="C147" s="115">
        <v>382.96199999999999</v>
      </c>
      <c r="D147" s="115">
        <v>-15.452999999999999</v>
      </c>
      <c r="E147" s="110">
        <v>-207.40900000000002</v>
      </c>
      <c r="F147" s="111">
        <v>115</v>
      </c>
      <c r="G147" s="111">
        <v>-344</v>
      </c>
      <c r="H147" s="111">
        <v>-1291</v>
      </c>
      <c r="I147" s="110">
        <f>H64-I64</f>
        <v>-1443.6960264787681</v>
      </c>
      <c r="J147" s="110">
        <f>I64-J64</f>
        <v>-1701.6279065560489</v>
      </c>
      <c r="K147" s="110">
        <f>J64-K64</f>
        <v>-1899.1428123758578</v>
      </c>
      <c r="L147" s="110">
        <f>K64-L64</f>
        <v>-1140.2661414246249</v>
      </c>
      <c r="M147" s="110">
        <f>L64-M64</f>
        <v>-1297.1497640962298</v>
      </c>
      <c r="R147" s="14"/>
      <c r="S147" s="36"/>
      <c r="T147" s="36"/>
      <c r="U147" s="36"/>
      <c r="V147" s="36"/>
      <c r="W147" s="36"/>
      <c r="X147" s="36"/>
      <c r="Y147" s="36"/>
      <c r="Z147" s="36"/>
      <c r="AA147" s="36"/>
    </row>
    <row r="148" spans="2:30" s="10" customFormat="1" x14ac:dyDescent="0.2">
      <c r="B148" s="9" t="s">
        <v>134</v>
      </c>
      <c r="C148" s="70">
        <v>388.36099999999999</v>
      </c>
      <c r="D148" s="70">
        <v>388.20600000000002</v>
      </c>
      <c r="E148" s="8">
        <v>1722.85</v>
      </c>
      <c r="F148" s="1">
        <v>646</v>
      </c>
      <c r="G148" s="1">
        <v>2102</v>
      </c>
      <c r="H148" s="1">
        <v>4578</v>
      </c>
      <c r="I148" s="24"/>
      <c r="J148" s="24"/>
      <c r="K148" s="24"/>
      <c r="L148" s="24"/>
      <c r="M148" s="24"/>
      <c r="R148" s="14"/>
      <c r="S148" s="14"/>
      <c r="T148" s="14"/>
      <c r="U148" s="14"/>
      <c r="V148" s="14"/>
      <c r="W148" s="14"/>
      <c r="X148" s="14"/>
      <c r="Y148" s="14"/>
      <c r="Z148" s="14"/>
      <c r="AA148" s="14"/>
    </row>
    <row r="149" spans="2:30" s="10" customFormat="1" x14ac:dyDescent="0.2">
      <c r="B149" s="9" t="s">
        <v>86</v>
      </c>
      <c r="C149" s="70">
        <v>326.93400000000003</v>
      </c>
      <c r="D149" s="70">
        <v>468.90200000000004</v>
      </c>
      <c r="E149" s="8">
        <v>406.661</v>
      </c>
      <c r="F149" s="1">
        <v>801</v>
      </c>
      <c r="G149" s="1">
        <v>321</v>
      </c>
      <c r="H149" s="1">
        <v>793</v>
      </c>
      <c r="I149" s="24"/>
      <c r="J149" s="24"/>
      <c r="K149" s="24"/>
      <c r="L149" s="24"/>
      <c r="M149" s="24"/>
      <c r="R149" s="14"/>
      <c r="S149" s="14"/>
      <c r="T149" s="14"/>
      <c r="U149" s="14"/>
      <c r="V149" s="14"/>
      <c r="W149" s="14"/>
      <c r="X149" s="14"/>
      <c r="Y149" s="14"/>
      <c r="Z149" s="14"/>
      <c r="AA149" s="14"/>
    </row>
    <row r="150" spans="2:30" s="10" customFormat="1" x14ac:dyDescent="0.2">
      <c r="B150" s="9" t="s">
        <v>88</v>
      </c>
      <c r="C150" s="70">
        <v>132.05699999999999</v>
      </c>
      <c r="D150" s="70">
        <v>170.02699999999999</v>
      </c>
      <c r="E150" s="8">
        <v>-96.685000000000002</v>
      </c>
      <c r="F150" s="1">
        <v>-58</v>
      </c>
      <c r="G150" s="1">
        <v>7</v>
      </c>
      <c r="H150" s="1">
        <v>186</v>
      </c>
      <c r="I150" s="24"/>
      <c r="J150" s="24"/>
      <c r="K150" s="24"/>
      <c r="L150" s="24"/>
      <c r="M150" s="24"/>
    </row>
    <row r="151" spans="2:30" s="10" customFormat="1" x14ac:dyDescent="0.2">
      <c r="B151" s="9" t="s">
        <v>135</v>
      </c>
      <c r="C151" s="70">
        <v>-123.82899999999999</v>
      </c>
      <c r="D151" s="70">
        <v>208.71799999999999</v>
      </c>
      <c r="E151" s="8">
        <v>-110.56400000000001</v>
      </c>
      <c r="F151" s="1"/>
      <c r="G151" s="1"/>
      <c r="H151" s="1"/>
      <c r="I151" s="24"/>
      <c r="J151" s="24"/>
      <c r="K151" s="24"/>
      <c r="L151" s="24"/>
      <c r="M151" s="24"/>
      <c r="R151" s="14"/>
      <c r="S151" s="14"/>
      <c r="T151" s="14"/>
      <c r="U151" s="14"/>
      <c r="V151" s="14"/>
      <c r="W151" s="14"/>
      <c r="X151" s="14"/>
      <c r="Y151" s="14"/>
      <c r="Z151" s="14"/>
      <c r="AA151" s="14"/>
    </row>
    <row r="152" spans="2:30" s="10" customFormat="1" ht="17" thickBot="1" x14ac:dyDescent="0.25">
      <c r="B152" s="9" t="s">
        <v>95</v>
      </c>
      <c r="C152" s="116">
        <v>0</v>
      </c>
      <c r="D152" s="116">
        <v>81.138999999999996</v>
      </c>
      <c r="E152" s="29">
        <v>159.96600000000001</v>
      </c>
      <c r="F152" s="29">
        <v>-5</v>
      </c>
      <c r="G152" s="29">
        <v>495</v>
      </c>
      <c r="H152" s="29">
        <v>476</v>
      </c>
      <c r="I152" s="117">
        <f>I80-H80</f>
        <v>2834.1667722198436</v>
      </c>
      <c r="J152" s="117">
        <f>J80-I80</f>
        <v>3031.1533273146888</v>
      </c>
      <c r="K152" s="117">
        <f>K80-J80</f>
        <v>3382.9916826115732</v>
      </c>
      <c r="L152" s="117">
        <f>L80-K80</f>
        <v>2031.1852522440313</v>
      </c>
      <c r="M152" s="117">
        <f>M80-L80</f>
        <v>2310.6460632885974</v>
      </c>
      <c r="R152" s="14"/>
      <c r="S152" s="14"/>
      <c r="T152" s="14"/>
      <c r="U152" s="14"/>
      <c r="V152" s="14"/>
      <c r="W152" s="14"/>
      <c r="X152" s="14"/>
      <c r="Y152" s="14"/>
      <c r="Z152" s="14"/>
      <c r="AA152" s="14"/>
    </row>
    <row r="153" spans="2:30" s="10" customFormat="1" ht="17" thickTop="1" x14ac:dyDescent="0.2">
      <c r="B153" s="119" t="s">
        <v>136</v>
      </c>
      <c r="C153" s="65">
        <v>-1280.8020000000001</v>
      </c>
      <c r="D153" s="65">
        <v>-60.653999999999996</v>
      </c>
      <c r="E153" s="66">
        <v>2097.8020000000001</v>
      </c>
      <c r="F153" s="67">
        <v>2405</v>
      </c>
      <c r="G153" s="67">
        <v>5943</v>
      </c>
      <c r="H153" s="67">
        <v>11497</v>
      </c>
      <c r="I153" s="24">
        <f>I118+I120+I146+I147+I152</f>
        <v>18483.306024620309</v>
      </c>
      <c r="J153" s="24">
        <f>J118+J120+J146+J147+J152</f>
        <v>26080.96014023904</v>
      </c>
      <c r="K153" s="24">
        <f>K118+K120+K146+K147+K152</f>
        <v>33587.857395329069</v>
      </c>
      <c r="L153" s="24">
        <f>L118+L120+L146+L147+L152</f>
        <v>34205.881959549813</v>
      </c>
      <c r="M153" s="24">
        <f>M118+M120+M146+M147+M152</f>
        <v>39384.560521023595</v>
      </c>
      <c r="R153" s="14"/>
      <c r="S153" s="14"/>
      <c r="T153" s="14"/>
      <c r="U153" s="14"/>
      <c r="V153" s="14"/>
      <c r="W153" s="14"/>
      <c r="X153" s="14"/>
      <c r="Y153" s="14"/>
      <c r="Z153" s="14"/>
      <c r="AA153" s="14"/>
      <c r="AB153" s="14"/>
    </row>
    <row r="154" spans="2:30" s="10" customFormat="1" x14ac:dyDescent="0.2">
      <c r="B154" s="118"/>
      <c r="C154" s="65"/>
      <c r="D154" s="65"/>
      <c r="E154" s="66"/>
      <c r="F154" s="67"/>
      <c r="G154" s="67"/>
      <c r="H154" s="67"/>
      <c r="I154" s="24"/>
      <c r="J154" s="24"/>
      <c r="K154" s="24"/>
      <c r="L154" s="24"/>
      <c r="M154" s="24"/>
      <c r="R154" s="14"/>
      <c r="S154" s="14"/>
      <c r="T154" s="14"/>
      <c r="U154" s="14"/>
      <c r="V154" s="14"/>
      <c r="W154" s="14"/>
      <c r="X154" s="14"/>
      <c r="Y154" s="14"/>
      <c r="Z154" s="14"/>
      <c r="AA154" s="14"/>
      <c r="AB154" s="14"/>
    </row>
    <row r="155" spans="2:30" s="10" customFormat="1" ht="13" customHeight="1" x14ac:dyDescent="0.2">
      <c r="B155" s="14" t="s">
        <v>137</v>
      </c>
      <c r="C155" s="70"/>
      <c r="D155" s="8">
        <f>C57-D57</f>
        <v>-4044.5650000000005</v>
      </c>
      <c r="E155" s="8"/>
      <c r="F155" s="8"/>
      <c r="G155" s="8"/>
      <c r="H155" s="8"/>
      <c r="I155" s="1"/>
      <c r="J155" s="24"/>
      <c r="K155" s="24"/>
      <c r="L155" s="24"/>
      <c r="M155" s="24"/>
      <c r="N155" s="14"/>
      <c r="Q155" s="14"/>
      <c r="R155" s="14"/>
      <c r="S155" s="14"/>
      <c r="T155" s="14"/>
      <c r="U155" s="14"/>
      <c r="V155" s="14"/>
      <c r="W155" s="14"/>
      <c r="X155" s="14"/>
      <c r="Y155" s="14"/>
      <c r="Z155" s="14"/>
      <c r="AA155" s="14"/>
      <c r="AB155" s="14"/>
    </row>
    <row r="156" spans="2:30" hidden="1" x14ac:dyDescent="0.2">
      <c r="B156" s="25" t="s">
        <v>138</v>
      </c>
      <c r="C156" s="70"/>
      <c r="D156" s="70">
        <v>-3414.8139999999999</v>
      </c>
      <c r="E156" s="8">
        <v>-2100.7240000000002</v>
      </c>
      <c r="F156" s="1">
        <v>-1327</v>
      </c>
      <c r="G156" s="1">
        <v>-3157</v>
      </c>
      <c r="H156" s="1">
        <v>-6482</v>
      </c>
      <c r="I156" s="24">
        <f>I3*I212</f>
        <v>-9016.3102123082026</v>
      </c>
      <c r="J156" s="24">
        <f>J3*J212</f>
        <v>-13299.868883397701</v>
      </c>
      <c r="K156" s="24">
        <f>K3*K212</f>
        <v>-18080.637716728976</v>
      </c>
      <c r="L156" s="24">
        <f>L3*L212</f>
        <v>-20951.063676852551</v>
      </c>
      <c r="M156" s="24">
        <f>M3*M212</f>
        <v>-24216.417458539072</v>
      </c>
      <c r="AC156" s="10"/>
      <c r="AD156" s="10"/>
    </row>
    <row r="157" spans="2:30" ht="17" hidden="1" thickBot="1" x14ac:dyDescent="0.25">
      <c r="B157" s="25" t="s">
        <v>139</v>
      </c>
      <c r="C157" s="116">
        <v>-159.66900000000001</v>
      </c>
      <c r="D157" s="116">
        <v>-666.54</v>
      </c>
      <c r="E157" s="29">
        <v>-218.792</v>
      </c>
      <c r="F157" s="29">
        <v>-105</v>
      </c>
      <c r="G157" s="29">
        <v>-75</v>
      </c>
      <c r="H157" s="29">
        <v>-32</v>
      </c>
      <c r="I157" s="117">
        <f>H56-I56</f>
        <v>-8601.5808010812107</v>
      </c>
      <c r="J157" s="117">
        <f>I56-J56</f>
        <v>-6825.4186374788587</v>
      </c>
      <c r="K157" s="117">
        <f>J56-K56</f>
        <v>-7617.6728748290698</v>
      </c>
      <c r="L157" s="117">
        <f>K56-L56</f>
        <v>-4573.7342126208132</v>
      </c>
      <c r="M157" s="117">
        <f>L56-M56</f>
        <v>-5203.0118578524198</v>
      </c>
    </row>
    <row r="158" spans="2:30" hidden="1" x14ac:dyDescent="0.2">
      <c r="B158" s="113" t="s">
        <v>140</v>
      </c>
      <c r="C158" s="70"/>
      <c r="D158" s="70"/>
      <c r="E158" s="8"/>
      <c r="F158" s="1"/>
      <c r="G158" s="1"/>
      <c r="H158" s="1">
        <v>-1500</v>
      </c>
      <c r="I158" s="24"/>
      <c r="J158" s="24"/>
      <c r="K158" s="24"/>
      <c r="L158" s="24"/>
      <c r="M158" s="24"/>
    </row>
    <row r="159" spans="2:30" hidden="1" x14ac:dyDescent="0.2">
      <c r="B159" s="113" t="s">
        <v>141</v>
      </c>
      <c r="C159" s="70"/>
      <c r="D159" s="70"/>
      <c r="E159" s="8"/>
      <c r="F159" s="1"/>
      <c r="G159" s="1"/>
      <c r="H159" s="1">
        <v>272</v>
      </c>
      <c r="I159" s="24"/>
      <c r="J159" s="24"/>
      <c r="K159" s="24"/>
      <c r="L159" s="24"/>
      <c r="M159" s="24"/>
    </row>
    <row r="160" spans="2:30" x14ac:dyDescent="0.2">
      <c r="B160" s="113" t="s">
        <v>142</v>
      </c>
      <c r="C160" s="70"/>
      <c r="D160" s="70"/>
      <c r="E160" s="8"/>
      <c r="F160" s="1"/>
      <c r="G160" s="1"/>
      <c r="H160" s="1">
        <v>-132</v>
      </c>
      <c r="I160" s="24"/>
      <c r="J160" s="24"/>
      <c r="K160" s="24"/>
      <c r="L160" s="24"/>
      <c r="M160" s="24"/>
    </row>
    <row r="161" spans="2:13" x14ac:dyDescent="0.2">
      <c r="B161" s="113" t="s">
        <v>143</v>
      </c>
      <c r="C161" s="70"/>
      <c r="D161" s="70"/>
      <c r="E161" s="8"/>
      <c r="F161" s="1">
        <v>46</v>
      </c>
      <c r="G161" s="1">
        <v>123</v>
      </c>
      <c r="H161" s="1">
        <v>6</v>
      </c>
      <c r="I161" s="24"/>
      <c r="J161" s="24"/>
      <c r="K161" s="24"/>
      <c r="L161" s="24"/>
      <c r="M161" s="24"/>
    </row>
    <row r="162" spans="2:13" x14ac:dyDescent="0.2">
      <c r="B162" s="113" t="s">
        <v>144</v>
      </c>
      <c r="C162" s="70"/>
      <c r="D162" s="70"/>
      <c r="E162" s="8"/>
      <c r="F162" s="1">
        <v>-5</v>
      </c>
      <c r="G162" s="1">
        <v>-10</v>
      </c>
      <c r="H162" s="1"/>
      <c r="I162" s="24"/>
      <c r="J162" s="24"/>
      <c r="K162" s="24"/>
      <c r="L162" s="24"/>
      <c r="M162" s="24"/>
    </row>
    <row r="163" spans="2:13" ht="17" thickBot="1" x14ac:dyDescent="0.25">
      <c r="B163" s="113" t="s">
        <v>145</v>
      </c>
      <c r="C163" s="116">
        <v>342.71899999999999</v>
      </c>
      <c r="D163" s="116">
        <v>-114.523</v>
      </c>
      <c r="E163" s="29">
        <v>-17.911999999999999</v>
      </c>
      <c r="F163" s="29">
        <v>-45</v>
      </c>
      <c r="G163" s="29">
        <v>-13</v>
      </c>
      <c r="H163" s="29"/>
      <c r="I163" s="117"/>
      <c r="J163" s="117"/>
      <c r="K163" s="117"/>
      <c r="L163" s="117"/>
      <c r="M163" s="117"/>
    </row>
    <row r="164" spans="2:13" ht="17" thickTop="1" x14ac:dyDescent="0.2">
      <c r="B164" s="119" t="s">
        <v>146</v>
      </c>
      <c r="C164" s="65">
        <v>-1081.085</v>
      </c>
      <c r="D164" s="65">
        <v>-4195.8769999999995</v>
      </c>
      <c r="E164" s="66">
        <v>-2337.4279999999999</v>
      </c>
      <c r="F164" s="67">
        <v>-1436</v>
      </c>
      <c r="G164" s="67">
        <v>-3132</v>
      </c>
      <c r="H164" s="67">
        <v>-7868</v>
      </c>
      <c r="I164" s="24">
        <f>SUM(I156:I157)</f>
        <v>-17617.891013389413</v>
      </c>
      <c r="J164" s="24">
        <f t="shared" ref="J164:M164" si="103">SUM(J156:J157)</f>
        <v>-20125.287520876562</v>
      </c>
      <c r="K164" s="24">
        <f t="shared" si="103"/>
        <v>-25698.310591558045</v>
      </c>
      <c r="L164" s="24">
        <f t="shared" si="103"/>
        <v>-25524.797889473364</v>
      </c>
      <c r="M164" s="24">
        <f t="shared" si="103"/>
        <v>-29419.429316391492</v>
      </c>
    </row>
    <row r="165" spans="2:13" x14ac:dyDescent="0.2">
      <c r="B165" s="118"/>
      <c r="C165" s="65"/>
      <c r="D165" s="65"/>
      <c r="E165" s="66"/>
      <c r="F165" s="67"/>
      <c r="G165" s="67"/>
      <c r="H165" s="67"/>
      <c r="I165" s="24"/>
      <c r="J165" s="24"/>
      <c r="K165" s="24"/>
      <c r="L165" s="24"/>
      <c r="M165" s="24"/>
    </row>
    <row r="166" spans="2:13" hidden="1" x14ac:dyDescent="0.2">
      <c r="B166" s="13" t="s">
        <v>147</v>
      </c>
      <c r="C166" s="70"/>
      <c r="D166" s="70"/>
      <c r="E166" s="8"/>
      <c r="F166" s="1"/>
      <c r="G166" s="1"/>
      <c r="H166" s="1"/>
      <c r="I166" s="24"/>
      <c r="J166" s="24"/>
      <c r="K166" s="24"/>
      <c r="L166" s="24"/>
      <c r="M166" s="24"/>
    </row>
    <row r="167" spans="2:13" hidden="1" x14ac:dyDescent="0.2">
      <c r="B167" s="25" t="s">
        <v>233</v>
      </c>
      <c r="C167" s="70"/>
      <c r="D167" s="70"/>
      <c r="E167" s="1">
        <f t="shared" ref="E167:M167" si="104">E74-D74</f>
        <v>1771.15</v>
      </c>
      <c r="F167" s="1">
        <f t="shared" si="104"/>
        <v>-782.69900000000007</v>
      </c>
      <c r="G167" s="1">
        <f t="shared" si="104"/>
        <v>347</v>
      </c>
      <c r="H167" s="1">
        <f t="shared" si="104"/>
        <v>-543</v>
      </c>
      <c r="I167" s="1">
        <f t="shared" si="104"/>
        <v>1270.0200228588078</v>
      </c>
      <c r="J167" s="1">
        <f t="shared" si="104"/>
        <v>1358.2917758327808</v>
      </c>
      <c r="K167" s="1">
        <f t="shared" si="104"/>
        <v>1515.9542537139841</v>
      </c>
      <c r="L167" s="1">
        <f t="shared" si="104"/>
        <v>910.19553463501597</v>
      </c>
      <c r="M167" s="1">
        <f t="shared" si="104"/>
        <v>1035.4248715638987</v>
      </c>
    </row>
    <row r="168" spans="2:13" hidden="1" x14ac:dyDescent="0.2">
      <c r="B168" s="25" t="s">
        <v>234</v>
      </c>
      <c r="C168" s="70"/>
      <c r="D168" s="70"/>
      <c r="E168" s="1">
        <f t="shared" ref="E168:M168" si="105">(E80-D80)+(E77-D77)</f>
        <v>252.78600000000051</v>
      </c>
      <c r="F168" s="1">
        <f t="shared" si="105"/>
        <v>2174.9249999999997</v>
      </c>
      <c r="G168" s="1">
        <f t="shared" si="105"/>
        <v>-1403</v>
      </c>
      <c r="H168" s="1">
        <f t="shared" si="105"/>
        <v>-4095</v>
      </c>
      <c r="I168" s="1">
        <f t="shared" si="105"/>
        <v>7026.271882285575</v>
      </c>
      <c r="J168" s="1">
        <f t="shared" si="105"/>
        <v>7514.6274394877128</v>
      </c>
      <c r="K168" s="1">
        <f t="shared" si="105"/>
        <v>8386.8809593452734</v>
      </c>
      <c r="L168" s="1">
        <f t="shared" si="105"/>
        <v>5035.5751699033499</v>
      </c>
      <c r="M168" s="1">
        <f t="shared" si="105"/>
        <v>5728.3952460152468</v>
      </c>
    </row>
    <row r="169" spans="2:13" ht="17" hidden="1" thickBot="1" x14ac:dyDescent="0.25">
      <c r="B169" s="25" t="s">
        <v>235</v>
      </c>
      <c r="C169" s="70"/>
      <c r="D169" s="70"/>
      <c r="E169" s="29"/>
      <c r="F169" s="29"/>
      <c r="G169" s="29"/>
      <c r="H169" s="29"/>
      <c r="I169" s="117"/>
      <c r="J169" s="117"/>
      <c r="K169" s="117"/>
      <c r="L169" s="117"/>
      <c r="M169" s="117"/>
    </row>
    <row r="170" spans="2:13" hidden="1" x14ac:dyDescent="0.2">
      <c r="B170" s="119" t="s">
        <v>162</v>
      </c>
      <c r="C170" s="70"/>
      <c r="D170" s="70"/>
      <c r="E170" s="66">
        <f>SUM(E167:E169)</f>
        <v>2023.9360000000006</v>
      </c>
      <c r="F170" s="66">
        <f t="shared" ref="F170:M170" si="106">SUM(F167:F169)</f>
        <v>1392.2259999999997</v>
      </c>
      <c r="G170" s="66">
        <f t="shared" si="106"/>
        <v>-1056</v>
      </c>
      <c r="H170" s="66">
        <f t="shared" si="106"/>
        <v>-4638</v>
      </c>
      <c r="I170" s="66">
        <f t="shared" si="106"/>
        <v>8296.2919051443823</v>
      </c>
      <c r="J170" s="66">
        <f t="shared" si="106"/>
        <v>8872.9192153204931</v>
      </c>
      <c r="K170" s="66">
        <f t="shared" si="106"/>
        <v>9902.8352130592575</v>
      </c>
      <c r="L170" s="66">
        <f t="shared" si="106"/>
        <v>5945.7707045383659</v>
      </c>
      <c r="M170" s="66">
        <f t="shared" si="106"/>
        <v>6763.8201175791455</v>
      </c>
    </row>
    <row r="171" spans="2:13" hidden="1" x14ac:dyDescent="0.2">
      <c r="C171" s="70"/>
      <c r="D171" s="70"/>
      <c r="E171" s="8"/>
      <c r="F171" s="1"/>
      <c r="G171" s="1"/>
      <c r="H171" s="1"/>
      <c r="I171" s="24"/>
      <c r="J171" s="24"/>
      <c r="K171" s="24"/>
      <c r="L171" s="24"/>
      <c r="M171" s="24"/>
    </row>
    <row r="172" spans="2:13" x14ac:dyDescent="0.2">
      <c r="B172" s="14" t="s">
        <v>237</v>
      </c>
      <c r="C172" s="70"/>
      <c r="D172" s="70"/>
      <c r="E172" s="8"/>
      <c r="F172" s="1"/>
      <c r="G172" s="1"/>
      <c r="H172" s="1"/>
      <c r="I172" s="24"/>
      <c r="J172" s="24"/>
      <c r="K172" s="24"/>
      <c r="L172" s="24"/>
      <c r="M172" s="24"/>
    </row>
    <row r="173" spans="2:13" x14ac:dyDescent="0.2">
      <c r="B173" s="113" t="s">
        <v>148</v>
      </c>
      <c r="C173" s="70">
        <v>1701.7339999999999</v>
      </c>
      <c r="D173" s="70">
        <v>400.17500000000001</v>
      </c>
      <c r="E173" s="8"/>
      <c r="F173" s="1">
        <v>848</v>
      </c>
      <c r="G173" s="1">
        <v>12269</v>
      </c>
      <c r="H173" s="1"/>
      <c r="I173" s="24"/>
      <c r="J173" s="24"/>
      <c r="K173" s="24"/>
      <c r="L173" s="24"/>
      <c r="M173" s="24"/>
    </row>
    <row r="174" spans="2:13" x14ac:dyDescent="0.2">
      <c r="B174" s="113" t="s">
        <v>149</v>
      </c>
      <c r="C174" s="70">
        <v>2852.9639999999999</v>
      </c>
      <c r="D174" s="70">
        <v>7138.0550000000003</v>
      </c>
      <c r="E174" s="8">
        <v>6176.1730000000007</v>
      </c>
      <c r="F174" s="1">
        <v>10669</v>
      </c>
      <c r="G174" s="1">
        <v>9713</v>
      </c>
      <c r="H174" s="1">
        <v>8883</v>
      </c>
      <c r="I174" s="24">
        <f>(I74+I77+I80)*I214</f>
        <v>13486.027504310019</v>
      </c>
      <c r="J174" s="24">
        <f>(J74+J77+J80)*J214</f>
        <v>19893.104090448225</v>
      </c>
      <c r="K174" s="24">
        <f>(K74+K77+K80)*K214</f>
        <v>27043.876242236056</v>
      </c>
      <c r="L174" s="24">
        <f>(L74+L77+L80)*L214</f>
        <v>31337.278147870133</v>
      </c>
      <c r="M174" s="24">
        <f>(M74+M77+M80)*M214</f>
        <v>36221.388152316569</v>
      </c>
    </row>
    <row r="175" spans="2:13" hidden="1" x14ac:dyDescent="0.2">
      <c r="B175" s="113" t="s">
        <v>157</v>
      </c>
      <c r="C175" s="70"/>
      <c r="D175" s="70">
        <v>287.21300000000002</v>
      </c>
      <c r="E175" s="8"/>
      <c r="F175" s="1">
        <v>174</v>
      </c>
      <c r="G175" s="1"/>
      <c r="H175" s="1"/>
      <c r="I175" s="24"/>
      <c r="J175" s="24"/>
      <c r="K175" s="24"/>
      <c r="L175" s="24"/>
      <c r="M175" s="24"/>
    </row>
    <row r="176" spans="2:13" hidden="1" x14ac:dyDescent="0.2">
      <c r="B176" s="113" t="s">
        <v>158</v>
      </c>
      <c r="C176" s="70"/>
      <c r="D176" s="70">
        <v>52.883000000000003</v>
      </c>
      <c r="E176" s="8"/>
      <c r="F176" s="1">
        <v>279</v>
      </c>
      <c r="G176" s="1">
        <v>24</v>
      </c>
      <c r="H176" s="1">
        <v>2</v>
      </c>
      <c r="I176" s="24"/>
      <c r="J176" s="24"/>
      <c r="K176" s="24"/>
      <c r="L176" s="24"/>
      <c r="M176" s="24"/>
    </row>
    <row r="177" spans="2:13" hidden="1" x14ac:dyDescent="0.2">
      <c r="B177" s="113" t="s">
        <v>153</v>
      </c>
      <c r="C177" s="70">
        <v>163.81700000000001</v>
      </c>
      <c r="D177" s="70">
        <v>259.11599999999999</v>
      </c>
      <c r="E177" s="8">
        <v>295.72199999999998</v>
      </c>
      <c r="F177" s="1">
        <v>263</v>
      </c>
      <c r="G177" s="1">
        <v>417</v>
      </c>
      <c r="H177" s="1">
        <v>707</v>
      </c>
      <c r="I177" s="24"/>
      <c r="J177" s="24"/>
      <c r="K177" s="24"/>
      <c r="L177" s="24"/>
      <c r="M177" s="24"/>
    </row>
    <row r="178" spans="2:13" hidden="1" x14ac:dyDescent="0.2">
      <c r="B178" s="113" t="s">
        <v>158</v>
      </c>
      <c r="C178" s="70">
        <v>201.52699999999999</v>
      </c>
      <c r="D178" s="70">
        <v>789.70399999999995</v>
      </c>
      <c r="E178" s="8">
        <v>437.13400000000001</v>
      </c>
      <c r="F178" s="1"/>
      <c r="G178" s="1"/>
      <c r="H178" s="1"/>
      <c r="I178" s="24"/>
      <c r="J178" s="24"/>
      <c r="K178" s="24"/>
      <c r="L178" s="24"/>
      <c r="M178" s="24"/>
    </row>
    <row r="179" spans="2:13" hidden="1" x14ac:dyDescent="0.2">
      <c r="B179" s="47" t="s">
        <v>236</v>
      </c>
      <c r="C179" s="70"/>
      <c r="D179" s="70"/>
      <c r="E179" s="8"/>
      <c r="F179" s="1"/>
      <c r="G179" s="1"/>
      <c r="H179" s="1"/>
      <c r="I179" s="24"/>
      <c r="J179" s="24"/>
      <c r="K179" s="24"/>
      <c r="L179" s="24"/>
      <c r="M179" s="24"/>
    </row>
    <row r="180" spans="2:13" x14ac:dyDescent="0.2">
      <c r="B180" s="113" t="s">
        <v>150</v>
      </c>
      <c r="C180" s="70">
        <v>-1857.5939999999998</v>
      </c>
      <c r="D180" s="70">
        <v>-3995.4839999999995</v>
      </c>
      <c r="E180" s="8">
        <v>-5247.0569999999998</v>
      </c>
      <c r="F180" s="1">
        <v>-9161</v>
      </c>
      <c r="G180" s="1">
        <v>-11623</v>
      </c>
      <c r="H180" s="1">
        <v>-14167</v>
      </c>
      <c r="I180" s="24">
        <f>(I$80+I$83+I$86)*I215</f>
        <v>-20518.874362989747</v>
      </c>
      <c r="J180" s="24">
        <f>(J$80+J$83+J$86)*J215</f>
        <v>-22237.791192178953</v>
      </c>
      <c r="K180" s="24">
        <f>(K$80+K$83+K$86)*K215</f>
        <v>-24156.229723099375</v>
      </c>
      <c r="L180" s="24">
        <f>(L$80+L$83+L$86)*L215</f>
        <v>-25308.081225239082</v>
      </c>
      <c r="M180" s="24">
        <f>(M$80+M$83+M$86)*M215</f>
        <v>-26618.410322977335</v>
      </c>
    </row>
    <row r="181" spans="2:13" x14ac:dyDescent="0.2">
      <c r="B181" s="113" t="s">
        <v>151</v>
      </c>
      <c r="C181" s="70"/>
      <c r="D181" s="70">
        <v>-165</v>
      </c>
      <c r="E181" s="8">
        <v>-100</v>
      </c>
      <c r="F181" s="1"/>
      <c r="G181" s="1"/>
      <c r="H181" s="1"/>
      <c r="I181" s="24"/>
      <c r="J181" s="24"/>
      <c r="K181" s="24"/>
      <c r="L181" s="24"/>
      <c r="M181" s="24"/>
    </row>
    <row r="182" spans="2:13" x14ac:dyDescent="0.2">
      <c r="B182" s="113" t="s">
        <v>152</v>
      </c>
      <c r="C182" s="70">
        <v>769.70900000000006</v>
      </c>
      <c r="D182" s="70">
        <v>511.32100000000003</v>
      </c>
      <c r="E182" s="8">
        <v>-559.16700000000003</v>
      </c>
      <c r="F182" s="1">
        <v>-389</v>
      </c>
      <c r="G182" s="1">
        <v>-240</v>
      </c>
      <c r="H182" s="1">
        <v>-9</v>
      </c>
      <c r="I182" s="24">
        <f t="shared" ref="I182:M183" si="107">(I$74+I$77+I$80+I$55+I$58)*I216</f>
        <v>-200.37788800285779</v>
      </c>
      <c r="J182" s="24">
        <f t="shared" si="107"/>
        <v>-295.57541553219363</v>
      </c>
      <c r="K182" s="24">
        <f t="shared" si="107"/>
        <v>-401.82290916269142</v>
      </c>
      <c r="L182" s="24">
        <f t="shared" si="107"/>
        <v>-465.61506781900857</v>
      </c>
      <c r="M182" s="24">
        <f t="shared" si="107"/>
        <v>-538.18407653205111</v>
      </c>
    </row>
    <row r="183" spans="2:13" x14ac:dyDescent="0.2">
      <c r="B183" s="113" t="s">
        <v>154</v>
      </c>
      <c r="C183" s="70">
        <v>-46.888999999999996</v>
      </c>
      <c r="D183" s="70">
        <v>-103.304</v>
      </c>
      <c r="E183" s="8">
        <v>-180.80500000000001</v>
      </c>
      <c r="F183" s="1">
        <v>-321</v>
      </c>
      <c r="G183" s="1">
        <v>-338</v>
      </c>
      <c r="H183" s="1">
        <v>-439</v>
      </c>
      <c r="I183" s="24">
        <f t="shared" si="107"/>
        <v>-550.80756338632307</v>
      </c>
      <c r="J183" s="24">
        <f t="shared" si="107"/>
        <v>-812.49071965398491</v>
      </c>
      <c r="K183" s="24">
        <f t="shared" si="107"/>
        <v>-1104.5485093921607</v>
      </c>
      <c r="L183" s="24">
        <f t="shared" si="107"/>
        <v>-1279.9032045775828</v>
      </c>
      <c r="M183" s="24">
        <f t="shared" si="107"/>
        <v>-1479.3840917402508</v>
      </c>
    </row>
    <row r="184" spans="2:13" x14ac:dyDescent="0.2">
      <c r="B184" s="113" t="s">
        <v>159</v>
      </c>
      <c r="C184" s="70"/>
      <c r="D184" s="70">
        <v>-230.38499999999999</v>
      </c>
      <c r="E184" s="8"/>
      <c r="F184" s="1"/>
      <c r="G184" s="1"/>
      <c r="H184" s="1"/>
      <c r="I184" s="24"/>
      <c r="J184" s="24"/>
      <c r="K184" s="24"/>
      <c r="L184" s="24"/>
      <c r="M184" s="24"/>
    </row>
    <row r="185" spans="2:13" x14ac:dyDescent="0.2">
      <c r="B185" s="182" t="s">
        <v>160</v>
      </c>
      <c r="C185" s="70">
        <v>-21.25</v>
      </c>
      <c r="D185" s="70">
        <v>-261.84399999999999</v>
      </c>
      <c r="E185" s="8">
        <v>-227.304</v>
      </c>
      <c r="F185" s="1">
        <v>-311</v>
      </c>
      <c r="G185" s="1">
        <v>-208</v>
      </c>
      <c r="H185" s="1">
        <v>-161</v>
      </c>
      <c r="I185" s="24">
        <f t="shared" ref="I185:M186" si="108">I$16*I218</f>
        <v>-1132.279019720361</v>
      </c>
      <c r="J185" s="24">
        <f t="shared" si="108"/>
        <v>-1672.5948944614661</v>
      </c>
      <c r="K185" s="24">
        <f t="shared" si="108"/>
        <v>-2273.3684541367093</v>
      </c>
      <c r="L185" s="24">
        <f t="shared" si="108"/>
        <v>-2648.3526240067208</v>
      </c>
      <c r="M185" s="24">
        <f t="shared" si="108"/>
        <v>-3048.1387262739004</v>
      </c>
    </row>
    <row r="186" spans="2:13" x14ac:dyDescent="0.2">
      <c r="B186" s="182" t="s">
        <v>161</v>
      </c>
      <c r="C186" s="70"/>
      <c r="D186" s="70"/>
      <c r="E186" s="8">
        <v>-5.9569999999999999</v>
      </c>
      <c r="F186" s="8">
        <v>-9</v>
      </c>
      <c r="G186" s="8">
        <v>-35</v>
      </c>
      <c r="H186" s="8">
        <v>-10</v>
      </c>
      <c r="I186" s="24">
        <f t="shared" si="108"/>
        <v>-76.242595654207094</v>
      </c>
      <c r="J186" s="24">
        <f t="shared" si="108"/>
        <v>-112.62504560334528</v>
      </c>
      <c r="K186" s="24">
        <f t="shared" si="108"/>
        <v>-153.0784451561963</v>
      </c>
      <c r="L186" s="24">
        <f t="shared" si="108"/>
        <v>-178.32819892023636</v>
      </c>
      <c r="M186" s="24">
        <f t="shared" si="108"/>
        <v>-205.24800367901031</v>
      </c>
    </row>
    <row r="187" spans="2:13" x14ac:dyDescent="0.2">
      <c r="B187" s="88" t="s">
        <v>238</v>
      </c>
      <c r="C187" s="87"/>
    </row>
    <row r="188" spans="2:13" x14ac:dyDescent="0.2">
      <c r="B188" s="113" t="s">
        <v>155</v>
      </c>
      <c r="C188" s="70">
        <v>-20.041999999999998</v>
      </c>
      <c r="D188" s="70">
        <v>-63.111000000000004</v>
      </c>
      <c r="E188" s="8">
        <v>-14.972999999999999</v>
      </c>
      <c r="F188" s="1">
        <v>-37</v>
      </c>
      <c r="G188" s="1">
        <v>-6</v>
      </c>
      <c r="H188" s="1">
        <v>-9</v>
      </c>
      <c r="I188" s="24">
        <f>(I$74+I$77+I$80)*I220</f>
        <v>-21.42293202823911</v>
      </c>
      <c r="J188" s="24">
        <f>(J$74+J$77+J$80)*J220</f>
        <v>-31.60075245465411</v>
      </c>
      <c r="K188" s="24">
        <f>(K$74+K$77+K$80)*K220</f>
        <v>-42.959954095627886</v>
      </c>
      <c r="L188" s="24">
        <f>(L$74+L$77+L$80)*L220</f>
        <v>-49.780143151665023</v>
      </c>
      <c r="M188" s="24">
        <f>(M$74+M$77+M$80)*M220</f>
        <v>-57.538688550616584</v>
      </c>
    </row>
    <row r="189" spans="2:13" ht="17" thickBot="1" x14ac:dyDescent="0.25">
      <c r="B189" s="113" t="s">
        <v>156</v>
      </c>
      <c r="C189" s="116"/>
      <c r="D189" s="116">
        <v>-204.102</v>
      </c>
      <c r="E189" s="29"/>
      <c r="F189" s="29">
        <v>-476</v>
      </c>
      <c r="G189" s="29"/>
      <c r="H189" s="29"/>
      <c r="I189" s="117"/>
      <c r="J189" s="117"/>
      <c r="K189" s="117"/>
      <c r="L189" s="117"/>
      <c r="M189" s="117"/>
    </row>
    <row r="190" spans="2:13" ht="17" thickTop="1" x14ac:dyDescent="0.2">
      <c r="B190" s="119" t="s">
        <v>162</v>
      </c>
      <c r="C190" s="65">
        <v>3743.9760000000001</v>
      </c>
      <c r="D190" s="65">
        <v>4414.8639999999996</v>
      </c>
      <c r="E190" s="66">
        <v>573.755</v>
      </c>
      <c r="F190" s="66">
        <v>1529</v>
      </c>
      <c r="G190" s="66">
        <v>9973</v>
      </c>
      <c r="H190" s="66">
        <v>-5203</v>
      </c>
      <c r="I190" s="16">
        <f>SUM(I173:I189)</f>
        <v>-9013.9768574717145</v>
      </c>
      <c r="J190" s="16">
        <f t="shared" ref="J190:M190" si="109">SUM(J173:J189)</f>
        <v>-5269.5739294363711</v>
      </c>
      <c r="K190" s="16">
        <f t="shared" si="109"/>
        <v>-1088.1317528067048</v>
      </c>
      <c r="L190" s="16">
        <f t="shared" si="109"/>
        <v>1407.2176841558362</v>
      </c>
      <c r="M190" s="16">
        <f t="shared" si="109"/>
        <v>4274.4842425634051</v>
      </c>
    </row>
    <row r="191" spans="2:13" x14ac:dyDescent="0.2">
      <c r="B191" s="113" t="s">
        <v>163</v>
      </c>
      <c r="C191" s="70">
        <v>-6.5529999999999999</v>
      </c>
      <c r="D191" s="70">
        <v>39.725999999999999</v>
      </c>
      <c r="E191" s="8">
        <v>-22.7</v>
      </c>
      <c r="F191" s="1">
        <v>8</v>
      </c>
      <c r="G191" s="1">
        <v>334</v>
      </c>
      <c r="H191" s="1">
        <v>-183</v>
      </c>
      <c r="I191" s="24"/>
      <c r="J191" s="24"/>
      <c r="K191" s="24"/>
      <c r="L191" s="24"/>
      <c r="M191" s="24"/>
    </row>
    <row r="192" spans="2:13" hidden="1" x14ac:dyDescent="0.2">
      <c r="B192" s="113" t="s">
        <v>164</v>
      </c>
      <c r="C192" s="70">
        <v>2532.509</v>
      </c>
      <c r="D192" s="70">
        <v>198.059</v>
      </c>
      <c r="E192" s="8">
        <v>311.42899999999997</v>
      </c>
      <c r="F192" s="1">
        <v>2506</v>
      </c>
      <c r="G192" s="1">
        <v>13118</v>
      </c>
      <c r="H192" s="1">
        <v>-1757</v>
      </c>
      <c r="I192" s="24"/>
      <c r="J192" s="24"/>
      <c r="K192" s="24"/>
      <c r="L192" s="24"/>
      <c r="M192" s="24"/>
    </row>
    <row r="193" spans="2:27" x14ac:dyDescent="0.2">
      <c r="B193" s="113" t="s">
        <v>165</v>
      </c>
      <c r="C193" s="70">
        <v>1234.3910000000001</v>
      </c>
      <c r="D193" s="70">
        <v>3766.9</v>
      </c>
      <c r="E193" s="8">
        <v>3964.9589999999998</v>
      </c>
      <c r="F193" s="1">
        <v>4277</v>
      </c>
      <c r="G193" s="1">
        <v>6783</v>
      </c>
      <c r="H193" s="1">
        <v>19901</v>
      </c>
      <c r="I193" s="24"/>
      <c r="J193" s="24"/>
      <c r="K193" s="24"/>
      <c r="L193" s="24"/>
      <c r="M193" s="24"/>
    </row>
    <row r="194" spans="2:27" x14ac:dyDescent="0.2">
      <c r="B194" s="113" t="s">
        <v>166</v>
      </c>
      <c r="C194" s="70">
        <v>3766.9</v>
      </c>
      <c r="D194" s="70">
        <v>3964.9589999999998</v>
      </c>
      <c r="E194" s="8">
        <v>4276.3879999999999</v>
      </c>
      <c r="F194" s="1">
        <v>6783</v>
      </c>
      <c r="G194" s="1">
        <v>19901</v>
      </c>
      <c r="H194" s="1">
        <v>18144</v>
      </c>
      <c r="I194" s="24"/>
      <c r="J194" s="24"/>
      <c r="K194" s="24"/>
      <c r="L194" s="24"/>
      <c r="M194" s="24"/>
    </row>
    <row r="195" spans="2:27" x14ac:dyDescent="0.2">
      <c r="B195" s="113"/>
      <c r="C195" s="70"/>
      <c r="D195" s="70"/>
      <c r="E195" s="8"/>
      <c r="F195" s="1"/>
      <c r="G195" s="1"/>
      <c r="H195" s="1"/>
      <c r="I195" s="24"/>
      <c r="J195" s="24"/>
      <c r="K195" s="24"/>
      <c r="L195" s="24"/>
      <c r="M195" s="24"/>
    </row>
    <row r="196" spans="2:27" x14ac:dyDescent="0.2">
      <c r="B196" s="14" t="s">
        <v>167</v>
      </c>
      <c r="C196" s="70"/>
      <c r="D196" s="70"/>
      <c r="E196" s="8"/>
      <c r="F196" s="1"/>
      <c r="G196" s="1"/>
      <c r="H196" s="1"/>
      <c r="I196" s="24"/>
      <c r="J196" s="24"/>
      <c r="K196" s="24"/>
      <c r="L196" s="24"/>
      <c r="M196" s="24"/>
    </row>
    <row r="197" spans="2:27" ht="15" customHeight="1" x14ac:dyDescent="0.2">
      <c r="B197" s="113" t="s">
        <v>168</v>
      </c>
      <c r="C197" s="70">
        <v>2145.9769999999999</v>
      </c>
      <c r="D197" s="70">
        <v>10.528</v>
      </c>
      <c r="E197" s="8"/>
      <c r="F197" s="1">
        <v>207</v>
      </c>
      <c r="G197" s="1"/>
      <c r="H197" s="1"/>
      <c r="I197" s="24"/>
      <c r="J197" s="24"/>
      <c r="K197" s="24"/>
      <c r="L197" s="24"/>
      <c r="M197" s="24"/>
    </row>
    <row r="198" spans="2:27" x14ac:dyDescent="0.2">
      <c r="B198" s="113" t="s">
        <v>169</v>
      </c>
      <c r="C198" s="70">
        <v>663.77099999999996</v>
      </c>
      <c r="D198" s="70">
        <v>914.10799999999995</v>
      </c>
      <c r="E198" s="8">
        <v>249.14099999999999</v>
      </c>
      <c r="F198" s="1">
        <v>562</v>
      </c>
      <c r="G198" s="1">
        <v>1088</v>
      </c>
      <c r="H198" s="1">
        <v>2251</v>
      </c>
      <c r="I198" s="24"/>
      <c r="J198" s="24"/>
      <c r="K198" s="24"/>
      <c r="L198" s="24"/>
      <c r="M198" s="24"/>
    </row>
    <row r="199" spans="2:27" hidden="1" x14ac:dyDescent="0.2">
      <c r="B199" s="113" t="s">
        <v>170</v>
      </c>
      <c r="C199" s="70">
        <v>307.87900000000002</v>
      </c>
      <c r="D199" s="70">
        <v>313.483</v>
      </c>
      <c r="E199" s="8">
        <v>94.445000000000007</v>
      </c>
      <c r="F199" s="1"/>
      <c r="G199" s="1"/>
      <c r="H199" s="1"/>
      <c r="I199" s="24"/>
      <c r="J199" s="24"/>
      <c r="K199" s="24"/>
      <c r="L199" s="24"/>
      <c r="M199" s="24"/>
    </row>
    <row r="200" spans="2:27" hidden="1" x14ac:dyDescent="0.2">
      <c r="B200" s="113"/>
      <c r="C200" s="70"/>
      <c r="D200" s="70"/>
      <c r="E200" s="8"/>
      <c r="F200" s="1"/>
      <c r="G200" s="1"/>
      <c r="H200" s="1"/>
      <c r="I200" s="24"/>
      <c r="J200" s="24"/>
      <c r="K200" s="24"/>
      <c r="L200" s="24"/>
      <c r="M200" s="24"/>
    </row>
    <row r="201" spans="2:27" hidden="1" x14ac:dyDescent="0.2">
      <c r="B201" s="14" t="s">
        <v>171</v>
      </c>
      <c r="C201" s="70"/>
      <c r="D201" s="70"/>
      <c r="E201" s="8"/>
      <c r="F201" s="1"/>
      <c r="G201" s="1"/>
      <c r="H201" s="1"/>
      <c r="I201" s="24"/>
      <c r="J201" s="24"/>
      <c r="K201" s="24"/>
      <c r="L201" s="24"/>
      <c r="M201" s="24"/>
    </row>
    <row r="202" spans="2:27" hidden="1" x14ac:dyDescent="0.2">
      <c r="B202" s="113" t="s">
        <v>172</v>
      </c>
      <c r="C202" s="70">
        <v>38.692999999999998</v>
      </c>
      <c r="D202" s="70">
        <v>182.571</v>
      </c>
      <c r="E202" s="8">
        <v>380.83600000000001</v>
      </c>
      <c r="F202" s="1">
        <v>455</v>
      </c>
      <c r="G202" s="1">
        <v>444</v>
      </c>
      <c r="H202" s="1">
        <v>266</v>
      </c>
      <c r="I202" s="24"/>
      <c r="J202" s="24"/>
      <c r="K202" s="24"/>
      <c r="L202" s="24"/>
      <c r="M202" s="24"/>
    </row>
    <row r="203" spans="2:27" hidden="1" x14ac:dyDescent="0.2">
      <c r="B203" s="113" t="s">
        <v>173</v>
      </c>
      <c r="C203" s="70">
        <v>16.384999999999998</v>
      </c>
      <c r="D203" s="70">
        <v>65.695000000000007</v>
      </c>
      <c r="E203" s="8">
        <v>35.408999999999999</v>
      </c>
      <c r="F203" s="1">
        <v>54</v>
      </c>
      <c r="G203" s="1">
        <v>115</v>
      </c>
      <c r="H203" s="1">
        <v>561</v>
      </c>
      <c r="I203" s="24"/>
      <c r="J203" s="24"/>
      <c r="K203" s="24"/>
      <c r="L203" s="24"/>
      <c r="M203" s="24"/>
    </row>
    <row r="204" spans="2:27" hidden="1" x14ac:dyDescent="0.2">
      <c r="B204" s="113"/>
      <c r="C204" s="70"/>
      <c r="D204" s="70"/>
      <c r="E204" s="8"/>
      <c r="F204" s="1"/>
      <c r="G204" s="1"/>
      <c r="H204" s="1"/>
      <c r="I204" s="24"/>
      <c r="J204" s="24"/>
      <c r="K204" s="24"/>
      <c r="L204" s="24"/>
      <c r="M204" s="24"/>
    </row>
    <row r="205" spans="2:27" hidden="1" x14ac:dyDescent="0.2">
      <c r="B205" s="119" t="s">
        <v>232</v>
      </c>
      <c r="C205" s="65"/>
      <c r="D205" s="65"/>
      <c r="E205" s="66">
        <f>E190+E153+E164</f>
        <v>334.12900000000036</v>
      </c>
      <c r="F205" s="66">
        <f t="shared" ref="F205:M205" si="110">F190+F153+F164</f>
        <v>2498</v>
      </c>
      <c r="G205" s="66">
        <f t="shared" si="110"/>
        <v>12784</v>
      </c>
      <c r="H205" s="66">
        <f>H190+H153+H164</f>
        <v>-1574</v>
      </c>
      <c r="I205" s="66">
        <f t="shared" si="110"/>
        <v>-8148.5618462408183</v>
      </c>
      <c r="J205" s="66">
        <f t="shared" si="110"/>
        <v>686.09868992610791</v>
      </c>
      <c r="K205" s="66">
        <f>K190+K153+K164</f>
        <v>6801.4150509643187</v>
      </c>
      <c r="L205" s="66">
        <f t="shared" si="110"/>
        <v>10088.301754232289</v>
      </c>
      <c r="M205" s="66">
        <f t="shared" si="110"/>
        <v>14239.615447195509</v>
      </c>
    </row>
    <row r="206" spans="2:27" hidden="1" x14ac:dyDescent="0.2">
      <c r="B206" s="119"/>
      <c r="C206" s="65"/>
      <c r="D206" s="65"/>
      <c r="E206" s="66"/>
      <c r="F206" s="66"/>
      <c r="G206" s="66"/>
      <c r="H206" s="66"/>
      <c r="I206" s="66"/>
      <c r="J206" s="66"/>
      <c r="K206" s="66"/>
      <c r="L206" s="66"/>
      <c r="M206" s="66"/>
    </row>
    <row r="207" spans="2:27" hidden="1" x14ac:dyDescent="0.2">
      <c r="B207" s="113"/>
      <c r="C207" s="70"/>
      <c r="D207" s="70"/>
      <c r="E207" s="8"/>
      <c r="F207" s="1"/>
      <c r="G207" s="1"/>
      <c r="H207" s="66"/>
      <c r="I207" s="66"/>
      <c r="J207" s="24"/>
      <c r="K207" s="24"/>
      <c r="L207" s="24"/>
      <c r="M207" s="24"/>
    </row>
    <row r="208" spans="2:27" hidden="1" x14ac:dyDescent="0.2">
      <c r="B208" s="84" t="s">
        <v>53</v>
      </c>
      <c r="C208" s="10"/>
      <c r="D208" s="28"/>
      <c r="E208" s="28"/>
      <c r="F208" s="10"/>
      <c r="G208" s="10"/>
      <c r="H208" s="10"/>
      <c r="I208" s="10"/>
      <c r="J208" s="10"/>
      <c r="K208" s="10"/>
      <c r="L208" s="10"/>
      <c r="M208" s="10"/>
      <c r="R208" s="13"/>
      <c r="S208" s="13"/>
      <c r="T208" s="13"/>
      <c r="U208" s="13"/>
      <c r="V208" s="13"/>
      <c r="W208" s="13"/>
      <c r="X208" s="13"/>
      <c r="Y208" s="13"/>
      <c r="Z208" s="13"/>
      <c r="AA208" s="13"/>
    </row>
    <row r="209" spans="2:30" hidden="1" x14ac:dyDescent="0.2">
      <c r="B209" s="10" t="s">
        <v>119</v>
      </c>
      <c r="C209" s="10"/>
      <c r="D209" s="28"/>
      <c r="E209" s="28"/>
      <c r="F209" s="10"/>
      <c r="G209" s="10"/>
      <c r="H209" s="10"/>
      <c r="I209" s="10"/>
      <c r="J209" s="10"/>
      <c r="K209" s="10"/>
      <c r="L209" s="10"/>
      <c r="M209" s="10"/>
      <c r="R209" s="13"/>
      <c r="S209" s="13"/>
      <c r="T209" s="13"/>
      <c r="U209" s="13"/>
      <c r="V209" s="13"/>
      <c r="W209" s="13"/>
      <c r="X209" s="13"/>
      <c r="Y209" s="13"/>
      <c r="Z209" s="13"/>
      <c r="AA209" s="13"/>
    </row>
    <row r="210" spans="2:30" hidden="1" x14ac:dyDescent="0.2">
      <c r="B210" s="18" t="s">
        <v>121</v>
      </c>
      <c r="C210" s="55">
        <f>C163/C$9</f>
        <v>0.1512042061292766</v>
      </c>
      <c r="D210" s="56">
        <f>D163/D$9</f>
        <v>-2.9710943339249247E-2</v>
      </c>
      <c r="E210" s="57">
        <f>E120/E$3</f>
        <v>8.858050698588732E-2</v>
      </c>
      <c r="F210" s="57">
        <f>F120/F$3</f>
        <v>8.7639352266254369E-2</v>
      </c>
      <c r="G210" s="57">
        <f>G120/G$3</f>
        <v>7.3630136986301373E-2</v>
      </c>
      <c r="H210" s="57">
        <f>H120/H$3</f>
        <v>5.4084684985972541E-2</v>
      </c>
      <c r="I210" s="107">
        <f>AVERAGE(E210:H210)</f>
        <v>7.5983670306103895E-2</v>
      </c>
      <c r="J210" s="107">
        <f t="shared" ref="J210:M210" si="111">I210</f>
        <v>7.5983670306103895E-2</v>
      </c>
      <c r="K210" s="107">
        <f t="shared" si="111"/>
        <v>7.5983670306103895E-2</v>
      </c>
      <c r="L210" s="107">
        <f t="shared" si="111"/>
        <v>7.5983670306103895E-2</v>
      </c>
      <c r="M210" s="107">
        <f t="shared" si="111"/>
        <v>7.5983670306103895E-2</v>
      </c>
      <c r="AB210" s="13"/>
    </row>
    <row r="211" spans="2:30" hidden="1" x14ac:dyDescent="0.2">
      <c r="B211" s="10" t="s">
        <v>137</v>
      </c>
      <c r="C211" s="115"/>
      <c r="D211" s="115"/>
      <c r="E211" s="110"/>
      <c r="F211" s="111"/>
      <c r="G211" s="111"/>
      <c r="H211" s="111"/>
      <c r="I211" s="10"/>
      <c r="J211" s="10"/>
      <c r="K211" s="10"/>
      <c r="L211" s="10"/>
      <c r="M211" s="10"/>
      <c r="AB211" s="13"/>
    </row>
    <row r="212" spans="2:30" hidden="1" x14ac:dyDescent="0.2">
      <c r="B212" s="120" t="s">
        <v>55</v>
      </c>
      <c r="C212" s="55" t="e">
        <v>#REF!</v>
      </c>
      <c r="D212" s="56" t="e">
        <v>#REF!</v>
      </c>
      <c r="E212" s="57">
        <f>E156/E3</f>
        <v>-9.7884430686947299E-2</v>
      </c>
      <c r="F212" s="57">
        <f>F156/F3</f>
        <v>-5.3991374399869806E-2</v>
      </c>
      <c r="G212" s="57">
        <f>G156/G3</f>
        <v>-0.1001078132927448</v>
      </c>
      <c r="H212" s="57">
        <f>H156/H3</f>
        <v>-0.12043178566783717</v>
      </c>
      <c r="I212" s="107">
        <f>AVERAGE(E212:H212)</f>
        <v>-9.3103851011849773E-2</v>
      </c>
      <c r="J212" s="107">
        <f>I212</f>
        <v>-9.3103851011849773E-2</v>
      </c>
      <c r="K212" s="107">
        <f t="shared" ref="K212:L212" si="112">J212</f>
        <v>-9.3103851011849773E-2</v>
      </c>
      <c r="L212" s="107">
        <f t="shared" si="112"/>
        <v>-9.3103851011849773E-2</v>
      </c>
      <c r="M212" s="107">
        <f>L212</f>
        <v>-9.3103851011849773E-2</v>
      </c>
      <c r="N212" s="13"/>
      <c r="Q212" s="13"/>
    </row>
    <row r="213" spans="2:30" s="13" customFormat="1" x14ac:dyDescent="0.2">
      <c r="B213" s="10" t="s">
        <v>147</v>
      </c>
      <c r="C213" s="55"/>
      <c r="D213" s="56"/>
      <c r="E213" s="57"/>
      <c r="F213" s="58"/>
      <c r="G213" s="58"/>
      <c r="H213" s="58"/>
      <c r="I213" s="86"/>
      <c r="J213" s="86"/>
      <c r="K213" s="86"/>
      <c r="L213" s="86"/>
      <c r="M213" s="86"/>
      <c r="R213" s="14"/>
      <c r="S213" s="14"/>
      <c r="T213" s="14"/>
      <c r="U213" s="14"/>
      <c r="V213" s="14"/>
      <c r="W213" s="14"/>
      <c r="X213" s="14"/>
      <c r="Y213" s="14"/>
      <c r="Z213" s="14"/>
      <c r="AA213" s="14"/>
      <c r="AB213" s="14"/>
      <c r="AC213" s="14"/>
      <c r="AD213" s="14"/>
    </row>
    <row r="214" spans="2:30" s="13" customFormat="1" x14ac:dyDescent="0.2">
      <c r="B214" s="18" t="s">
        <v>149</v>
      </c>
      <c r="C214" s="73"/>
      <c r="D214" s="87"/>
      <c r="E214" s="175">
        <f>E174/(E$74+E$77+E$80)</f>
        <v>0.42066939594629371</v>
      </c>
      <c r="F214" s="175">
        <f>F174/(F$74+F$77+F$80)</f>
        <v>0.66374269005847952</v>
      </c>
      <c r="G214" s="175">
        <f>G174/(G$74+G$77+G$80)</f>
        <v>0.64675722466373686</v>
      </c>
      <c r="H214" s="175">
        <f>H174/(H$74+H$77+H$80)</f>
        <v>0.85578034682080928</v>
      </c>
      <c r="I214" s="107">
        <f>AVERAGE(F214:H214)</f>
        <v>0.72209342051434178</v>
      </c>
      <c r="J214" s="107">
        <f>I214</f>
        <v>0.72209342051434178</v>
      </c>
      <c r="K214" s="107">
        <f t="shared" ref="K214" si="113">J214</f>
        <v>0.72209342051434178</v>
      </c>
      <c r="L214" s="107">
        <f t="shared" ref="L214" si="114">K214</f>
        <v>0.72209342051434178</v>
      </c>
      <c r="M214" s="107">
        <f>L214</f>
        <v>0.72209342051434178</v>
      </c>
      <c r="N214" s="14"/>
      <c r="Q214" s="14"/>
      <c r="R214" s="14"/>
      <c r="S214" s="14"/>
      <c r="T214" s="14"/>
      <c r="U214" s="14"/>
      <c r="V214" s="14"/>
      <c r="W214" s="14"/>
      <c r="X214" s="14"/>
      <c r="Y214" s="14"/>
      <c r="Z214" s="14"/>
      <c r="AA214" s="14"/>
      <c r="AB214" s="14"/>
    </row>
    <row r="215" spans="2:30" x14ac:dyDescent="0.2">
      <c r="B215" s="18" t="s">
        <v>150</v>
      </c>
      <c r="E215" s="175">
        <f>E180/(E$74+E$77+E$80)</f>
        <v>-0.35738576278316225</v>
      </c>
      <c r="F215" s="175">
        <f>F180/(F$74+F$77+F$80)</f>
        <v>-0.56992658952345399</v>
      </c>
      <c r="G215" s="175">
        <f>G180/(G$74+G$77+G$80)</f>
        <v>-0.77393794113730185</v>
      </c>
      <c r="H215" s="175">
        <f>H180/(H$74+H$77+H$80)</f>
        <v>-1.3648362235067437</v>
      </c>
      <c r="I215" s="107">
        <f>AVERAGE(E215:G215)</f>
        <v>-0.56708343114797266</v>
      </c>
      <c r="J215" s="107">
        <f>I215</f>
        <v>-0.56708343114797266</v>
      </c>
      <c r="K215" s="107">
        <f t="shared" ref="K215:K219" si="115">J215</f>
        <v>-0.56708343114797266</v>
      </c>
      <c r="L215" s="107">
        <f t="shared" ref="L215:L219" si="116">K215</f>
        <v>-0.56708343114797266</v>
      </c>
      <c r="M215" s="107">
        <f t="shared" ref="M215:M220" si="117">L215</f>
        <v>-0.56708343114797266</v>
      </c>
      <c r="AC215" s="13"/>
      <c r="AD215" s="13"/>
    </row>
    <row r="216" spans="2:30" x14ac:dyDescent="0.2">
      <c r="B216" s="18" t="s">
        <v>152</v>
      </c>
      <c r="E216" s="175">
        <f t="shared" ref="E216:H217" si="118">E182/(E$74+E$77+E$80+E$55+E$58)</f>
        <v>-3.2787980127153567E-2</v>
      </c>
      <c r="F216" s="175">
        <f t="shared" si="118"/>
        <v>-1.9707178681797458E-2</v>
      </c>
      <c r="G216" s="175">
        <f t="shared" si="118"/>
        <v>-1.2203182996898357E-2</v>
      </c>
      <c r="H216" s="175">
        <f t="shared" si="118"/>
        <v>-5.3232388951321939E-4</v>
      </c>
      <c r="I216" s="107">
        <f>AVERAGE(G216:H216)</f>
        <v>-6.3677534432057883E-3</v>
      </c>
      <c r="J216" s="107">
        <f t="shared" ref="J216:J220" si="119">I216</f>
        <v>-6.3677534432057883E-3</v>
      </c>
      <c r="K216" s="107">
        <f t="shared" si="115"/>
        <v>-6.3677534432057883E-3</v>
      </c>
      <c r="L216" s="107">
        <f t="shared" si="116"/>
        <v>-6.3677534432057883E-3</v>
      </c>
      <c r="M216" s="107">
        <f t="shared" si="117"/>
        <v>-6.3677534432057883E-3</v>
      </c>
    </row>
    <row r="217" spans="2:30" x14ac:dyDescent="0.2">
      <c r="B217" s="18" t="s">
        <v>154</v>
      </c>
      <c r="E217" s="175">
        <f t="shared" si="118"/>
        <v>-1.0601896655006465E-2</v>
      </c>
      <c r="F217" s="175">
        <f t="shared" si="118"/>
        <v>-1.6262221997061656E-2</v>
      </c>
      <c r="G217" s="175">
        <f t="shared" si="118"/>
        <v>-1.7186149387298521E-2</v>
      </c>
      <c r="H217" s="175">
        <f t="shared" si="118"/>
        <v>-2.5965576388478146E-2</v>
      </c>
      <c r="I217" s="107">
        <f t="shared" ref="I217:I219" si="120">AVERAGE(E217:H217)</f>
        <v>-1.7503961106961195E-2</v>
      </c>
      <c r="J217" s="107">
        <f t="shared" si="119"/>
        <v>-1.7503961106961195E-2</v>
      </c>
      <c r="K217" s="107">
        <f t="shared" si="115"/>
        <v>-1.7503961106961195E-2</v>
      </c>
      <c r="L217" s="107">
        <f t="shared" si="116"/>
        <v>-1.7503961106961195E-2</v>
      </c>
      <c r="M217" s="107">
        <f t="shared" si="117"/>
        <v>-1.7503961106961195E-2</v>
      </c>
    </row>
    <row r="218" spans="2:30" x14ac:dyDescent="0.2">
      <c r="B218" s="18" t="s">
        <v>160</v>
      </c>
      <c r="E218" s="175">
        <f>-E185/E16</f>
        <v>-0.21391666713721857</v>
      </c>
      <c r="F218" s="175">
        <f>-F185/F16</f>
        <v>-0.40129032258064518</v>
      </c>
      <c r="G218" s="175">
        <f>G185/G16</f>
        <v>-0.24129930394431554</v>
      </c>
      <c r="H218" s="175">
        <f>H185/H16</f>
        <v>-2.8525868178596741E-2</v>
      </c>
      <c r="I218" s="107">
        <f>AVERAGE(E218:H218)</f>
        <v>-0.22125804046019401</v>
      </c>
      <c r="J218" s="107">
        <f t="shared" si="119"/>
        <v>-0.22125804046019401</v>
      </c>
      <c r="K218" s="107">
        <f t="shared" si="115"/>
        <v>-0.22125804046019401</v>
      </c>
      <c r="L218" s="107">
        <f t="shared" si="116"/>
        <v>-0.22125804046019401</v>
      </c>
      <c r="M218" s="107">
        <f t="shared" si="117"/>
        <v>-0.22125804046019401</v>
      </c>
    </row>
    <row r="219" spans="2:30" ht="15" customHeight="1" x14ac:dyDescent="0.2">
      <c r="B219" s="18" t="s">
        <v>161</v>
      </c>
      <c r="E219" s="175">
        <f>-E186/E16</f>
        <v>-5.6061555719935019E-3</v>
      </c>
      <c r="F219" s="175">
        <f>-F186/F16</f>
        <v>-1.1612903225806452E-2</v>
      </c>
      <c r="G219" s="175">
        <f>G186/G16</f>
        <v>-4.0603248259860787E-2</v>
      </c>
      <c r="H219" s="175">
        <f>H186/H16</f>
        <v>-1.771793054571226E-3</v>
      </c>
      <c r="I219" s="107">
        <f t="shared" si="120"/>
        <v>-1.4898525028057991E-2</v>
      </c>
      <c r="J219" s="107">
        <f t="shared" si="119"/>
        <v>-1.4898525028057991E-2</v>
      </c>
      <c r="K219" s="107">
        <f t="shared" si="115"/>
        <v>-1.4898525028057991E-2</v>
      </c>
      <c r="L219" s="107">
        <f t="shared" si="116"/>
        <v>-1.4898525028057991E-2</v>
      </c>
      <c r="M219" s="107">
        <f t="shared" si="117"/>
        <v>-1.4898525028057991E-2</v>
      </c>
    </row>
    <row r="220" spans="2:30" x14ac:dyDescent="0.2">
      <c r="B220" s="18" t="s">
        <v>155</v>
      </c>
      <c r="E220" s="175">
        <f>E188/(E$74+E$77+E$80)</f>
        <v>-1.01983588631728E-3</v>
      </c>
      <c r="F220" s="175">
        <f>F188/(F$74+F$77+F$80)</f>
        <v>-2.3018539255941274E-3</v>
      </c>
      <c r="G220" s="175">
        <f>G188/(G$74+G$77+G$80)</f>
        <v>-3.9952057530962844E-4</v>
      </c>
      <c r="H220" s="175">
        <f>H188/(H$74+H$77+H$80)</f>
        <v>-8.6705202312138728E-4</v>
      </c>
      <c r="I220" s="107">
        <f t="shared" ref="I220" si="121">AVERAGE(E220:H220)</f>
        <v>-1.1470656025856056E-3</v>
      </c>
      <c r="J220" s="107">
        <f t="shared" si="119"/>
        <v>-1.1470656025856056E-3</v>
      </c>
      <c r="K220" s="107">
        <f t="shared" ref="K220" si="122">J220</f>
        <v>-1.1470656025856056E-3</v>
      </c>
      <c r="L220" s="107">
        <f t="shared" ref="L220" si="123">K220</f>
        <v>-1.1470656025856056E-3</v>
      </c>
      <c r="M220" s="107">
        <f t="shared" si="117"/>
        <v>-1.1470656025856056E-3</v>
      </c>
    </row>
    <row r="221" spans="2:30" x14ac:dyDescent="0.2">
      <c r="E221" s="175"/>
      <c r="F221" s="26"/>
      <c r="G221" s="26"/>
      <c r="H221" s="26"/>
      <c r="I221" s="26"/>
      <c r="J221" s="26"/>
      <c r="K221" s="26"/>
      <c r="L221" s="26"/>
      <c r="M221" s="26"/>
    </row>
  </sheetData>
  <mergeCells count="3">
    <mergeCell ref="AC34:AC35"/>
    <mergeCell ref="Q34:Q36"/>
    <mergeCell ref="AC36:AC40"/>
  </mergeCells>
  <conditionalFormatting sqref="S4:AA4">
    <cfRule type="aboveAverage" dxfId="32" priority="46"/>
  </conditionalFormatting>
  <conditionalFormatting sqref="S8:AA9 S13:AA14 S18:AA19">
    <cfRule type="aboveAverage" dxfId="31" priority="45"/>
  </conditionalFormatting>
  <conditionalFormatting sqref="S5:AA5">
    <cfRule type="aboveAverage" dxfId="30" priority="44"/>
  </conditionalFormatting>
  <conditionalFormatting sqref="S6:AA6">
    <cfRule type="aboveAverage" dxfId="29" priority="43"/>
  </conditionalFormatting>
  <conditionalFormatting sqref="S7:AA7">
    <cfRule type="aboveAverage" dxfId="28" priority="42"/>
  </conditionalFormatting>
  <conditionalFormatting sqref="S12:AA12">
    <cfRule type="aboveAverage" dxfId="27" priority="39"/>
  </conditionalFormatting>
  <conditionalFormatting sqref="S15:AA15">
    <cfRule type="aboveAverage" dxfId="26" priority="38"/>
  </conditionalFormatting>
  <conditionalFormatting sqref="S16:AA16">
    <cfRule type="aboveAverage" dxfId="25" priority="11" equalAverage="1"/>
    <cfRule type="aboveAverage" dxfId="24" priority="34"/>
  </conditionalFormatting>
  <conditionalFormatting sqref="S20:AA20">
    <cfRule type="aboveAverage" dxfId="23" priority="17" equalAverage="1"/>
    <cfRule type="aboveAverage" dxfId="22" priority="33"/>
  </conditionalFormatting>
  <conditionalFormatting sqref="S21:AA22">
    <cfRule type="aboveAverage" dxfId="21" priority="32"/>
  </conditionalFormatting>
  <conditionalFormatting sqref="U23:AA23">
    <cfRule type="aboveAverage" dxfId="20" priority="30" aboveAverage="0"/>
  </conditionalFormatting>
  <conditionalFormatting sqref="S24:AA24">
    <cfRule type="aboveAverage" dxfId="19" priority="29" aboveAverage="0"/>
  </conditionalFormatting>
  <conditionalFormatting sqref="S33:AA33">
    <cfRule type="aboveAverage" dxfId="18" priority="28"/>
  </conditionalFormatting>
  <conditionalFormatting sqref="S35:AA35">
    <cfRule type="aboveAverage" dxfId="17" priority="27"/>
  </conditionalFormatting>
  <conditionalFormatting sqref="S37:AA37">
    <cfRule type="aboveAverage" dxfId="16" priority="26"/>
  </conditionalFormatting>
  <conditionalFormatting sqref="S38:AA38">
    <cfRule type="aboveAverage" dxfId="15" priority="22"/>
  </conditionalFormatting>
  <conditionalFormatting sqref="S36:AA36">
    <cfRule type="aboveAverage" dxfId="14" priority="21"/>
  </conditionalFormatting>
  <conditionalFormatting sqref="S10:AA10">
    <cfRule type="aboveAverage" dxfId="13" priority="19" aboveAverage="0"/>
  </conditionalFormatting>
  <conditionalFormatting sqref="S11:AA11">
    <cfRule type="aboveAverage" dxfId="12" priority="18" aboveAverage="0"/>
  </conditionalFormatting>
  <conditionalFormatting sqref="S34:AA34">
    <cfRule type="aboveAverage" dxfId="11" priority="14" aboveAverage="0"/>
  </conditionalFormatting>
  <conditionalFormatting sqref="S40:AA40">
    <cfRule type="aboveAverage" dxfId="10" priority="13" equalAverage="1"/>
  </conditionalFormatting>
  <conditionalFormatting sqref="S39:AA39">
    <cfRule type="aboveAverage" dxfId="9" priority="12" equalAverage="1"/>
  </conditionalFormatting>
  <conditionalFormatting sqref="S17:AA17">
    <cfRule type="aboveAverage" dxfId="8" priority="9" equalAverage="1"/>
    <cfRule type="aboveAverage" dxfId="7" priority="10"/>
  </conditionalFormatting>
  <conditionalFormatting sqref="S26:AA26">
    <cfRule type="aboveAverage" dxfId="6" priority="7" equalAverage="1"/>
    <cfRule type="aboveAverage" dxfId="5" priority="8"/>
  </conditionalFormatting>
  <conditionalFormatting sqref="S27:AA27">
    <cfRule type="aboveAverage" dxfId="4" priority="5" equalAverage="1"/>
    <cfRule type="aboveAverage" dxfId="3" priority="6"/>
  </conditionalFormatting>
  <conditionalFormatting sqref="S28:AA28">
    <cfRule type="aboveAverage" dxfId="2" priority="4"/>
  </conditionalFormatting>
  <conditionalFormatting sqref="S29:AA29">
    <cfRule type="aboveAverage" dxfId="1" priority="3"/>
  </conditionalFormatting>
  <conditionalFormatting sqref="S30:AA30">
    <cfRule type="aboveAverage" dxfId="0" priority="2"/>
  </conditionalFormatting>
  <pageMargins left="0.7" right="0.7" top="0.75" bottom="0.75" header="0.3" footer="0.3"/>
  <pageSetup orientation="portrait" horizontalDpi="0" verticalDpi="0"/>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DCF</vt:lpstr>
      <vt:lpstr>Revenue</vt:lpstr>
      <vt:lpstr>Financial Statements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2022-02-25T00:16:37Z</dcterms:created>
  <dcterms:modified xsi:type="dcterms:W3CDTF">2022-03-08T22:31:51Z</dcterms:modified>
</cp:coreProperties>
</file>