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drawings/drawing1.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drawings/drawing3.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Users/vl/Desktop/PycharmProjects/"/>
    </mc:Choice>
  </mc:AlternateContent>
  <xr:revisionPtr revIDLastSave="0" documentId="13_ncr:1_{B335DED3-CF59-6E4D-A02E-2F6A6EE4D399}" xr6:coauthVersionLast="47" xr6:coauthVersionMax="47" xr10:uidLastSave="{00000000-0000-0000-0000-000000000000}"/>
  <bookViews>
    <workbookView xWindow="54720" yWindow="500" windowWidth="46140" windowHeight="28300" activeTab="2" xr2:uid="{00000000-000D-0000-FFFF-FFFF00000000}"/>
  </bookViews>
  <sheets>
    <sheet name="DCF" sheetId="9" r:id="rId1"/>
    <sheet name="Revenue" sheetId="10" r:id="rId2"/>
    <sheet name="income" sheetId="3" r:id="rId3"/>
    <sheet name="balance" sheetId="1" r:id="rId4"/>
    <sheet name="cashflow" sheetId="2" r:id="rId5"/>
    <sheet name="Debt" sheetId="12" r:id="rId6"/>
    <sheet name="Competitors" sheetId="11" r:id="rId7"/>
    <sheet name="valuation" sheetId="6" r:id="rId8"/>
    <sheet name="rate" sheetId="5" r:id="rId9"/>
    <sheet name="forcast" sheetId="4" r:id="rId10"/>
  </sheets>
  <definedNames>
    <definedName name="solver_eng" localSheetId="2" hidden="1">1</definedName>
    <definedName name="solver_lin" localSheetId="2" hidden="1">2</definedName>
    <definedName name="solver_neg" localSheetId="2" hidden="1">1</definedName>
    <definedName name="solver_num" localSheetId="2" hidden="1">0</definedName>
    <definedName name="solver_opt" localSheetId="2" hidden="1">income!$H$53</definedName>
    <definedName name="solver_typ" localSheetId="2" hidden="1">1</definedName>
    <definedName name="solver_val" localSheetId="2" hidden="1">0</definedName>
    <definedName name="solver_ver" localSheetId="2" hidden="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36" i="3" l="1"/>
  <c r="D35" i="3"/>
  <c r="E19" i="9" s="1"/>
  <c r="Q9" i="9"/>
  <c r="Q6" i="9" a="1"/>
  <c r="Q6" i="9" s="1"/>
  <c r="Q5" i="9" a="1"/>
  <c r="Q5" i="9" s="1"/>
  <c r="L76" i="2"/>
  <c r="L78" i="2"/>
  <c r="L79" i="2"/>
  <c r="L80" i="2"/>
  <c r="L81" i="2"/>
  <c r="L82" i="2"/>
  <c r="L83" i="2"/>
  <c r="L84" i="2"/>
  <c r="L85" i="2"/>
  <c r="L86" i="2"/>
  <c r="L88" i="2"/>
  <c r="K5" i="2"/>
  <c r="E25" i="9"/>
  <c r="F23" i="9"/>
  <c r="G23" i="9"/>
  <c r="H23" i="9"/>
  <c r="I23" i="9"/>
  <c r="J23" i="9"/>
  <c r="K23" i="9"/>
  <c r="L23" i="9"/>
  <c r="M23" i="9"/>
  <c r="B34" i="1"/>
  <c r="D34" i="1"/>
  <c r="G34" i="1"/>
  <c r="C34" i="1"/>
  <c r="E34" i="1"/>
  <c r="F34" i="1"/>
  <c r="H34" i="1"/>
  <c r="I34" i="1"/>
  <c r="J34" i="1"/>
  <c r="K34" i="1"/>
  <c r="L34" i="1"/>
  <c r="E21" i="9"/>
  <c r="G15" i="2"/>
  <c r="H20" i="10"/>
  <c r="G58" i="1"/>
  <c r="F58" i="1"/>
  <c r="D58" i="1"/>
  <c r="E58" i="1"/>
  <c r="E68" i="1"/>
  <c r="F68" i="1"/>
  <c r="G68" i="1"/>
  <c r="D68" i="1"/>
  <c r="E67" i="1"/>
  <c r="F67" i="1"/>
  <c r="G67" i="1"/>
  <c r="D67" i="1"/>
  <c r="E66" i="1"/>
  <c r="D66" i="1"/>
  <c r="D64" i="1"/>
  <c r="E65" i="1"/>
  <c r="F65" i="1"/>
  <c r="G65" i="1"/>
  <c r="D65" i="1"/>
  <c r="E64" i="1"/>
  <c r="F64" i="1"/>
  <c r="G64" i="1"/>
  <c r="D63" i="1"/>
  <c r="F63" i="1"/>
  <c r="G63" i="1"/>
  <c r="E63" i="1"/>
  <c r="D57" i="1"/>
  <c r="D60" i="1"/>
  <c r="D59" i="1"/>
  <c r="E59" i="1"/>
  <c r="F59" i="1"/>
  <c r="G59" i="1"/>
  <c r="D56" i="1"/>
  <c r="A21" i="3"/>
  <c r="E21" i="3"/>
  <c r="E22" i="3" s="1"/>
  <c r="F21" i="3"/>
  <c r="F60" i="3" s="1"/>
  <c r="G21" i="3"/>
  <c r="G22" i="3" s="1"/>
  <c r="H8" i="9" s="1"/>
  <c r="B22" i="3"/>
  <c r="C22" i="3"/>
  <c r="C55" i="3" s="1"/>
  <c r="D22" i="3"/>
  <c r="D10" i="10"/>
  <c r="E10" i="10"/>
  <c r="F10" i="10"/>
  <c r="G10" i="10"/>
  <c r="H10" i="10"/>
  <c r="I10" i="10"/>
  <c r="J10" i="10"/>
  <c r="K10" i="10"/>
  <c r="L10" i="10"/>
  <c r="G19" i="10"/>
  <c r="G20" i="10"/>
  <c r="G18" i="10"/>
  <c r="G17" i="10"/>
  <c r="K20" i="10"/>
  <c r="I20" i="10"/>
  <c r="D17" i="10"/>
  <c r="M27" i="10"/>
  <c r="N27" i="10"/>
  <c r="L13" i="10"/>
  <c r="L18" i="10" s="1"/>
  <c r="L14" i="10"/>
  <c r="L19" i="10" s="1"/>
  <c r="L15" i="10"/>
  <c r="L20" i="10" s="1"/>
  <c r="L12" i="10"/>
  <c r="L17" i="10" s="1"/>
  <c r="E17" i="10"/>
  <c r="F17" i="10"/>
  <c r="H17" i="10"/>
  <c r="I17" i="10"/>
  <c r="J17" i="10"/>
  <c r="K17" i="10"/>
  <c r="E18" i="10"/>
  <c r="F18" i="10"/>
  <c r="H18" i="10"/>
  <c r="I18" i="10"/>
  <c r="J18" i="10"/>
  <c r="K18" i="10"/>
  <c r="E19" i="10"/>
  <c r="F19" i="10"/>
  <c r="H19" i="10"/>
  <c r="I19" i="10"/>
  <c r="J19" i="10"/>
  <c r="K19" i="10"/>
  <c r="F20" i="10"/>
  <c r="J20" i="10"/>
  <c r="D18" i="10"/>
  <c r="D19" i="10"/>
  <c r="G57" i="1"/>
  <c r="E60" i="1"/>
  <c r="F60" i="1"/>
  <c r="G60" i="1"/>
  <c r="E56" i="1"/>
  <c r="F56" i="1"/>
  <c r="G56" i="1"/>
  <c r="E78" i="2"/>
  <c r="D78" i="2"/>
  <c r="F78" i="2"/>
  <c r="G78" i="2"/>
  <c r="E79" i="2"/>
  <c r="F79" i="2"/>
  <c r="G79" i="2"/>
  <c r="E80" i="2"/>
  <c r="F80" i="2"/>
  <c r="G80" i="2"/>
  <c r="E81" i="2"/>
  <c r="F81" i="2"/>
  <c r="G81" i="2"/>
  <c r="E82" i="2"/>
  <c r="F82" i="2"/>
  <c r="G82" i="2"/>
  <c r="E83" i="2"/>
  <c r="F83" i="2"/>
  <c r="G83" i="2"/>
  <c r="E84" i="2"/>
  <c r="F84" i="2"/>
  <c r="G84" i="2"/>
  <c r="E85" i="2"/>
  <c r="F85" i="2"/>
  <c r="G85" i="2"/>
  <c r="E86" i="2"/>
  <c r="D80" i="2"/>
  <c r="D81" i="2"/>
  <c r="D82" i="2"/>
  <c r="D83" i="2"/>
  <c r="D84" i="2"/>
  <c r="D85" i="2"/>
  <c r="D86" i="2"/>
  <c r="D79" i="2"/>
  <c r="E76" i="2"/>
  <c r="F76" i="2"/>
  <c r="G76" i="2"/>
  <c r="D76" i="2"/>
  <c r="C76" i="2"/>
  <c r="B76" i="2"/>
  <c r="B60" i="3"/>
  <c r="C60" i="3"/>
  <c r="D60" i="3"/>
  <c r="B61" i="3"/>
  <c r="C61" i="3"/>
  <c r="D61" i="3"/>
  <c r="E61" i="3"/>
  <c r="F61" i="3"/>
  <c r="G61" i="3"/>
  <c r="F12" i="9"/>
  <c r="G12" i="9"/>
  <c r="H12" i="9"/>
  <c r="E12" i="9"/>
  <c r="F21" i="9"/>
  <c r="G21" i="9"/>
  <c r="H21" i="9"/>
  <c r="C88" i="2"/>
  <c r="B88" i="2"/>
  <c r="P72" i="2"/>
  <c r="G35" i="3"/>
  <c r="B35" i="3"/>
  <c r="C19" i="9" s="1"/>
  <c r="E47" i="3"/>
  <c r="C45" i="3"/>
  <c r="F47" i="3"/>
  <c r="D55" i="3"/>
  <c r="C8" i="9"/>
  <c r="M19" i="9"/>
  <c r="E42" i="3"/>
  <c r="E41" i="3"/>
  <c r="D41" i="3"/>
  <c r="C49" i="3"/>
  <c r="F49" i="3"/>
  <c r="F48" i="3"/>
  <c r="E48" i="3"/>
  <c r="D47" i="3"/>
  <c r="D48" i="3"/>
  <c r="E49" i="3"/>
  <c r="D49" i="3"/>
  <c r="D45" i="3"/>
  <c r="F45" i="3"/>
  <c r="E45" i="3"/>
  <c r="G45" i="3"/>
  <c r="C14" i="9"/>
  <c r="G54" i="3"/>
  <c r="C54" i="3"/>
  <c r="H33" i="3"/>
  <c r="E43" i="3"/>
  <c r="D44" i="3"/>
  <c r="D39" i="3"/>
  <c r="C53" i="3"/>
  <c r="E53" i="3"/>
  <c r="D57" i="3"/>
  <c r="E54" i="3"/>
  <c r="D54" i="3"/>
  <c r="F54" i="3"/>
  <c r="C56" i="3"/>
  <c r="D56" i="3"/>
  <c r="E56" i="3"/>
  <c r="F56" i="3"/>
  <c r="G56" i="3"/>
  <c r="C57" i="3"/>
  <c r="E57" i="3"/>
  <c r="F57" i="3"/>
  <c r="G57" i="3"/>
  <c r="C58" i="3"/>
  <c r="D58" i="3"/>
  <c r="E58" i="3"/>
  <c r="F58" i="3"/>
  <c r="G58" i="3"/>
  <c r="C59" i="3"/>
  <c r="D59" i="3"/>
  <c r="E59" i="3"/>
  <c r="F59" i="3"/>
  <c r="G59" i="3"/>
  <c r="B59" i="3"/>
  <c r="B58" i="3"/>
  <c r="B57" i="3"/>
  <c r="B56" i="3"/>
  <c r="B54" i="3"/>
  <c r="D18" i="9"/>
  <c r="E18" i="9"/>
  <c r="F18" i="9"/>
  <c r="G18" i="9"/>
  <c r="H18" i="9"/>
  <c r="C18" i="9"/>
  <c r="C23" i="9"/>
  <c r="D23" i="9"/>
  <c r="C35" i="3"/>
  <c r="D19" i="9" s="1"/>
  <c r="E35" i="3"/>
  <c r="F19" i="9" s="1"/>
  <c r="F35" i="3"/>
  <c r="G19" i="9" s="1"/>
  <c r="D21" i="9"/>
  <c r="D14" i="9"/>
  <c r="E14" i="9"/>
  <c r="F14" i="9"/>
  <c r="G14" i="9"/>
  <c r="H14" i="9"/>
  <c r="D12" i="9"/>
  <c r="C12" i="9"/>
  <c r="C5" i="9"/>
  <c r="D5" i="9"/>
  <c r="E5" i="9"/>
  <c r="F5" i="9"/>
  <c r="G5" i="9"/>
  <c r="H5" i="9"/>
  <c r="G33" i="3"/>
  <c r="C43" i="3"/>
  <c r="D43" i="3"/>
  <c r="F43" i="3"/>
  <c r="G43" i="3"/>
  <c r="E44" i="3"/>
  <c r="F44" i="3"/>
  <c r="G44" i="3"/>
  <c r="G47" i="3"/>
  <c r="G48" i="3"/>
  <c r="G49" i="3"/>
  <c r="C48" i="3"/>
  <c r="C47" i="3"/>
  <c r="C44" i="3"/>
  <c r="D42" i="3"/>
  <c r="F42" i="3"/>
  <c r="G42" i="3"/>
  <c r="C42" i="3"/>
  <c r="F40" i="3"/>
  <c r="G40" i="3"/>
  <c r="C41" i="3"/>
  <c r="F41" i="3"/>
  <c r="G41" i="3"/>
  <c r="E39" i="3"/>
  <c r="F39" i="3"/>
  <c r="G39" i="3"/>
  <c r="C39" i="3"/>
  <c r="D53" i="3"/>
  <c r="F53" i="3"/>
  <c r="G53" i="3"/>
  <c r="B53" i="3"/>
  <c r="E26" i="5"/>
  <c r="D26" i="5"/>
  <c r="E38" i="5"/>
  <c r="C33" i="3"/>
  <c r="D33" i="3"/>
  <c r="E33" i="3"/>
  <c r="F33" i="3"/>
  <c r="B34" i="4"/>
  <c r="Q38" i="4" a="1"/>
  <c r="Q38" i="4" s="1"/>
  <c r="Q37" i="4" a="1"/>
  <c r="Q37" i="4" s="1"/>
  <c r="S41" i="4" s="1"/>
  <c r="D19" i="4"/>
  <c r="R17" i="4"/>
  <c r="S17" i="4"/>
  <c r="T17" i="4"/>
  <c r="U17" i="4"/>
  <c r="V17" i="4"/>
  <c r="Q17" i="4"/>
  <c r="R16" i="4"/>
  <c r="S16" i="4"/>
  <c r="T16" i="4"/>
  <c r="U16" i="4"/>
  <c r="V16" i="4"/>
  <c r="Q16" i="4"/>
  <c r="R11" i="4"/>
  <c r="S11" i="4"/>
  <c r="T11" i="4"/>
  <c r="U11" i="4"/>
  <c r="V11" i="4"/>
  <c r="Q11" i="4"/>
  <c r="R10" i="4"/>
  <c r="S10" i="4"/>
  <c r="T10" i="4"/>
  <c r="U10" i="4"/>
  <c r="V10" i="4"/>
  <c r="Q10" i="4"/>
  <c r="AA9" i="4"/>
  <c r="R9" i="4"/>
  <c r="S9" i="4"/>
  <c r="T9" i="4"/>
  <c r="U9" i="4"/>
  <c r="V9" i="4"/>
  <c r="Q9" i="4"/>
  <c r="D79" i="4"/>
  <c r="E86" i="4"/>
  <c r="F86" i="4"/>
  <c r="G86" i="4"/>
  <c r="H86" i="4"/>
  <c r="I86" i="4"/>
  <c r="D86" i="4"/>
  <c r="E85" i="4"/>
  <c r="F85" i="4"/>
  <c r="G85" i="4"/>
  <c r="H85" i="4"/>
  <c r="I85" i="4"/>
  <c r="D85" i="4"/>
  <c r="E83" i="4"/>
  <c r="F83" i="4"/>
  <c r="G83" i="4"/>
  <c r="H83" i="4"/>
  <c r="I83" i="4"/>
  <c r="D83" i="4"/>
  <c r="E82" i="4"/>
  <c r="F82" i="4"/>
  <c r="G82" i="4"/>
  <c r="H82" i="4"/>
  <c r="I82" i="4"/>
  <c r="D82" i="4"/>
  <c r="E81" i="4"/>
  <c r="F81" i="4"/>
  <c r="G81" i="4"/>
  <c r="H81" i="4"/>
  <c r="I81" i="4"/>
  <c r="D81" i="4"/>
  <c r="E79" i="4"/>
  <c r="F79" i="4"/>
  <c r="G79" i="4"/>
  <c r="H79" i="4"/>
  <c r="I79" i="4"/>
  <c r="E69" i="4"/>
  <c r="F69" i="4"/>
  <c r="G69" i="4"/>
  <c r="H69" i="4"/>
  <c r="I69" i="4"/>
  <c r="D69" i="4"/>
  <c r="B66" i="5"/>
  <c r="B69" i="4" s="1"/>
  <c r="J66" i="5"/>
  <c r="K66" i="5"/>
  <c r="L66" i="5"/>
  <c r="M66" i="5"/>
  <c r="N66" i="5"/>
  <c r="C52" i="5"/>
  <c r="D52" i="5"/>
  <c r="E52" i="5"/>
  <c r="F52" i="5"/>
  <c r="G52" i="5"/>
  <c r="H52" i="5"/>
  <c r="C48" i="5"/>
  <c r="D48" i="5"/>
  <c r="E48" i="5"/>
  <c r="F48" i="5"/>
  <c r="G48" i="5"/>
  <c r="H48" i="5"/>
  <c r="C38" i="5"/>
  <c r="D38" i="5"/>
  <c r="F38" i="5"/>
  <c r="G38" i="5"/>
  <c r="H38" i="5"/>
  <c r="C26" i="5"/>
  <c r="F26" i="5"/>
  <c r="G26" i="5"/>
  <c r="H26" i="5"/>
  <c r="I29" i="4"/>
  <c r="D65" i="4"/>
  <c r="E65" i="4"/>
  <c r="F65" i="4"/>
  <c r="G65" i="4"/>
  <c r="H65" i="4"/>
  <c r="I65" i="4"/>
  <c r="J34" i="5"/>
  <c r="K34" i="5"/>
  <c r="L34" i="5"/>
  <c r="M34" i="5"/>
  <c r="N34" i="5"/>
  <c r="I34" i="5"/>
  <c r="C37" i="5"/>
  <c r="D37" i="4" s="1"/>
  <c r="D61" i="5"/>
  <c r="E61" i="5"/>
  <c r="F61" i="5"/>
  <c r="G61" i="5"/>
  <c r="H61" i="5"/>
  <c r="C61" i="5"/>
  <c r="D60" i="5"/>
  <c r="E60" i="5"/>
  <c r="F60" i="5"/>
  <c r="G60" i="5"/>
  <c r="H60" i="5"/>
  <c r="C60" i="5"/>
  <c r="D57" i="5"/>
  <c r="E57" i="5"/>
  <c r="F57" i="5"/>
  <c r="G57" i="5"/>
  <c r="H57" i="5"/>
  <c r="C57" i="5"/>
  <c r="D56" i="5"/>
  <c r="E56" i="5"/>
  <c r="F56" i="5"/>
  <c r="G56" i="5"/>
  <c r="H56" i="5"/>
  <c r="C56" i="5"/>
  <c r="E23" i="9" l="1"/>
  <c r="G60" i="3"/>
  <c r="F22" i="3"/>
  <c r="G8" i="9" s="1"/>
  <c r="G25" i="9" s="1"/>
  <c r="D21" i="10"/>
  <c r="D24" i="10" s="1"/>
  <c r="H21" i="10"/>
  <c r="H2" i="3" s="1"/>
  <c r="G21" i="10"/>
  <c r="G24" i="10" s="1"/>
  <c r="H67" i="1"/>
  <c r="H66" i="1"/>
  <c r="H68" i="1"/>
  <c r="H60" i="1"/>
  <c r="H8" i="1" s="1"/>
  <c r="H65" i="1"/>
  <c r="H63" i="1"/>
  <c r="H58" i="1"/>
  <c r="H6" i="1" s="1"/>
  <c r="H57" i="1"/>
  <c r="H64" i="1"/>
  <c r="H59" i="1"/>
  <c r="H7" i="1" s="1"/>
  <c r="H35" i="3"/>
  <c r="I19" i="9" s="1"/>
  <c r="H56" i="1"/>
  <c r="H83" i="2"/>
  <c r="I83" i="2" s="1"/>
  <c r="J83" i="2" s="1"/>
  <c r="K83" i="2" s="1"/>
  <c r="H78" i="2"/>
  <c r="I78" i="2" s="1"/>
  <c r="J78" i="2" s="1"/>
  <c r="K78" i="2" s="1"/>
  <c r="H84" i="2"/>
  <c r="I84" i="2" s="1"/>
  <c r="J84" i="2" s="1"/>
  <c r="K84" i="2" s="1"/>
  <c r="H82" i="2"/>
  <c r="I82" i="2" s="1"/>
  <c r="J82" i="2" s="1"/>
  <c r="K82" i="2" s="1"/>
  <c r="H85" i="2"/>
  <c r="I85" i="2" s="1"/>
  <c r="J85" i="2" s="1"/>
  <c r="K85" i="2" s="1"/>
  <c r="H79" i="2"/>
  <c r="I79" i="2" s="1"/>
  <c r="J79" i="2" s="1"/>
  <c r="K79" i="2" s="1"/>
  <c r="H81" i="2"/>
  <c r="I81" i="2" s="1"/>
  <c r="J81" i="2" s="1"/>
  <c r="K81" i="2" s="1"/>
  <c r="L21" i="10"/>
  <c r="J21" i="10"/>
  <c r="I21" i="10"/>
  <c r="F21" i="10"/>
  <c r="F24" i="10" s="1"/>
  <c r="E21" i="10"/>
  <c r="E24" i="10" s="1"/>
  <c r="K21" i="10"/>
  <c r="H80" i="2"/>
  <c r="I80" i="2" s="1"/>
  <c r="J80" i="2" s="1"/>
  <c r="K80" i="2" s="1"/>
  <c r="H86" i="2"/>
  <c r="I86" i="2" s="1"/>
  <c r="J86" i="2" s="1"/>
  <c r="K86" i="2" s="1"/>
  <c r="H76" i="2"/>
  <c r="H61" i="3"/>
  <c r="E60" i="3"/>
  <c r="H60" i="3" s="1"/>
  <c r="H56" i="3"/>
  <c r="H45" i="3"/>
  <c r="H44" i="3"/>
  <c r="H7" i="3" s="1"/>
  <c r="I7" i="3" s="1"/>
  <c r="J7" i="3" s="1"/>
  <c r="K7" i="3" s="1"/>
  <c r="L7" i="3" s="1"/>
  <c r="H3" i="3"/>
  <c r="I3" i="3" s="1"/>
  <c r="D8" i="9"/>
  <c r="D25" i="9" s="1"/>
  <c r="D26" i="9" s="1"/>
  <c r="H19" i="9"/>
  <c r="H59" i="3"/>
  <c r="H58" i="3"/>
  <c r="H57" i="3"/>
  <c r="H48" i="3"/>
  <c r="H47" i="3"/>
  <c r="H42" i="3"/>
  <c r="H39" i="3"/>
  <c r="H53" i="3"/>
  <c r="H54" i="3"/>
  <c r="H49" i="3"/>
  <c r="H41" i="3"/>
  <c r="H43" i="3"/>
  <c r="H6" i="3" s="1"/>
  <c r="I6" i="3" s="1"/>
  <c r="J6" i="3" s="1"/>
  <c r="K6" i="3" s="1"/>
  <c r="L6" i="3" s="1"/>
  <c r="E8" i="9"/>
  <c r="C46" i="3"/>
  <c r="D46" i="3"/>
  <c r="E46" i="3"/>
  <c r="B55" i="3"/>
  <c r="G16" i="9"/>
  <c r="E6" i="9"/>
  <c r="F6" i="9"/>
  <c r="E55" i="3"/>
  <c r="G6" i="9"/>
  <c r="D15" i="9"/>
  <c r="H6" i="9"/>
  <c r="H16" i="9"/>
  <c r="C15" i="9"/>
  <c r="E15" i="9"/>
  <c r="D6" i="9"/>
  <c r="H15" i="9"/>
  <c r="G15" i="9"/>
  <c r="F15" i="9"/>
  <c r="C9" i="9"/>
  <c r="F16" i="9"/>
  <c r="D16" i="9"/>
  <c r="E16" i="9"/>
  <c r="C25" i="9"/>
  <c r="C26" i="9" s="1"/>
  <c r="F8" i="9"/>
  <c r="F25" i="9" s="1"/>
  <c r="D58" i="5"/>
  <c r="D62" i="5" s="1"/>
  <c r="F58" i="5"/>
  <c r="F62" i="5" s="1"/>
  <c r="G58" i="5"/>
  <c r="G62" i="5" s="1"/>
  <c r="R41" i="4"/>
  <c r="Q41" i="4"/>
  <c r="V41" i="4"/>
  <c r="U41" i="4"/>
  <c r="T41" i="4"/>
  <c r="M69" i="4"/>
  <c r="L69" i="4"/>
  <c r="J69" i="4"/>
  <c r="K69" i="4"/>
  <c r="C58" i="5"/>
  <c r="C62" i="5" s="1"/>
  <c r="E58" i="5"/>
  <c r="E62" i="5" s="1"/>
  <c r="H58" i="5"/>
  <c r="H62" i="5" s="1"/>
  <c r="B34" i="5"/>
  <c r="I37" i="5"/>
  <c r="H16" i="2" l="1"/>
  <c r="H17" i="2"/>
  <c r="H19" i="2"/>
  <c r="I24" i="10"/>
  <c r="I27" i="10" s="1"/>
  <c r="I8" i="3" s="1"/>
  <c r="I3" i="1" s="1"/>
  <c r="I2" i="3"/>
  <c r="J24" i="10"/>
  <c r="J27" i="10" s="1"/>
  <c r="J8" i="3" s="1"/>
  <c r="J15" i="3" s="1"/>
  <c r="J2" i="3"/>
  <c r="L24" i="10"/>
  <c r="L27" i="10" s="1"/>
  <c r="L8" i="3" s="1"/>
  <c r="L16" i="3" s="1"/>
  <c r="L2" i="3"/>
  <c r="K24" i="10"/>
  <c r="K27" i="10" s="1"/>
  <c r="K8" i="3" s="1"/>
  <c r="K2" i="3"/>
  <c r="I16" i="3"/>
  <c r="I20" i="3"/>
  <c r="I17" i="3"/>
  <c r="J3" i="3"/>
  <c r="H4" i="3"/>
  <c r="H5" i="3" s="1"/>
  <c r="H24" i="10"/>
  <c r="I76" i="2"/>
  <c r="D9" i="9"/>
  <c r="D10" i="9"/>
  <c r="E10" i="9"/>
  <c r="E27" i="9"/>
  <c r="E9" i="9"/>
  <c r="H9" i="9"/>
  <c r="H25" i="9"/>
  <c r="H26" i="9" s="1"/>
  <c r="G55" i="3"/>
  <c r="G46" i="3"/>
  <c r="F55" i="3"/>
  <c r="F46" i="3"/>
  <c r="G27" i="9"/>
  <c r="G26" i="9"/>
  <c r="F26" i="9"/>
  <c r="D27" i="9"/>
  <c r="F9" i="9"/>
  <c r="F10" i="9"/>
  <c r="G9" i="9"/>
  <c r="G10" i="9"/>
  <c r="H10" i="9"/>
  <c r="D45" i="5"/>
  <c r="E45" i="5"/>
  <c r="H45" i="5"/>
  <c r="D46" i="5"/>
  <c r="E46" i="5"/>
  <c r="F46" i="5"/>
  <c r="G46" i="5"/>
  <c r="H46" i="5"/>
  <c r="C46" i="5"/>
  <c r="I39" i="4"/>
  <c r="V43" i="4" s="1"/>
  <c r="V44" i="4" s="1"/>
  <c r="E39" i="4"/>
  <c r="F39" i="4"/>
  <c r="G39" i="4"/>
  <c r="H39" i="4"/>
  <c r="D39" i="4"/>
  <c r="A48" i="5"/>
  <c r="A52" i="5"/>
  <c r="C51" i="5"/>
  <c r="D51" i="5"/>
  <c r="E51" i="5"/>
  <c r="F51" i="5"/>
  <c r="G51" i="5"/>
  <c r="H51" i="5"/>
  <c r="A51" i="5"/>
  <c r="C50" i="5"/>
  <c r="D50" i="5"/>
  <c r="E50" i="5"/>
  <c r="F50" i="5"/>
  <c r="G50" i="5"/>
  <c r="H50" i="5"/>
  <c r="A50" i="5"/>
  <c r="C47" i="5"/>
  <c r="D47" i="5"/>
  <c r="E47" i="5"/>
  <c r="F47" i="5"/>
  <c r="G47" i="5"/>
  <c r="H47" i="5"/>
  <c r="D44" i="5"/>
  <c r="E44" i="5"/>
  <c r="F44" i="5"/>
  <c r="G44" i="5"/>
  <c r="H44" i="5"/>
  <c r="C44" i="5"/>
  <c r="A47" i="5"/>
  <c r="C29" i="5"/>
  <c r="N37" i="6"/>
  <c r="M37" i="6"/>
  <c r="L37" i="6"/>
  <c r="K37" i="6"/>
  <c r="J37" i="6"/>
  <c r="I37" i="6"/>
  <c r="I38" i="6" s="1"/>
  <c r="H37" i="6"/>
  <c r="H38" i="6" s="1"/>
  <c r="G37" i="6"/>
  <c r="G38" i="6" s="1"/>
  <c r="F37" i="6"/>
  <c r="F38" i="6" s="1"/>
  <c r="E37" i="6"/>
  <c r="E38" i="6" s="1"/>
  <c r="D37" i="6"/>
  <c r="D38" i="6" s="1"/>
  <c r="J38" i="6" s="1"/>
  <c r="J35" i="6"/>
  <c r="I33" i="6"/>
  <c r="H33" i="6"/>
  <c r="G33" i="6"/>
  <c r="F33" i="6"/>
  <c r="E33" i="6"/>
  <c r="D33" i="6"/>
  <c r="N32" i="6"/>
  <c r="N35" i="6" s="1"/>
  <c r="M32" i="6"/>
  <c r="M35" i="6" s="1"/>
  <c r="L32" i="6"/>
  <c r="L35" i="6" s="1"/>
  <c r="K32" i="6"/>
  <c r="K35" i="6" s="1"/>
  <c r="J32" i="6"/>
  <c r="I32" i="6"/>
  <c r="I35" i="6" s="1"/>
  <c r="H32" i="6"/>
  <c r="H35" i="6" s="1"/>
  <c r="G32" i="6"/>
  <c r="G35" i="6" s="1"/>
  <c r="F32" i="6"/>
  <c r="F35" i="6" s="1"/>
  <c r="E32" i="6"/>
  <c r="E35" i="6" s="1"/>
  <c r="D32" i="6"/>
  <c r="D35" i="6" s="1"/>
  <c r="D37" i="5"/>
  <c r="E37" i="4" s="1"/>
  <c r="E37" i="5"/>
  <c r="F37" i="4" s="1"/>
  <c r="F37" i="5"/>
  <c r="G37" i="4" s="1"/>
  <c r="G37" i="5"/>
  <c r="M37" i="5" s="1"/>
  <c r="H37" i="5"/>
  <c r="I37" i="4" s="1"/>
  <c r="C32" i="5"/>
  <c r="C36" i="5" s="1"/>
  <c r="D32" i="5"/>
  <c r="E32" i="5"/>
  <c r="F32" i="5"/>
  <c r="G32" i="5"/>
  <c r="H32" i="5"/>
  <c r="A32" i="5"/>
  <c r="A29" i="5"/>
  <c r="D27" i="4"/>
  <c r="C24" i="5" s="1"/>
  <c r="E27" i="4"/>
  <c r="D24" i="5" s="1"/>
  <c r="F27" i="4"/>
  <c r="E24" i="5" s="1"/>
  <c r="G27" i="4"/>
  <c r="F24" i="5" s="1"/>
  <c r="H27" i="4"/>
  <c r="G24" i="5" s="1"/>
  <c r="I27" i="4"/>
  <c r="H24" i="5" s="1"/>
  <c r="F28" i="4"/>
  <c r="E25" i="5" s="1"/>
  <c r="G28" i="4"/>
  <c r="F25" i="5" s="1"/>
  <c r="I28" i="4"/>
  <c r="H25" i="5" s="1"/>
  <c r="E26" i="4"/>
  <c r="D23" i="5" s="1"/>
  <c r="F26" i="4"/>
  <c r="E23" i="5" s="1"/>
  <c r="G26" i="4"/>
  <c r="F23" i="5" s="1"/>
  <c r="H26" i="4"/>
  <c r="G23" i="5" s="1"/>
  <c r="I26" i="4"/>
  <c r="H23" i="5" s="1"/>
  <c r="D26" i="4"/>
  <c r="C23" i="5" s="1"/>
  <c r="N7" i="5"/>
  <c r="M7" i="5"/>
  <c r="F22" i="4"/>
  <c r="E20" i="5" s="1"/>
  <c r="G22" i="4"/>
  <c r="F20" i="5" s="1"/>
  <c r="H22" i="4"/>
  <c r="G20" i="5" s="1"/>
  <c r="I22" i="4"/>
  <c r="H20" i="5" s="1"/>
  <c r="E22" i="4"/>
  <c r="D20" i="5" s="1"/>
  <c r="D22" i="4"/>
  <c r="C20" i="5" s="1"/>
  <c r="E19" i="4"/>
  <c r="F19" i="4"/>
  <c r="G19" i="4"/>
  <c r="H19" i="4"/>
  <c r="I19" i="4"/>
  <c r="D20" i="4"/>
  <c r="C18" i="5" s="1"/>
  <c r="E20" i="4"/>
  <c r="D18" i="5" s="1"/>
  <c r="F20" i="4"/>
  <c r="E18" i="5" s="1"/>
  <c r="G20" i="4"/>
  <c r="F18" i="5" s="1"/>
  <c r="H20" i="4"/>
  <c r="G18" i="5" s="1"/>
  <c r="I20" i="4"/>
  <c r="H18" i="5" s="1"/>
  <c r="D21" i="4"/>
  <c r="C19" i="5" s="1"/>
  <c r="E21" i="4"/>
  <c r="D19" i="5" s="1"/>
  <c r="F21" i="4"/>
  <c r="E19" i="5" s="1"/>
  <c r="G21" i="4"/>
  <c r="F19" i="5" s="1"/>
  <c r="H21" i="4"/>
  <c r="G19" i="5" s="1"/>
  <c r="I21" i="4"/>
  <c r="H19" i="5" s="1"/>
  <c r="E18" i="4"/>
  <c r="F18" i="4"/>
  <c r="E16" i="5" s="1"/>
  <c r="G18" i="4"/>
  <c r="F16" i="5" s="1"/>
  <c r="L16" i="5" s="1"/>
  <c r="H18" i="4"/>
  <c r="I18" i="4"/>
  <c r="H16" i="5" s="1"/>
  <c r="N16" i="5" s="1"/>
  <c r="D18" i="4"/>
  <c r="E17" i="4"/>
  <c r="D15" i="5" s="1"/>
  <c r="F17" i="4"/>
  <c r="E15" i="5" s="1"/>
  <c r="G17" i="4"/>
  <c r="F15" i="5" s="1"/>
  <c r="H17" i="4"/>
  <c r="G15" i="5" s="1"/>
  <c r="I17" i="4"/>
  <c r="H15" i="5" s="1"/>
  <c r="D17" i="4"/>
  <c r="C15" i="5" s="1"/>
  <c r="F14" i="4"/>
  <c r="G14" i="4"/>
  <c r="H14" i="4"/>
  <c r="I14" i="4"/>
  <c r="E14" i="4"/>
  <c r="D14" i="4"/>
  <c r="E13" i="4"/>
  <c r="D11" i="5" s="1"/>
  <c r="F13" i="4"/>
  <c r="E11" i="5" s="1"/>
  <c r="G13" i="4"/>
  <c r="F11" i="5" s="1"/>
  <c r="H13" i="4"/>
  <c r="G11" i="5" s="1"/>
  <c r="I13" i="4"/>
  <c r="H11" i="5" s="1"/>
  <c r="D13" i="4"/>
  <c r="C11" i="5" s="1"/>
  <c r="E12" i="4"/>
  <c r="D10" i="5" s="1"/>
  <c r="F12" i="4"/>
  <c r="E10" i="5" s="1"/>
  <c r="G12" i="4"/>
  <c r="F10" i="5" s="1"/>
  <c r="H12" i="4"/>
  <c r="G10" i="5" s="1"/>
  <c r="I12" i="4"/>
  <c r="H10" i="5" s="1"/>
  <c r="D12" i="4"/>
  <c r="C10" i="5" s="1"/>
  <c r="D11" i="4"/>
  <c r="C9" i="5" s="1"/>
  <c r="E11" i="4"/>
  <c r="D9" i="5" s="1"/>
  <c r="F11" i="4"/>
  <c r="E9" i="5" s="1"/>
  <c r="G11" i="4"/>
  <c r="F9" i="5" s="1"/>
  <c r="H11" i="4"/>
  <c r="G9" i="5" s="1"/>
  <c r="I11" i="4"/>
  <c r="H9" i="5" s="1"/>
  <c r="D10" i="4"/>
  <c r="C8" i="5" s="1"/>
  <c r="E10" i="4"/>
  <c r="D8" i="5" s="1"/>
  <c r="F10" i="4"/>
  <c r="E8" i="5" s="1"/>
  <c r="G10" i="4"/>
  <c r="F8" i="5" s="1"/>
  <c r="H10" i="4"/>
  <c r="G8" i="5" s="1"/>
  <c r="I10" i="4"/>
  <c r="H8" i="5" s="1"/>
  <c r="G9" i="4"/>
  <c r="H9" i="4"/>
  <c r="I9" i="4"/>
  <c r="G8" i="4"/>
  <c r="F6" i="5" s="1"/>
  <c r="H8" i="4"/>
  <c r="G6" i="5" s="1"/>
  <c r="I8" i="4"/>
  <c r="H6" i="5" s="1"/>
  <c r="F8" i="4"/>
  <c r="E6" i="5" s="1"/>
  <c r="E8" i="4"/>
  <c r="D6" i="5" s="1"/>
  <c r="D8" i="4"/>
  <c r="C6" i="5" s="1"/>
  <c r="G29" i="5"/>
  <c r="D30" i="4"/>
  <c r="E30" i="4"/>
  <c r="F30" i="4"/>
  <c r="G30" i="4"/>
  <c r="H30" i="4"/>
  <c r="I30" i="4"/>
  <c r="D29" i="5"/>
  <c r="E29" i="5"/>
  <c r="F29" i="5"/>
  <c r="H29" i="5"/>
  <c r="D29" i="4"/>
  <c r="E29" i="4"/>
  <c r="F29" i="4"/>
  <c r="G29" i="4"/>
  <c r="H29" i="4"/>
  <c r="I8" i="1" l="1"/>
  <c r="I15" i="3"/>
  <c r="J16" i="3"/>
  <c r="H27" i="10"/>
  <c r="H8" i="3" s="1"/>
  <c r="J8" i="1"/>
  <c r="K19" i="2" s="1"/>
  <c r="K31" i="1"/>
  <c r="K28" i="1"/>
  <c r="K30" i="1"/>
  <c r="K27" i="1"/>
  <c r="L5" i="2"/>
  <c r="L27" i="1"/>
  <c r="L31" i="1"/>
  <c r="L28" i="1"/>
  <c r="L30" i="1"/>
  <c r="L20" i="3"/>
  <c r="L26" i="3" s="1"/>
  <c r="L27" i="3" s="1"/>
  <c r="M18" i="9" s="1"/>
  <c r="K20" i="3"/>
  <c r="L3" i="1"/>
  <c r="L8" i="1"/>
  <c r="J28" i="1"/>
  <c r="J30" i="1"/>
  <c r="J27" i="1"/>
  <c r="J31" i="1"/>
  <c r="K8" i="1"/>
  <c r="L17" i="3"/>
  <c r="K16" i="3"/>
  <c r="K17" i="3"/>
  <c r="J17" i="3"/>
  <c r="L15" i="3"/>
  <c r="K3" i="1"/>
  <c r="K15" i="3"/>
  <c r="J20" i="3"/>
  <c r="J3" i="1"/>
  <c r="I28" i="1"/>
  <c r="I30" i="1"/>
  <c r="I27" i="1"/>
  <c r="I31" i="1"/>
  <c r="I4" i="3"/>
  <c r="J19" i="9"/>
  <c r="K3" i="3"/>
  <c r="J76" i="2"/>
  <c r="I5" i="2"/>
  <c r="F27" i="9"/>
  <c r="H46" i="3"/>
  <c r="E26" i="9"/>
  <c r="K19" i="9"/>
  <c r="H27" i="9"/>
  <c r="H55" i="3"/>
  <c r="D23" i="4"/>
  <c r="Q31" i="4" s="1"/>
  <c r="J33" i="6"/>
  <c r="T18" i="4"/>
  <c r="T32" i="4"/>
  <c r="H77" i="4"/>
  <c r="H87" i="4" s="1"/>
  <c r="U12" i="4" s="1"/>
  <c r="U34" i="4"/>
  <c r="U43" i="4"/>
  <c r="U44" i="4" s="1"/>
  <c r="U33" i="4"/>
  <c r="S18" i="4"/>
  <c r="S32" i="4"/>
  <c r="G77" i="4"/>
  <c r="G87" i="4" s="1"/>
  <c r="T12" i="4" s="1"/>
  <c r="T34" i="4"/>
  <c r="T43" i="4"/>
  <c r="T44" i="4" s="1"/>
  <c r="T33" i="4"/>
  <c r="R23" i="4"/>
  <c r="E23" i="4"/>
  <c r="R31" i="4" s="1"/>
  <c r="F77" i="4"/>
  <c r="F87" i="4" s="1"/>
  <c r="S12" i="4" s="1"/>
  <c r="S43" i="4"/>
  <c r="S44" i="4" s="1"/>
  <c r="S33" i="4"/>
  <c r="S34" i="4"/>
  <c r="V18" i="4"/>
  <c r="V32" i="4"/>
  <c r="Q33" i="4"/>
  <c r="Q34" i="4"/>
  <c r="Q43" i="4"/>
  <c r="Q44" i="4" s="1"/>
  <c r="Q18" i="4"/>
  <c r="Q32" i="4"/>
  <c r="V23" i="4"/>
  <c r="I23" i="4"/>
  <c r="V31" i="4" s="1"/>
  <c r="E77" i="4"/>
  <c r="E87" i="4" s="1"/>
  <c r="R12" i="4" s="1"/>
  <c r="R43" i="4"/>
  <c r="R44" i="4" s="1"/>
  <c r="R33" i="4"/>
  <c r="R34" i="4"/>
  <c r="S23" i="4"/>
  <c r="F23" i="4"/>
  <c r="S31" i="4" s="1"/>
  <c r="U18" i="4"/>
  <c r="U32" i="4"/>
  <c r="U23" i="4"/>
  <c r="H23" i="4"/>
  <c r="U31" i="4" s="1"/>
  <c r="I77" i="4"/>
  <c r="I87" i="4" s="1"/>
  <c r="V12" i="4" s="1"/>
  <c r="V33" i="4"/>
  <c r="V34" i="4"/>
  <c r="R18" i="4"/>
  <c r="R32" i="4"/>
  <c r="T23" i="4"/>
  <c r="G23" i="4"/>
  <c r="T31" i="4" s="1"/>
  <c r="M19" i="5"/>
  <c r="K19" i="5"/>
  <c r="I19" i="5"/>
  <c r="I60" i="5"/>
  <c r="I15" i="5"/>
  <c r="J19" i="5"/>
  <c r="N60" i="5"/>
  <c r="N15" i="5"/>
  <c r="L60" i="5"/>
  <c r="L15" i="5"/>
  <c r="K60" i="5"/>
  <c r="K15" i="5"/>
  <c r="N19" i="5"/>
  <c r="M60" i="5"/>
  <c r="M15" i="5"/>
  <c r="J60" i="5"/>
  <c r="J15" i="5"/>
  <c r="L19" i="5"/>
  <c r="H17" i="5"/>
  <c r="N17" i="5" s="1"/>
  <c r="V25" i="4"/>
  <c r="V27" i="4" s="1"/>
  <c r="G17" i="5"/>
  <c r="M17" i="5" s="1"/>
  <c r="U25" i="4"/>
  <c r="U27" i="4" s="1"/>
  <c r="C12" i="5"/>
  <c r="I20" i="5" s="1"/>
  <c r="Q23" i="4"/>
  <c r="F17" i="5"/>
  <c r="L17" i="5" s="1"/>
  <c r="T25" i="4"/>
  <c r="T27" i="4" s="1"/>
  <c r="E17" i="5"/>
  <c r="K17" i="5" s="1"/>
  <c r="S25" i="4"/>
  <c r="S27" i="4" s="1"/>
  <c r="D17" i="5"/>
  <c r="J17" i="5" s="1"/>
  <c r="R25" i="4"/>
  <c r="R27" i="4" s="1"/>
  <c r="C17" i="5"/>
  <c r="I17" i="5" s="1"/>
  <c r="Q25" i="4"/>
  <c r="Q27" i="4" s="1"/>
  <c r="H12" i="5"/>
  <c r="N50" i="5" s="1"/>
  <c r="G12" i="5"/>
  <c r="M20" i="5" s="1"/>
  <c r="F12" i="5"/>
  <c r="L56" i="5" s="1"/>
  <c r="E12" i="5"/>
  <c r="D38" i="4"/>
  <c r="D77" i="4"/>
  <c r="D87" i="4" s="1"/>
  <c r="Q12" i="4" s="1"/>
  <c r="D12" i="5"/>
  <c r="N37" i="5"/>
  <c r="B51" i="5"/>
  <c r="B53" i="4" s="1"/>
  <c r="J37" i="5"/>
  <c r="F38" i="4"/>
  <c r="E38" i="4"/>
  <c r="L37" i="5"/>
  <c r="G38" i="4"/>
  <c r="K37" i="5"/>
  <c r="H37" i="4"/>
  <c r="H38" i="4" s="1"/>
  <c r="I38" i="4"/>
  <c r="K45" i="5"/>
  <c r="F36" i="5"/>
  <c r="D36" i="5"/>
  <c r="E36" i="5"/>
  <c r="H36" i="5"/>
  <c r="G36" i="5"/>
  <c r="G16" i="5"/>
  <c r="M16" i="5" s="1"/>
  <c r="C16" i="5"/>
  <c r="D16" i="5"/>
  <c r="B7" i="5"/>
  <c r="B9" i="4" s="1"/>
  <c r="M9" i="4" s="1"/>
  <c r="N9" i="4" s="1"/>
  <c r="J8" i="5"/>
  <c r="J10" i="5"/>
  <c r="M6" i="5"/>
  <c r="L8" i="5"/>
  <c r="N6" i="5"/>
  <c r="J6" i="5"/>
  <c r="J11" i="5"/>
  <c r="K8" i="5"/>
  <c r="L6" i="5"/>
  <c r="J9" i="5"/>
  <c r="K6" i="5"/>
  <c r="M9" i="5"/>
  <c r="M11" i="5"/>
  <c r="K10" i="5"/>
  <c r="N9" i="5"/>
  <c r="M10" i="5"/>
  <c r="K9" i="5"/>
  <c r="N11" i="5"/>
  <c r="L11" i="5"/>
  <c r="L10" i="5"/>
  <c r="K11" i="5"/>
  <c r="M8" i="5"/>
  <c r="N8" i="5"/>
  <c r="L9" i="5"/>
  <c r="N10" i="5"/>
  <c r="L19" i="2" l="1"/>
  <c r="J19" i="2"/>
  <c r="I19" i="2"/>
  <c r="H30" i="1"/>
  <c r="H20" i="3"/>
  <c r="I14" i="9" s="1"/>
  <c r="H31" i="1"/>
  <c r="H26" i="1"/>
  <c r="I5" i="9"/>
  <c r="I6" i="9" s="1"/>
  <c r="H3" i="1"/>
  <c r="H9" i="1" s="1"/>
  <c r="D88" i="2"/>
  <c r="H5" i="2"/>
  <c r="I12" i="9" s="1"/>
  <c r="H27" i="1"/>
  <c r="I7" i="1"/>
  <c r="H15" i="3"/>
  <c r="H17" i="3"/>
  <c r="H16" i="3"/>
  <c r="H19" i="3" s="1"/>
  <c r="H28" i="1"/>
  <c r="M12" i="9"/>
  <c r="L21" i="3"/>
  <c r="H21" i="3"/>
  <c r="H22" i="3" s="1"/>
  <c r="I8" i="9" s="1"/>
  <c r="J12" i="9"/>
  <c r="I21" i="3"/>
  <c r="I22" i="3" s="1"/>
  <c r="L22" i="3"/>
  <c r="M8" i="9" s="1"/>
  <c r="L28" i="3"/>
  <c r="L3" i="3"/>
  <c r="J4" i="3"/>
  <c r="I5" i="3"/>
  <c r="J57" i="5"/>
  <c r="J56" i="5"/>
  <c r="K20" i="5"/>
  <c r="K56" i="5"/>
  <c r="J44" i="5"/>
  <c r="K76" i="2"/>
  <c r="J5" i="2"/>
  <c r="F88" i="2"/>
  <c r="J5" i="9"/>
  <c r="E88" i="2"/>
  <c r="L19" i="9"/>
  <c r="I16" i="9"/>
  <c r="K14" i="9"/>
  <c r="K5" i="9"/>
  <c r="J14" i="9"/>
  <c r="I38" i="5"/>
  <c r="B19" i="5"/>
  <c r="I77" i="5"/>
  <c r="I33" i="5"/>
  <c r="I26" i="5"/>
  <c r="B60" i="5"/>
  <c r="B62" i="4" s="1"/>
  <c r="B17" i="5"/>
  <c r="B15" i="5"/>
  <c r="N20" i="5"/>
  <c r="N25" i="5"/>
  <c r="N57" i="5"/>
  <c r="N43" i="5"/>
  <c r="N23" i="5"/>
  <c r="N61" i="5"/>
  <c r="N18" i="5"/>
  <c r="N44" i="5"/>
  <c r="N24" i="5"/>
  <c r="N46" i="5"/>
  <c r="N29" i="5"/>
  <c r="N56" i="5"/>
  <c r="M47" i="5"/>
  <c r="M43" i="5"/>
  <c r="M50" i="5"/>
  <c r="N47" i="5"/>
  <c r="M46" i="5"/>
  <c r="M25" i="5"/>
  <c r="K61" i="5"/>
  <c r="M57" i="5"/>
  <c r="M24" i="5"/>
  <c r="J47" i="5"/>
  <c r="M44" i="5"/>
  <c r="L29" i="5"/>
  <c r="L24" i="5"/>
  <c r="J23" i="5"/>
  <c r="M18" i="5"/>
  <c r="L25" i="5"/>
  <c r="K25" i="5"/>
  <c r="M23" i="5"/>
  <c r="J33" i="5"/>
  <c r="K23" i="5"/>
  <c r="K47" i="5"/>
  <c r="K50" i="5"/>
  <c r="K57" i="5"/>
  <c r="K33" i="5"/>
  <c r="K24" i="5"/>
  <c r="J18" i="5"/>
  <c r="J29" i="5"/>
  <c r="K46" i="5"/>
  <c r="J61" i="5"/>
  <c r="J24" i="5"/>
  <c r="K18" i="5"/>
  <c r="L23" i="5"/>
  <c r="K29" i="5"/>
  <c r="L47" i="5"/>
  <c r="K43" i="5"/>
  <c r="J50" i="5"/>
  <c r="M56" i="5"/>
  <c r="M33" i="5"/>
  <c r="J43" i="5"/>
  <c r="K44" i="5"/>
  <c r="M29" i="5"/>
  <c r="M61" i="5"/>
  <c r="L46" i="5"/>
  <c r="L43" i="5"/>
  <c r="L61" i="5"/>
  <c r="J12" i="5"/>
  <c r="J77" i="5"/>
  <c r="J38" i="5"/>
  <c r="J26" i="5"/>
  <c r="M77" i="5"/>
  <c r="M38" i="5"/>
  <c r="M12" i="5"/>
  <c r="M26" i="5"/>
  <c r="L44" i="5"/>
  <c r="L33" i="5"/>
  <c r="L77" i="5"/>
  <c r="L26" i="5"/>
  <c r="L12" i="5"/>
  <c r="L38" i="5"/>
  <c r="L50" i="5"/>
  <c r="L20" i="5"/>
  <c r="J20" i="5"/>
  <c r="N12" i="5"/>
  <c r="N77" i="5"/>
  <c r="N38" i="5"/>
  <c r="N26" i="5"/>
  <c r="L18" i="5"/>
  <c r="J46" i="5"/>
  <c r="L57" i="5"/>
  <c r="K77" i="5"/>
  <c r="K38" i="5"/>
  <c r="K12" i="5"/>
  <c r="K26" i="5"/>
  <c r="N33" i="5"/>
  <c r="B37" i="5"/>
  <c r="B38" i="4" s="1"/>
  <c r="K53" i="4"/>
  <c r="J53" i="4"/>
  <c r="L53" i="4"/>
  <c r="M53" i="4"/>
  <c r="I61" i="5"/>
  <c r="I50" i="5"/>
  <c r="I57" i="5"/>
  <c r="I46" i="5"/>
  <c r="I24" i="5"/>
  <c r="I18" i="5"/>
  <c r="I29" i="5"/>
  <c r="I23" i="5"/>
  <c r="I43" i="5"/>
  <c r="B8" i="5"/>
  <c r="B10" i="5"/>
  <c r="B12" i="4" s="1"/>
  <c r="J12" i="4" s="1"/>
  <c r="B11" i="5"/>
  <c r="B13" i="4" s="1"/>
  <c r="K13" i="4" s="1"/>
  <c r="B6" i="5"/>
  <c r="B8" i="4" s="1"/>
  <c r="B9" i="5"/>
  <c r="B11" i="4" s="1"/>
  <c r="J9" i="4"/>
  <c r="L9" i="4"/>
  <c r="K9" i="4"/>
  <c r="J7" i="1" l="1"/>
  <c r="J17" i="2"/>
  <c r="I17" i="2"/>
  <c r="H33" i="1"/>
  <c r="I26" i="1"/>
  <c r="I15" i="9"/>
  <c r="J6" i="9"/>
  <c r="I6" i="1"/>
  <c r="J26" i="1"/>
  <c r="I33" i="1"/>
  <c r="I26" i="3"/>
  <c r="I27" i="3" s="1"/>
  <c r="J8" i="9"/>
  <c r="J9" i="9" s="1"/>
  <c r="H26" i="3"/>
  <c r="H27" i="3" s="1"/>
  <c r="I18" i="9" s="1"/>
  <c r="K12" i="9"/>
  <c r="J21" i="3"/>
  <c r="J22" i="3" s="1"/>
  <c r="L12" i="9"/>
  <c r="K21" i="3"/>
  <c r="K22" i="3" s="1"/>
  <c r="K4" i="3"/>
  <c r="J5" i="3"/>
  <c r="K6" i="9"/>
  <c r="I9" i="9"/>
  <c r="I10" i="9"/>
  <c r="J16" i="9"/>
  <c r="J15" i="9"/>
  <c r="K16" i="9"/>
  <c r="K15" i="9"/>
  <c r="I19" i="3"/>
  <c r="J19" i="3"/>
  <c r="B29" i="5"/>
  <c r="B30" i="4" s="1"/>
  <c r="B25" i="5"/>
  <c r="B28" i="4" s="1"/>
  <c r="B20" i="5"/>
  <c r="B22" i="4" s="1"/>
  <c r="B47" i="5"/>
  <c r="B49" i="4" s="1"/>
  <c r="B17" i="4"/>
  <c r="B56" i="5"/>
  <c r="B58" i="4" s="1"/>
  <c r="B61" i="5"/>
  <c r="B63" i="4" s="1"/>
  <c r="B33" i="5"/>
  <c r="B65" i="4" s="1"/>
  <c r="B77" i="5"/>
  <c r="B79" i="4" s="1"/>
  <c r="B16" i="5"/>
  <c r="B18" i="4" s="1"/>
  <c r="B44" i="5"/>
  <c r="B46" i="4" s="1"/>
  <c r="B12" i="5"/>
  <c r="B14" i="4" s="1"/>
  <c r="B23" i="5"/>
  <c r="B26" i="4" s="1"/>
  <c r="B57" i="5"/>
  <c r="B59" i="4" s="1"/>
  <c r="B50" i="5"/>
  <c r="B52" i="4" s="1"/>
  <c r="B21" i="4"/>
  <c r="K21" i="4" s="1"/>
  <c r="B26" i="5"/>
  <c r="B29" i="4" s="1"/>
  <c r="B24" i="5"/>
  <c r="B27" i="4" s="1"/>
  <c r="B38" i="5"/>
  <c r="B18" i="5"/>
  <c r="B20" i="4" s="1"/>
  <c r="J20" i="4" s="1"/>
  <c r="B46" i="5"/>
  <c r="B48" i="4" s="1"/>
  <c r="B43" i="5"/>
  <c r="B45" i="4" s="1"/>
  <c r="B10" i="4"/>
  <c r="K10" i="4" s="1"/>
  <c r="K12" i="4"/>
  <c r="N12" i="4"/>
  <c r="N13" i="4"/>
  <c r="M13" i="4"/>
  <c r="M12" i="4"/>
  <c r="L12" i="4"/>
  <c r="L13" i="4"/>
  <c r="J13" i="4"/>
  <c r="M8" i="4"/>
  <c r="L8" i="4"/>
  <c r="J8" i="4"/>
  <c r="K8" i="4"/>
  <c r="I16" i="2" l="1"/>
  <c r="K7" i="1"/>
  <c r="J6" i="1"/>
  <c r="I9" i="1"/>
  <c r="J10" i="9"/>
  <c r="K26" i="3"/>
  <c r="K27" i="3" s="1"/>
  <c r="K28" i="3" s="1"/>
  <c r="L8" i="9"/>
  <c r="H28" i="3"/>
  <c r="H31" i="3" s="1"/>
  <c r="J26" i="3"/>
  <c r="J27" i="3" s="1"/>
  <c r="K18" i="9" s="1"/>
  <c r="K8" i="9"/>
  <c r="I28" i="3"/>
  <c r="J18" i="9"/>
  <c r="K26" i="1"/>
  <c r="J33" i="1"/>
  <c r="L4" i="3"/>
  <c r="L5" i="3" s="1"/>
  <c r="K5" i="3"/>
  <c r="M5" i="9"/>
  <c r="L29" i="2"/>
  <c r="M21" i="9" s="1"/>
  <c r="L5" i="9"/>
  <c r="L6" i="9" s="1"/>
  <c r="G88" i="2"/>
  <c r="H88" i="2" s="1"/>
  <c r="L14" i="9"/>
  <c r="M14" i="9"/>
  <c r="L20" i="4"/>
  <c r="M20" i="4"/>
  <c r="J21" i="4"/>
  <c r="L21" i="4"/>
  <c r="K17" i="4"/>
  <c r="J17" i="4"/>
  <c r="L17" i="4"/>
  <c r="J18" i="4"/>
  <c r="K18" i="4"/>
  <c r="L18" i="4"/>
  <c r="M18" i="4"/>
  <c r="M21" i="4"/>
  <c r="N8" i="4"/>
  <c r="M17" i="4"/>
  <c r="K20" i="4"/>
  <c r="M10" i="4"/>
  <c r="N10" i="4" s="1"/>
  <c r="K11" i="4"/>
  <c r="J10" i="4"/>
  <c r="J11" i="4" s="1"/>
  <c r="L10" i="4"/>
  <c r="L11" i="4" s="1"/>
  <c r="L7" i="1" l="1"/>
  <c r="L17" i="2"/>
  <c r="K16" i="2"/>
  <c r="K17" i="2"/>
  <c r="J16" i="2"/>
  <c r="K6" i="1"/>
  <c r="J9" i="1"/>
  <c r="K9" i="9"/>
  <c r="K10" i="9"/>
  <c r="L18" i="9"/>
  <c r="J28" i="3"/>
  <c r="L26" i="1"/>
  <c r="L33" i="1" s="1"/>
  <c r="K33" i="1"/>
  <c r="H29" i="2"/>
  <c r="I21" i="9" s="1"/>
  <c r="I25" i="9" s="1"/>
  <c r="I88" i="2"/>
  <c r="L19" i="3"/>
  <c r="M15" i="9"/>
  <c r="M16" i="9"/>
  <c r="M10" i="9"/>
  <c r="L9" i="9"/>
  <c r="L10" i="9"/>
  <c r="L15" i="9"/>
  <c r="L16" i="9"/>
  <c r="M9" i="9"/>
  <c r="M6" i="9"/>
  <c r="K19" i="3"/>
  <c r="J19" i="4"/>
  <c r="J22" i="4" s="1"/>
  <c r="L19" i="4"/>
  <c r="L22" i="4" s="1"/>
  <c r="M19" i="4"/>
  <c r="K19" i="4"/>
  <c r="K22" i="4" s="1"/>
  <c r="L14" i="4"/>
  <c r="L45" i="4" s="1"/>
  <c r="K14" i="4"/>
  <c r="K27" i="4" s="1"/>
  <c r="J14" i="4"/>
  <c r="J46" i="4" s="1"/>
  <c r="N11" i="4"/>
  <c r="N14" i="4" s="1"/>
  <c r="M11" i="4"/>
  <c r="K9" i="1" l="1"/>
  <c r="L6" i="1"/>
  <c r="L16" i="2" s="1"/>
  <c r="I29" i="2"/>
  <c r="J21" i="9" s="1"/>
  <c r="J25" i="9" s="1"/>
  <c r="J88" i="2"/>
  <c r="I26" i="9"/>
  <c r="I27" i="9"/>
  <c r="M22" i="4"/>
  <c r="L26" i="4"/>
  <c r="L27" i="4"/>
  <c r="L28" i="4"/>
  <c r="L52" i="4"/>
  <c r="L59" i="4"/>
  <c r="J23" i="4"/>
  <c r="W31" i="4" s="1"/>
  <c r="L48" i="4"/>
  <c r="L83" i="4" s="1"/>
  <c r="L63" i="4"/>
  <c r="L79" i="4"/>
  <c r="L65" i="4"/>
  <c r="L34" i="4" s="1"/>
  <c r="L36" i="4" s="1"/>
  <c r="L30" i="4"/>
  <c r="L62" i="4"/>
  <c r="L86" i="4" s="1"/>
  <c r="J45" i="4"/>
  <c r="K63" i="4"/>
  <c r="J79" i="4"/>
  <c r="K28" i="4"/>
  <c r="J52" i="4"/>
  <c r="K59" i="4"/>
  <c r="J27" i="4"/>
  <c r="J58" i="4" s="1"/>
  <c r="J48" i="4"/>
  <c r="J83" i="4" s="1"/>
  <c r="K62" i="4"/>
  <c r="K86" i="4" s="1"/>
  <c r="K65" i="4"/>
  <c r="K34" i="4" s="1"/>
  <c r="K36" i="4" s="1"/>
  <c r="J26" i="4"/>
  <c r="J30" i="4"/>
  <c r="W32" i="4" s="1"/>
  <c r="J59" i="4"/>
  <c r="K45" i="4"/>
  <c r="K48" i="4"/>
  <c r="K83" i="4" s="1"/>
  <c r="J62" i="4"/>
  <c r="J86" i="4" s="1"/>
  <c r="J65" i="4"/>
  <c r="J34" i="4" s="1"/>
  <c r="J36" i="4" s="1"/>
  <c r="M14" i="4"/>
  <c r="K30" i="4"/>
  <c r="K52" i="4"/>
  <c r="J63" i="4"/>
  <c r="K26" i="4"/>
  <c r="J28" i="4"/>
  <c r="K79" i="4"/>
  <c r="J49" i="4"/>
  <c r="K49" i="4" s="1"/>
  <c r="X25" i="4" s="1"/>
  <c r="X27" i="4" s="1"/>
  <c r="K46" i="4"/>
  <c r="J81" i="4"/>
  <c r="K23" i="4"/>
  <c r="X31" i="4" s="1"/>
  <c r="L23" i="4"/>
  <c r="Y31" i="4" s="1"/>
  <c r="M25" i="9" l="1"/>
  <c r="M26" i="9" s="1"/>
  <c r="L9" i="1"/>
  <c r="J29" i="2"/>
  <c r="K21" i="9" s="1"/>
  <c r="K25" i="9" s="1"/>
  <c r="K88" i="2"/>
  <c r="K29" i="2" s="1"/>
  <c r="L21" i="9" s="1"/>
  <c r="L25" i="9" s="1"/>
  <c r="J27" i="9"/>
  <c r="J26" i="9"/>
  <c r="M59" i="4"/>
  <c r="L29" i="4"/>
  <c r="J60" i="4"/>
  <c r="W11" i="4" s="1"/>
  <c r="L37" i="4"/>
  <c r="L38" i="4" s="1"/>
  <c r="L39" i="4" s="1"/>
  <c r="Y43" i="4" s="1"/>
  <c r="Y44" i="4" s="1"/>
  <c r="Y32" i="4"/>
  <c r="M62" i="4"/>
  <c r="M86" i="4" s="1"/>
  <c r="M45" i="4"/>
  <c r="M63" i="4"/>
  <c r="K58" i="4"/>
  <c r="K60" i="4" s="1"/>
  <c r="X11" i="4" s="1"/>
  <c r="K37" i="4"/>
  <c r="K38" i="4" s="1"/>
  <c r="K39" i="4" s="1"/>
  <c r="X32" i="4"/>
  <c r="Y18" i="4"/>
  <c r="M26" i="4"/>
  <c r="J37" i="4"/>
  <c r="J38" i="4" s="1"/>
  <c r="J39" i="4" s="1"/>
  <c r="W43" i="4" s="1"/>
  <c r="W44" i="4" s="1"/>
  <c r="M52" i="4"/>
  <c r="M79" i="4"/>
  <c r="K29" i="4"/>
  <c r="X18" i="4"/>
  <c r="M30" i="4"/>
  <c r="Z32" i="4" s="1"/>
  <c r="M27" i="4"/>
  <c r="M48" i="4"/>
  <c r="M83" i="4" s="1"/>
  <c r="M65" i="4"/>
  <c r="M34" i="4" s="1"/>
  <c r="M36" i="4" s="1"/>
  <c r="M28" i="4"/>
  <c r="J85" i="4"/>
  <c r="W18" i="4"/>
  <c r="J50" i="4"/>
  <c r="J54" i="4" s="1"/>
  <c r="W23" i="4" s="1"/>
  <c r="J29" i="4"/>
  <c r="J82" i="4"/>
  <c r="W25" i="4"/>
  <c r="W27" i="4" s="1"/>
  <c r="L49" i="4"/>
  <c r="K82" i="4"/>
  <c r="L46" i="4"/>
  <c r="K81" i="4"/>
  <c r="K50" i="4"/>
  <c r="M23" i="4"/>
  <c r="Z31" i="4" s="1"/>
  <c r="M27" i="9" l="1"/>
  <c r="L26" i="9"/>
  <c r="L27" i="9"/>
  <c r="K27" i="9"/>
  <c r="K26" i="9"/>
  <c r="L70" i="4"/>
  <c r="K70" i="4"/>
  <c r="X43" i="4"/>
  <c r="X44" i="4" s="1"/>
  <c r="L58" i="4"/>
  <c r="M58" i="4" s="1"/>
  <c r="W9" i="4"/>
  <c r="J64" i="4"/>
  <c r="W16" i="4" s="1"/>
  <c r="M29" i="4"/>
  <c r="L77" i="4"/>
  <c r="W33" i="4"/>
  <c r="K64" i="4"/>
  <c r="K77" i="4"/>
  <c r="K85" i="4"/>
  <c r="Z18" i="4"/>
  <c r="W10" i="4"/>
  <c r="M37" i="4"/>
  <c r="M38" i="4" s="1"/>
  <c r="M39" i="4" s="1"/>
  <c r="M49" i="4"/>
  <c r="Y25" i="4"/>
  <c r="Y27" i="4" s="1"/>
  <c r="K54" i="4"/>
  <c r="X23" i="4" s="1"/>
  <c r="X10" i="4"/>
  <c r="X9" i="4"/>
  <c r="L81" i="4"/>
  <c r="M46" i="4"/>
  <c r="M81" i="4" s="1"/>
  <c r="L50" i="4"/>
  <c r="L82" i="4"/>
  <c r="J70" i="4"/>
  <c r="J77" i="4"/>
  <c r="J87" i="4" s="1"/>
  <c r="W12" i="4" s="1"/>
  <c r="M82" i="4" l="1"/>
  <c r="Z25" i="4"/>
  <c r="Z27" i="4" s="1"/>
  <c r="M70" i="4"/>
  <c r="Z43" i="4"/>
  <c r="Z44" i="4" s="1"/>
  <c r="J71" i="4"/>
  <c r="W41" i="4" s="1"/>
  <c r="L60" i="4"/>
  <c r="Y9" i="4" s="1"/>
  <c r="L85" i="4"/>
  <c r="L87" i="4" s="1"/>
  <c r="K87" i="4"/>
  <c r="X12" i="4" s="1"/>
  <c r="M77" i="4"/>
  <c r="X33" i="4"/>
  <c r="K71" i="4"/>
  <c r="X41" i="4" s="1"/>
  <c r="X16" i="4"/>
  <c r="M85" i="4"/>
  <c r="M60" i="4"/>
  <c r="M64" i="4" s="1"/>
  <c r="L54" i="4"/>
  <c r="M50" i="4"/>
  <c r="J72" i="4" l="1"/>
  <c r="W34" i="4"/>
  <c r="W17" i="4"/>
  <c r="Y11" i="4"/>
  <c r="L64" i="4"/>
  <c r="Y16" i="4" s="1"/>
  <c r="Y12" i="4"/>
  <c r="Y10" i="4"/>
  <c r="M87" i="4"/>
  <c r="Z12" i="4" s="1"/>
  <c r="K72" i="4"/>
  <c r="X34" i="4"/>
  <c r="Y23" i="4"/>
  <c r="Y33" i="4"/>
  <c r="X17" i="4"/>
  <c r="M54" i="4"/>
  <c r="Z9" i="4"/>
  <c r="M71" i="4" l="1"/>
  <c r="Z23" i="4"/>
  <c r="Z33" i="4"/>
  <c r="L71" i="4"/>
  <c r="Y41" i="4" s="1"/>
  <c r="Y17" i="4" l="1"/>
  <c r="Y34" i="4"/>
  <c r="L72" i="4"/>
  <c r="M72" i="4"/>
  <c r="Z41" i="4"/>
  <c r="Z34"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tc={43960CEE-E17E-A548-B3EB-A8FCAC32381A}</author>
    <author>tc={BC519D3E-EA6A-EB49-8E4E-19F2C8C4BE0E}</author>
    <author>tc={A48CE072-5C09-9E4B-8529-38AAE45FA8E6}</author>
    <author>tc={1F69EC5B-E85C-3B4A-9FEC-33F3B47C4E4D}</author>
  </authors>
  <commentList>
    <comment ref="D10" authorId="0" shapeId="0" xr:uid="{43960CEE-E17E-A548-B3EB-A8FCAC32381A}">
      <text>
        <t xml:space="preserve">[Threaded comment]
Your version of Excel allows you to read this threaded comment; however, any edits to it will get removed if the file is opened in a newer version of Excel. Learn more: https://go.microsoft.com/fwlink/?linkid=870924
Comment:
    very bad year, how to adjust?
</t>
      </text>
    </comment>
    <comment ref="E14" authorId="1" shapeId="0" xr:uid="{BC519D3E-EA6A-EB49-8E4E-19F2C8C4BE0E}">
      <text>
        <t xml:space="preserve">[Threaded comment]
Your version of Excel allows you to read this threaded comment; however, any edits to it will get removed if the file is opened in a newer version of Excel. Learn more: https://go.microsoft.com/fwlink/?linkid=870924
Comment:
    better to use - or () for negative number? </t>
      </text>
    </comment>
    <comment ref="B18" authorId="2" shapeId="0" xr:uid="{A48CE072-5C09-9E4B-8529-38AAE45FA8E6}">
      <text>
        <t xml:space="preserve">[Threaded comment]
Your version of Excel allows you to read this threaded comment; however, any edits to it will get removed if the file is opened in a newer version of Excel. Learn more: https://go.microsoft.com/fwlink/?linkid=870924
Comment:
    can i use tax provision?
</t>
      </text>
    </comment>
    <comment ref="B23" authorId="3" shapeId="0" xr:uid="{1F69EC5B-E85C-3B4A-9FEC-33F3B47C4E4D}">
      <text>
        <t>[Threaded comment]
Your version of Excel allows you to read this threaded comment; however, any edits to it will get removed if the file is opened in a newer version of Excel. Learn more: https://go.microsoft.com/fwlink/?linkid=870924
Comment:
    use items from BS?
or cashflow?
did it include the right items?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tc={FBF89016-947A-344A-9CD7-7DF3A2C44089}</author>
  </authors>
  <commentList>
    <comment ref="D5" authorId="0" shapeId="0" xr:uid="{FBF89016-947A-344A-9CD7-7DF3A2C44089}">
      <text>
        <t xml:space="preserve">[Threaded comment]
Your version of Excel allows you to read this threaded comment; however, any edits to it will get removed if the file is opened in a newer version of Excel. Learn more: https://go.microsoft.com/fwlink/?linkid=870924
Comment:
    actual number in what color?
Reply:
    and projection color?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tc={382819B2-45F9-5F49-86AF-011FBBE420C4}</author>
    <author>tc={3EEBBC4D-5D3D-6C46-93EE-E5E67F812D84}</author>
    <author>tc={B6D3F350-764C-EB4F-A80C-01D14DAEABF4}</author>
    <author>tc={C7DB870B-09F8-094A-983E-E8E94A9215B6}</author>
    <author>tc={504C0097-99AC-A248-B23C-6075384BF6E2}</author>
    <author>Microsoft Office User</author>
  </authors>
  <commentList>
    <comment ref="C20" authorId="0" shapeId="0" xr:uid="{382819B2-45F9-5F49-86AF-011FBBE420C4}">
      <text>
        <t>[Threaded comment]
Your version of Excel allows you to read this threaded comment; however, any edits to it will get removed if the file is opened in a newer version of Excel. Learn more: https://go.microsoft.com/fwlink/?linkid=870924
Comment:
    rarely bad year, ignore?</t>
      </text>
    </comment>
    <comment ref="A29" authorId="1" shapeId="0" xr:uid="{3EEBBC4D-5D3D-6C46-93EE-E5E67F812D84}">
      <text>
        <t xml:space="preserve">[Threaded comment]
Your version of Excel allows you to read this threaded comment; however, any edits to it will get removed if the file is opened in a newer version of Excel. Learn more: https://go.microsoft.com/fwlink/?linkid=870924
Comment:
    difference between comprehensive income vs non-operating income?
</t>
      </text>
    </comment>
    <comment ref="L38" authorId="2" shapeId="0" xr:uid="{B6D3F350-764C-EB4F-A80C-01D14DAEABF4}">
      <text>
        <t>[Threaded comment]
Your version of Excel allows you to read this threaded comment; however, any edits to it will get removed if the file is opened in a newer version of Excel. Learn more: https://go.microsoft.com/fwlink/?linkid=870924
Comment:
    how to determine terminal rate</t>
      </text>
    </comment>
    <comment ref="F47" authorId="3" shapeId="0" xr:uid="{C7DB870B-09F8-094A-983E-E8E94A9215B6}">
      <text>
        <t xml:space="preserve">[Threaded comment]
Your version of Excel allows you to read this threaded comment; however, any edits to it will get removed if the file is opened in a newer version of Excel. Learn more: https://go.microsoft.com/fwlink/?linkid=870924
Comment:
    遇到有些减小的负数 手动调整吗
</t>
      </text>
    </comment>
    <comment ref="H54" authorId="4" shapeId="0" xr:uid="{504C0097-99AC-A248-B23C-6075384BF6E2}">
      <text>
        <t xml:space="preserve">[Threaded comment]
Your version of Excel allows you to read this threaded comment; however, any edits to it will get removed if the file is opened in a newer version of Excel. Learn more: https://go.microsoft.com/fwlink/?linkid=870924
Comment:
    negative number - adjusted by using only past 4 years 
</t>
      </text>
    </comment>
    <comment ref="A99" authorId="5" shapeId="0" xr:uid="{2194E8DD-860F-F441-8098-F8BF5DC4BCF7}">
      <text>
        <r>
          <rPr>
            <b/>
            <sz val="10"/>
            <color rgb="FF000000"/>
            <rFont val="Tahoma"/>
            <family val="2"/>
          </rPr>
          <t>Microsoft Office User:</t>
        </r>
        <r>
          <rPr>
            <sz val="10"/>
            <color rgb="FF000000"/>
            <rFont val="Tahoma"/>
            <family val="2"/>
          </rPr>
          <t xml:space="preserve">
</t>
        </r>
        <r>
          <rPr>
            <sz val="10"/>
            <color rgb="FF000000"/>
            <rFont val="Tahoma"/>
            <family val="2"/>
          </rPr>
          <t>ignore all below?</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tc={FB68847B-5656-B740-87CB-4D133855CAF8}</author>
    <author>tc={98ECDB14-E1F0-3F44-A99F-2FF4621BF2C4}</author>
    <author>tc={116AD49A-FB71-064C-A52A-5E50B012FDE8}</author>
    <author>tc={1D685111-5AC0-5E46-84DC-0AB3A1877882}</author>
  </authors>
  <commentList>
    <comment ref="A4" authorId="0" shapeId="0" xr:uid="{FB68847B-5656-B740-87CB-4D133855CAF8}">
      <text>
        <t xml:space="preserve">[Threaded comment]
Your version of Excel allows you to read this threaded comment; however, any edits to it will get removed if the file is opened in a newer version of Excel. Learn more: https://go.microsoft.com/fwlink/?linkid=870924
Comment:
    ignore?
</t>
      </text>
    </comment>
    <comment ref="A5" authorId="1" shapeId="0" xr:uid="{98ECDB14-E1F0-3F44-A99F-2FF4621BF2C4}">
      <text>
        <t>[Threaded comment]
Your version of Excel allows you to read this threaded comment; however, any edits to it will get removed if the file is opened in a newer version of Excel. Learn more: https://go.microsoft.com/fwlink/?linkid=870924
Comment:
    ignore?</t>
      </text>
    </comment>
    <comment ref="A34" authorId="2" shapeId="0" xr:uid="{116AD49A-FB71-064C-A52A-5E50B012FDE8}">
      <text>
        <t>[Threaded comment]
Your version of Excel allows you to read this threaded comment; however, any edits to it will get removed if the file is opened in a newer version of Excel. Learn more: https://go.microsoft.com/fwlink/?linkid=870924
Comment:
    use items from BS?
or cashflow?
did it include the right items?</t>
      </text>
    </comment>
    <comment ref="A59" authorId="3" shapeId="0" xr:uid="{1D685111-5AC0-5E46-84DC-0AB3A1877882}">
      <text>
        <t xml:space="preserve">[Threaded comment]
Your version of Excel allows you to read this threaded comment; however, any edits to it will get removed if the file is opened in a newer version of Excel. Learn more: https://go.microsoft.com/fwlink/?linkid=870924
Comment:
    divide by total COGS or auto sales COGS?
Reply:
    turnover days: why account receivable *365? 2 period avegae *365 =! a year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tc={CB4610F2-A0CD-7E46-898A-3A86CA757075}</author>
    <author>tc={E673100B-729F-514C-B0C1-6C1226F380E7}</author>
    <author>tc={2FA14FFA-4670-B14A-8573-E49ED4C61E5E}</author>
    <author>tc={D93FD0F0-A4A1-5346-A003-96695AAE26E7}</author>
  </authors>
  <commentList>
    <comment ref="L5" authorId="0" shapeId="0" xr:uid="{CB4610F2-A0CD-7E46-898A-3A86CA757075}">
      <text>
        <t>[Threaded comment]
Your version of Excel allows you to read this threaded comment; however, any edits to it will get removed if the file is opened in a newer version of Excel. Learn more: https://go.microsoft.com/fwlink/?linkid=870924
Comment:
    terminal year also use margin?</t>
      </text>
    </comment>
    <comment ref="A16" authorId="1" shapeId="0" xr:uid="{E673100B-729F-514C-B0C1-6C1226F380E7}">
      <text>
        <t xml:space="preserve">[Threaded comment]
Your version of Excel allows you to read this threaded comment; however, any edits to it will get removed if the file is opened in a newer version of Excel. Learn more: https://go.microsoft.com/fwlink/?linkid=870924
Comment:
    see cash changes: 
Subtract the current year accounts receivable balance from the previous year balance, increase in AR = less cashflow received </t>
      </text>
    </comment>
    <comment ref="A18" authorId="2" shapeId="0" xr:uid="{2FA14FFA-4670-B14A-8573-E49ED4C61E5E}">
      <text>
        <t xml:space="preserve">[Threaded comment]
Your version of Excel allows you to read this threaded comment; however, any edits to it will get removed if the file is opened in a newer version of Excel. Learn more: https://go.microsoft.com/fwlink/?linkid=870924
Comment:
    dont have an item on BS to forecast </t>
      </text>
    </comment>
    <comment ref="A77" authorId="3" shapeId="0" xr:uid="{D93FD0F0-A4A1-5346-A003-96695AAE26E7}">
      <text>
        <t xml:space="preserve">[Threaded comment]
Your version of Excel allows you to read this threaded comment; however, any edits to it will get removed if the file is opened in a newer version of Excel. Learn more: https://go.microsoft.com/fwlink/?linkid=870924
Comment:
    is this changes in Working Capital, if not, which are not wc items
</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tc={9475B0DD-4F10-474B-899D-82045F6B30A6}</author>
    <author>Microsoft Office User</author>
  </authors>
  <commentList>
    <comment ref="B29" authorId="0" shapeId="0" xr:uid="{9475B0DD-4F10-474B-899D-82045F6B30A6}">
      <text>
        <t xml:space="preserve">[Threaded comment]
Your version of Excel allows you to read this threaded comment; however, any edits to it will get removed if the file is opened in a newer version of Excel. Learn more: https://go.microsoft.com/fwlink/?linkid=870924
Comment:
    negative
</t>
      </text>
    </comment>
    <comment ref="B38" authorId="1" shapeId="0" xr:uid="{131E58FF-6E76-AD46-A3C5-5E4E400F3D26}">
      <text>
        <r>
          <rPr>
            <b/>
            <sz val="10"/>
            <color rgb="FF000000"/>
            <rFont val="Tahoma"/>
            <family val="2"/>
          </rPr>
          <t>Microsoft Office User:</t>
        </r>
        <r>
          <rPr>
            <sz val="10"/>
            <color rgb="FF000000"/>
            <rFont val="Tahoma"/>
            <family val="2"/>
          </rPr>
          <t xml:space="preserve">
</t>
        </r>
        <r>
          <rPr>
            <sz val="10"/>
            <color rgb="FF000000"/>
            <rFont val="Tahoma"/>
            <family val="2"/>
          </rPr>
          <t>简单先用</t>
        </r>
        <r>
          <rPr>
            <sz val="10"/>
            <color rgb="FF000000"/>
            <rFont val="Tahoma"/>
            <family val="2"/>
          </rPr>
          <t>%</t>
        </r>
        <r>
          <rPr>
            <sz val="10"/>
            <color rgb="FF000000"/>
            <rFont val="Tahoma"/>
            <family val="2"/>
          </rPr>
          <t>代替</t>
        </r>
      </text>
    </comment>
    <comment ref="A45" authorId="1" shapeId="0" xr:uid="{D702FE97-334F-9A40-A122-970F39CD2ABB}">
      <text>
        <r>
          <rPr>
            <b/>
            <sz val="10"/>
            <color rgb="FF000000"/>
            <rFont val="Tahoma"/>
            <family val="2"/>
          </rPr>
          <t>Microsoft Office User:</t>
        </r>
        <r>
          <rPr>
            <sz val="10"/>
            <color rgb="FF000000"/>
            <rFont val="Tahoma"/>
            <family val="2"/>
          </rPr>
          <t xml:space="preserve">
</t>
        </r>
        <r>
          <rPr>
            <sz val="10"/>
            <color rgb="FF000000"/>
            <rFont val="Tahoma"/>
            <family val="2"/>
          </rPr>
          <t xml:space="preserve">not many data to predict constant rate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tc={629A4B0A-D3F4-0344-B0DE-94D1BC3A42A3}</author>
    <author>Microsoft Office User</author>
    <author>tc={B972D396-F1E9-4F42-8D50-F8EEAB73033B}</author>
  </authors>
  <commentList>
    <comment ref="C17" authorId="0" shapeId="0" xr:uid="{629A4B0A-D3F4-0344-B0DE-94D1BC3A42A3}">
      <text>
        <t>[Threaded comment]
Your version of Excel allows you to read this threaded comment; however, any edits to it will get removed if the file is opened in a newer version of Excel. Learn more: https://go.microsoft.com/fwlink/?linkid=870924
Comment:
    how to forcast the terminal rate for cogs</t>
      </text>
    </comment>
    <comment ref="P23" authorId="1" shapeId="0" xr:uid="{8F4ED7F1-75C9-9D48-87DA-9A03F41DD5E5}">
      <text>
        <r>
          <rPr>
            <b/>
            <sz val="10"/>
            <color rgb="FF000000"/>
            <rFont val="Tahoma"/>
            <family val="2"/>
          </rPr>
          <t>Microsoft Office User:</t>
        </r>
        <r>
          <rPr>
            <sz val="10"/>
            <color rgb="FF000000"/>
            <rFont val="Tahoma"/>
            <family val="2"/>
          </rPr>
          <t xml:space="preserve">
</t>
        </r>
        <r>
          <rPr>
            <sz val="10"/>
            <color rgb="FF000000"/>
            <rFont val="Tahoma"/>
            <family val="2"/>
          </rPr>
          <t>use auto sale or total?</t>
        </r>
      </text>
    </comment>
    <comment ref="P25" authorId="1" shapeId="0" xr:uid="{2C41CF20-2CB8-1642-AB0A-C0A8E0322820}">
      <text>
        <r>
          <rPr>
            <b/>
            <sz val="10"/>
            <color rgb="FF000000"/>
            <rFont val="Tahoma"/>
            <family val="2"/>
          </rPr>
          <t>Microsoft Office User:</t>
        </r>
        <r>
          <rPr>
            <sz val="10"/>
            <color rgb="FF000000"/>
            <rFont val="Tahoma"/>
            <family val="2"/>
          </rPr>
          <t xml:space="preserve">
</t>
        </r>
        <r>
          <rPr>
            <sz val="10"/>
            <color rgb="FF000000"/>
            <rFont val="Tahoma"/>
            <family val="2"/>
          </rPr>
          <t>avg inventory?</t>
        </r>
      </text>
    </comment>
    <comment ref="P26" authorId="1" shapeId="0" xr:uid="{C8F3386C-02CC-9049-B4EE-0BACDA9ECC48}">
      <text>
        <r>
          <rPr>
            <b/>
            <sz val="10"/>
            <color rgb="FF000000"/>
            <rFont val="Tahoma"/>
            <family val="2"/>
          </rPr>
          <t>Microsoft Office User:</t>
        </r>
        <r>
          <rPr>
            <sz val="10"/>
            <color rgb="FF000000"/>
            <rFont val="Tahoma"/>
            <family val="2"/>
          </rPr>
          <t xml:space="preserve">
</t>
        </r>
        <r>
          <rPr>
            <sz val="10"/>
            <color rgb="FF000000"/>
            <rFont val="Tahoma"/>
            <family val="2"/>
          </rPr>
          <t xml:space="preserve">net credit sale?
</t>
        </r>
      </text>
    </comment>
    <comment ref="B30" authorId="2" shapeId="0" xr:uid="{B972D396-F1E9-4F42-8D50-F8EEAB73033B}">
      <text>
        <t>[Threaded comment]
Your version of Excel allows you to read this threaded comment; however, any edits to it will get removed if the file is opened in a newer version of Excel. Learn more: https://go.microsoft.com/fwlink/?linkid=870924
Comment:
    negative avg. margin???</t>
      </text>
    </comment>
    <comment ref="A35" authorId="1" shapeId="0" xr:uid="{A27F430C-E08F-0A4D-A5EE-900D0181AC96}">
      <text>
        <r>
          <rPr>
            <b/>
            <sz val="10"/>
            <color rgb="FF000000"/>
            <rFont val="Tahoma"/>
            <family val="2"/>
          </rPr>
          <t>Microsoft Office User:</t>
        </r>
        <r>
          <rPr>
            <sz val="10"/>
            <color rgb="FF000000"/>
            <rFont val="Tahoma"/>
            <family val="2"/>
          </rPr>
          <t xml:space="preserve">
</t>
        </r>
        <r>
          <rPr>
            <sz val="10"/>
            <color rgb="FF000000"/>
            <rFont val="Tahoma"/>
            <family val="2"/>
          </rPr>
          <t xml:space="preserve">ignore?
</t>
        </r>
      </text>
    </comment>
    <comment ref="K69" authorId="1" shapeId="0" xr:uid="{0AFF64AE-9543-E84B-8418-712FB580D4D7}">
      <text>
        <r>
          <rPr>
            <b/>
            <sz val="10"/>
            <color rgb="FF000000"/>
            <rFont val="Tahoma"/>
            <family val="2"/>
          </rPr>
          <t>Microsoft Office User:</t>
        </r>
        <r>
          <rPr>
            <sz val="10"/>
            <color rgb="FF000000"/>
            <rFont val="Tahoma"/>
            <family val="2"/>
          </rPr>
          <t xml:space="preserve">
</t>
        </r>
        <r>
          <rPr>
            <sz val="10"/>
            <color rgb="FF000000"/>
            <rFont val="Tahoma"/>
            <family val="2"/>
          </rPr>
          <t>tvm?</t>
        </r>
      </text>
    </comment>
    <comment ref="D70" authorId="1" shapeId="0" xr:uid="{DB400D94-0948-A440-BED6-E83A13E44738}">
      <text>
        <r>
          <rPr>
            <b/>
            <sz val="10"/>
            <color rgb="FF000000"/>
            <rFont val="Tahoma"/>
            <family val="2"/>
          </rPr>
          <t>Microsoft Office User:</t>
        </r>
        <r>
          <rPr>
            <sz val="10"/>
            <color rgb="FF000000"/>
            <rFont val="Tahoma"/>
            <family val="2"/>
          </rPr>
          <t xml:space="preserve">
</t>
        </r>
        <r>
          <rPr>
            <sz val="10"/>
            <color rgb="FF000000"/>
            <rFont val="Tahoma"/>
            <family val="2"/>
          </rPr>
          <t>didnt have dividend</t>
        </r>
      </text>
    </comment>
    <comment ref="J70" authorId="1" shapeId="0" xr:uid="{857601B1-8195-2E4B-9C8F-A5C71CCE6AA8}">
      <text>
        <r>
          <rPr>
            <b/>
            <sz val="10"/>
            <color rgb="FF000000"/>
            <rFont val="Tahoma"/>
            <family val="2"/>
          </rPr>
          <t>Microsoft Office User:</t>
        </r>
        <r>
          <rPr>
            <sz val="10"/>
            <color rgb="FF000000"/>
            <rFont val="Tahoma"/>
            <family val="2"/>
          </rPr>
          <t xml:space="preserve">
</t>
        </r>
        <r>
          <rPr>
            <sz val="10"/>
            <color rgb="FF000000"/>
            <rFont val="Tahoma"/>
            <family val="2"/>
          </rPr>
          <t>didnt have dividend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2"/>
        </ext>
      </extLst>
    </bk>
    <bk>
      <extLst>
        <ext uri="{3e2802c4-a4d2-4d8b-9148-e3be6c30e623}">
          <xlrd:rvb i="5"/>
        </ext>
      </extLst>
    </bk>
    <bk>
      <extLst>
        <ext uri="{3e2802c4-a4d2-4d8b-9148-e3be6c30e623}">
          <xlrd:rvb i="7"/>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<sst xmlns="http://schemas.openxmlformats.org/spreadsheetml/2006/main" count="529" uniqueCount="336">
  <si>
    <t>Assets</t>
  </si>
  <si>
    <t>Current assets</t>
  </si>
  <si>
    <t>Cash and cash equivalents</t>
  </si>
  <si>
    <t>Restricted cash</t>
  </si>
  <si>
    <t>Short-term marketable securities</t>
  </si>
  <si>
    <t>Accounts receivable, net</t>
  </si>
  <si>
    <t>Inventory</t>
  </si>
  <si>
    <t>Prepaid expenses and other current assets</t>
  </si>
  <si>
    <t>Total current assets</t>
  </si>
  <si>
    <t>Operating lease vehicles, net</t>
  </si>
  <si>
    <t>Solar energy systems, net</t>
  </si>
  <si>
    <t>Property, plant and equipment, net</t>
  </si>
  <si>
    <t>Operating lease right-of-use assets</t>
  </si>
  <si>
    <t>Digital assets, net</t>
  </si>
  <si>
    <t>Intangible assets, net</t>
  </si>
  <si>
    <t>Goodwill</t>
  </si>
  <si>
    <t>MyPower customer notes receivable, net of current portion</t>
  </si>
  <si>
    <t>Restricted cash, net of current portion</t>
  </si>
  <si>
    <t>Other non-current assets</t>
  </si>
  <si>
    <t>Total assets</t>
  </si>
  <si>
    <t>Liabilities</t>
  </si>
  <si>
    <t>Current liabilities</t>
  </si>
  <si>
    <t>Accounts payable</t>
  </si>
  <si>
    <t>Accrued liabilities and other</t>
  </si>
  <si>
    <t>Deferred revenue</t>
  </si>
  <si>
    <t>Resale value guarantees</t>
  </si>
  <si>
    <t>Customer deposits</t>
  </si>
  <si>
    <t>Current portion of debt and finance leases</t>
  </si>
  <si>
    <t>Current portion of promissory notes issued to related parties</t>
  </si>
  <si>
    <t>Total current liabilities</t>
  </si>
  <si>
    <t>Debt and finance leases, net of current portion</t>
  </si>
  <si>
    <t>Solar bonds issued to related parties, net of current portion</t>
  </si>
  <si>
    <t>Convertible senior notes issued to related parties</t>
  </si>
  <si>
    <t>Deferred revenue, net of current portion</t>
  </si>
  <si>
    <t>Resale value guarantees, net of current portion</t>
  </si>
  <si>
    <t>Other long-term liabilities</t>
  </si>
  <si>
    <t>Total liabilities</t>
  </si>
  <si>
    <t>Stockholders' equity</t>
  </si>
  <si>
    <t>Common stock; $0.001 par value; 2,000 shares authorized;</t>
  </si>
  <si>
    <t>Additional paid-in capital</t>
  </si>
  <si>
    <t>Accumulated other comprehensive income</t>
  </si>
  <si>
    <t>Retained earnings (accumulated deficit)</t>
  </si>
  <si>
    <t>Total stockholders' equity</t>
  </si>
  <si>
    <t>Total liabilities and equity</t>
  </si>
  <si>
    <t>Cash paid during the period for taxes, net of refunds</t>
  </si>
  <si>
    <t>Cash paid during the period for interest, net of amounts capitalized</t>
  </si>
  <si>
    <t>Supplemental Disclosures</t>
  </si>
  <si>
    <t>Estimated fair value of facilities under build-to-suit leases</t>
  </si>
  <si>
    <t>Acquisitions of property and equipment included in liabilities</t>
  </si>
  <si>
    <t>Equity issued in connection with business combination</t>
  </si>
  <si>
    <t>Supplemental Non-Cash Investing and Financing Activities</t>
  </si>
  <si>
    <t>Cash and cash equivalents and restricted cash, end of period</t>
  </si>
  <si>
    <t>Cash and cash equivalents and restricted cash, beginning of period</t>
  </si>
  <si>
    <t>Net (decrease) increase in cash and cash equivalents and restricted cash</t>
  </si>
  <si>
    <t>Effect of exchange rate changes on cash and cash equivalents and restricted cash</t>
  </si>
  <si>
    <t>Net cash (used in) provided by financing activities</t>
  </si>
  <si>
    <t>Payments for buy-outs of noncontrolling interests in subsidiaries</t>
  </si>
  <si>
    <t>Distributions paid to noncontrolling interests in subsidiaries</t>
  </si>
  <si>
    <t>Proceeds from investments by noncontrolling interests in subsidiaries</t>
  </si>
  <si>
    <t>Payments for settlements of warrants</t>
  </si>
  <si>
    <t>Proceeds from issuance of warrants</t>
  </si>
  <si>
    <t>Purchase of convertible note hedges</t>
  </si>
  <si>
    <t>Debt issuance costs</t>
  </si>
  <si>
    <t>Principal payments on finance leases</t>
  </si>
  <si>
    <t>Proceeds from exercises of stock options and other stock issuances</t>
  </si>
  <si>
    <t>Collateralized lease repayments</t>
  </si>
  <si>
    <t>Repayments of borrowings issued to related parties</t>
  </si>
  <si>
    <t>Repayments of convertible and other debt</t>
  </si>
  <si>
    <t>Proceeds from issuances of convertible and other debt</t>
  </si>
  <si>
    <t>Proceeds from issuances of common stock in public offerings, net of issuance costs</t>
  </si>
  <si>
    <t>Cash Flows from Financing Activities</t>
  </si>
  <si>
    <t>Net cash used in investing activities</t>
  </si>
  <si>
    <t>Business combinations, net of cash acquired</t>
  </si>
  <si>
    <t>Purchase of intangible assets</t>
  </si>
  <si>
    <t>Receipt of government grants</t>
  </si>
  <si>
    <t>Purchases of marketable securities</t>
  </si>
  <si>
    <t>Proceeds from sales of digital assets</t>
  </si>
  <si>
    <t>Purchases of digital assets</t>
  </si>
  <si>
    <t>Purchases of solar energy systems, net of sales</t>
  </si>
  <si>
    <t>Maturities of short-term marketable securities</t>
  </si>
  <si>
    <t>Purchases of property and equipment excluding finance leases, net of sales</t>
  </si>
  <si>
    <t>Cash Flows from Investing Activities</t>
  </si>
  <si>
    <t>Net cash provided by operating activities</t>
  </si>
  <si>
    <t>Resale value guarantee</t>
  </si>
  <si>
    <t>Accounts payable and accrued liabilities</t>
  </si>
  <si>
    <t>Operating lease vehicles</t>
  </si>
  <si>
    <t>Accounts receivable</t>
  </si>
  <si>
    <t>Changes in operating assets and liabilities:</t>
  </si>
  <si>
    <t>Operating cash flow related to repayment of discounted convertible senior notes</t>
  </si>
  <si>
    <t>Digital assets gain, net</t>
  </si>
  <si>
    <t>Non-cash interest and other operating activities</t>
  </si>
  <si>
    <t>Loss (gain) related to SolarCity acquisition</t>
  </si>
  <si>
    <t>Foreign currency transaction net unrealized (gain) loss</t>
  </si>
  <si>
    <t>Loss on disposals of fixed assets</t>
  </si>
  <si>
    <t>Inventory and purchase commitments write-downs</t>
  </si>
  <si>
    <t>Amortization of debt discounts and issuance costs</t>
  </si>
  <si>
    <t>Stock-based compensation</t>
  </si>
  <si>
    <t>Depreciation, amortization and impairment</t>
  </si>
  <si>
    <t>Adjustments to reconcile net income (loss) to net cash provided by operating activities:</t>
  </si>
  <si>
    <t>Net income (loss)</t>
  </si>
  <si>
    <t>Cash Flows from Operating Activities</t>
  </si>
  <si>
    <t>   common stockholders</t>
  </si>
  <si>
    <t>Comprehensive income (loss) attributable to</t>
  </si>
  <si>
    <t>   noncontrolling interests in subsidiaries</t>
  </si>
  <si>
    <t>   noncontrolling interests and redeemable</t>
  </si>
  <si>
    <t>Less: Comprehensive income attributable to</t>
  </si>
  <si>
    <t>Comprehensive income (loss)</t>
  </si>
  <si>
    <t>Unrealized net loss on marketable securities</t>
  </si>
  <si>
    <t>Foreign currency translation adjustment</t>
  </si>
  <si>
    <t>Other comprehensive income (loss):</t>
  </si>
  <si>
    <t>Diluted</t>
  </si>
  <si>
    <t>Basic</t>
  </si>
  <si>
    <t>   income (loss) per share of common stock</t>
  </si>
  <si>
    <t>Weighted average shares used in computing net</t>
  </si>
  <si>
    <t>   attributable to common stockholders</t>
  </si>
  <si>
    <t>Net income (loss) per share of common stock</t>
  </si>
  <si>
    <t>Net income (loss) attributable to common stockholders</t>
  </si>
  <si>
    <t>   redeemable noncontrolling interests in subsidiaries</t>
  </si>
  <si>
    <t>Net income attributable to noncontrolling interests and</t>
  </si>
  <si>
    <t>Provision for income taxes</t>
  </si>
  <si>
    <t>Income (loss) before income taxes</t>
  </si>
  <si>
    <t>Other income (expense), net</t>
  </si>
  <si>
    <t>Interest expense</t>
  </si>
  <si>
    <t>Interest income</t>
  </si>
  <si>
    <t>Total operating expenses</t>
  </si>
  <si>
    <t>Restructuring and other</t>
  </si>
  <si>
    <t>Selling, general and administrative</t>
  </si>
  <si>
    <t>Research and development</t>
  </si>
  <si>
    <t>Total cost of revenues</t>
  </si>
  <si>
    <t>Services and other</t>
  </si>
  <si>
    <t>Energy generation and storage</t>
  </si>
  <si>
    <t>Total automotive cost of revenues</t>
  </si>
  <si>
    <t>Automotive leasing</t>
  </si>
  <si>
    <t>Automotive sales</t>
  </si>
  <si>
    <t>Total automotive revenues</t>
  </si>
  <si>
    <t>Automotive regulatory credits</t>
  </si>
  <si>
    <t>Assumption</t>
  </si>
  <si>
    <t>wacc</t>
  </si>
  <si>
    <t>terminal growth rate</t>
  </si>
  <si>
    <t xml:space="preserve">(-) Taxes </t>
  </si>
  <si>
    <t xml:space="preserve">  % tax rate </t>
  </si>
  <si>
    <t>EBIAT</t>
  </si>
  <si>
    <t>(+) D&amp;A</t>
  </si>
  <si>
    <t>(-) CapEx</t>
  </si>
  <si>
    <t>(-) change in NWC</t>
  </si>
  <si>
    <t xml:space="preserve">  % change in revenue </t>
  </si>
  <si>
    <t>Unlevered FCF</t>
  </si>
  <si>
    <t>Present Value of FCF</t>
  </si>
  <si>
    <t>Terminal Value</t>
  </si>
  <si>
    <t xml:space="preserve">Present Valuje of Terminal Value </t>
  </si>
  <si>
    <t>Enterprise Value</t>
  </si>
  <si>
    <t>(+) Cash</t>
  </si>
  <si>
    <t>(-) Debt</t>
  </si>
  <si>
    <t>Equity Value</t>
  </si>
  <si>
    <t xml:space="preserve">Shares Outshanding </t>
  </si>
  <si>
    <t xml:space="preserve">Share Price </t>
  </si>
  <si>
    <t xml:space="preserve">  % of sales</t>
  </si>
  <si>
    <t>Operating Expense</t>
  </si>
  <si>
    <t xml:space="preserve">Total revenue </t>
  </si>
  <si>
    <t>Avg. growth</t>
  </si>
  <si>
    <t>Growth rate</t>
  </si>
  <si>
    <t xml:space="preserve">Terminal </t>
  </si>
  <si>
    <t xml:space="preserve">Historical </t>
  </si>
  <si>
    <t xml:space="preserve">Forcast </t>
  </si>
  <si>
    <t>Terminial</t>
  </si>
  <si>
    <t>Income Statement</t>
  </si>
  <si>
    <t>Revenue ( % gowth)</t>
  </si>
  <si>
    <t>COGS  (% sales)</t>
  </si>
  <si>
    <t>???</t>
  </si>
  <si>
    <t>Total COGS</t>
  </si>
  <si>
    <t>EBIT  ( % revenue )</t>
  </si>
  <si>
    <t>COGS  ( % revenue )</t>
  </si>
  <si>
    <t xml:space="preserve">Revenue   % growth </t>
  </si>
  <si>
    <t>growth rate</t>
  </si>
  <si>
    <t>Operating Expense  ( % revenue )</t>
  </si>
  <si>
    <t xml:space="preserve">Non-operating expenses/income </t>
  </si>
  <si>
    <t>value</t>
  </si>
  <si>
    <t>Growth projection</t>
  </si>
  <si>
    <t>6 years</t>
  </si>
  <si>
    <t>income tax</t>
  </si>
  <si>
    <t xml:space="preserve">Long-term Assets </t>
  </si>
  <si>
    <t>Balance Sheet</t>
  </si>
  <si>
    <t>Cash and cash equivalents ( % revenue )</t>
  </si>
  <si>
    <t>Accounts receivable, net (AR turnover)</t>
  </si>
  <si>
    <t>Long-term liabilities</t>
  </si>
  <si>
    <t>Cashflow</t>
  </si>
  <si>
    <t xml:space="preserve">Operating Activities (indirect method) </t>
  </si>
  <si>
    <t>Net Income</t>
  </si>
  <si>
    <t xml:space="preserve">Add: Non-cash expenses &amp; adjustment </t>
  </si>
  <si>
    <t xml:space="preserve">Cash Flow from Operations </t>
  </si>
  <si>
    <t xml:space="preserve">          Depreciation &amp; Amortization </t>
  </si>
  <si>
    <t xml:space="preserve">Minus: Change in operating assets </t>
  </si>
  <si>
    <t xml:space="preserve">           Prepaid Expenses </t>
  </si>
  <si>
    <t xml:space="preserve">           Accounts receivable</t>
  </si>
  <si>
    <t xml:space="preserve">           Inventory</t>
  </si>
  <si>
    <t xml:space="preserve">Add: Change in operating liabilities </t>
  </si>
  <si>
    <t xml:space="preserve">           Accounts payable </t>
  </si>
  <si>
    <t xml:space="preserve">           Deferred Revenue </t>
  </si>
  <si>
    <t>Total non-operating expense/income</t>
  </si>
  <si>
    <t>Short term investment</t>
  </si>
  <si>
    <t xml:space="preserve">total debt </t>
  </si>
  <si>
    <t>Operating income</t>
  </si>
  <si>
    <t>Earning before Tax</t>
  </si>
  <si>
    <t>Rate</t>
  </si>
  <si>
    <t>Common stock</t>
  </si>
  <si>
    <t>Total equity</t>
  </si>
  <si>
    <t>Ratios</t>
  </si>
  <si>
    <t xml:space="preserve">Liquidity ratios </t>
  </si>
  <si>
    <t xml:space="preserve">Current ratio </t>
  </si>
  <si>
    <t xml:space="preserve">Acid-test ratio </t>
  </si>
  <si>
    <t xml:space="preserve">Cash ratio </t>
  </si>
  <si>
    <t xml:space="preserve">Operating cash flow ratio </t>
  </si>
  <si>
    <t xml:space="preserve">Debt ratio </t>
  </si>
  <si>
    <t xml:space="preserve">Debt to equity ratio </t>
  </si>
  <si>
    <t xml:space="preserve">interest coverage ratio </t>
  </si>
  <si>
    <t xml:space="preserve">Leverage Financial Ratios </t>
  </si>
  <si>
    <t xml:space="preserve">Efficiency Ratios / Activity Ratios </t>
  </si>
  <si>
    <t>Asset turnover ratio</t>
  </si>
  <si>
    <t xml:space="preserve">Inventory turnover ratio </t>
  </si>
  <si>
    <t xml:space="preserve">Receivables turnover ratio </t>
  </si>
  <si>
    <t xml:space="preserve">Days sales in inventory ratio </t>
  </si>
  <si>
    <t xml:space="preserve">Profitability Ratios </t>
  </si>
  <si>
    <t xml:space="preserve">Gross margin ratio </t>
  </si>
  <si>
    <t xml:space="preserve">Operating margin ratio </t>
  </si>
  <si>
    <t xml:space="preserve">Return on assets ratio </t>
  </si>
  <si>
    <t xml:space="preserve">Return on equity ratio </t>
  </si>
  <si>
    <t xml:space="preserve">Market Value Ratios </t>
  </si>
  <si>
    <t xml:space="preserve">Book value per share ratio </t>
  </si>
  <si>
    <t>Dividend yield ratio</t>
  </si>
  <si>
    <t xml:space="preserve">Earnings per share ratio </t>
  </si>
  <si>
    <t>Gross Profit</t>
  </si>
  <si>
    <t xml:space="preserve">Share outstanding </t>
  </si>
  <si>
    <t xml:space="preserve">Price-earnings ratio </t>
  </si>
  <si>
    <t>share price</t>
  </si>
  <si>
    <t>EBIT</t>
  </si>
  <si>
    <t>EBITDA</t>
  </si>
  <si>
    <t>Basic EPS</t>
  </si>
  <si>
    <t>Diluted EPS</t>
  </si>
  <si>
    <t>Shares outstanding</t>
  </si>
  <si>
    <t xml:space="preserve">Effective Tax Rate </t>
  </si>
  <si>
    <t xml:space="preserve">Effective Interest Rate </t>
  </si>
  <si>
    <t>% Margins</t>
  </si>
  <si>
    <t>Selling General &amp; Administrative Expense</t>
  </si>
  <si>
    <t>Depreciation &amp; Amortization Expense</t>
  </si>
  <si>
    <t>Capital Expenditures</t>
  </si>
  <si>
    <t>Comprehensive Income</t>
  </si>
  <si>
    <t>Dividend: as % Of Net Income</t>
  </si>
  <si>
    <t>Pre-tax Income</t>
  </si>
  <si>
    <t>Selling General &amp; Administative Expense</t>
  </si>
  <si>
    <t>Total Revenues</t>
  </si>
  <si>
    <t>Cashflow Statement</t>
  </si>
  <si>
    <t>Discounted Cash Flow Analysis</t>
  </si>
  <si>
    <t>Revenue</t>
  </si>
  <si>
    <t>Y-o-Y Growth</t>
  </si>
  <si>
    <t>% Margin</t>
  </si>
  <si>
    <t xml:space="preserve"> EBIT</t>
  </si>
  <si>
    <t>Unlevered Free Cash Flow</t>
  </si>
  <si>
    <t>Less: Depreciation &amp; Amortization Expense</t>
  </si>
  <si>
    <t>Effective Tax Rate</t>
  </si>
  <si>
    <t xml:space="preserve">Less: Capital Expenditures </t>
  </si>
  <si>
    <t>Less: Income Tax Expense</t>
  </si>
  <si>
    <t xml:space="preserve">USD in millions </t>
  </si>
  <si>
    <t>Less: Change in Working Capital</t>
  </si>
  <si>
    <t>Terminal</t>
  </si>
  <si>
    <t xml:space="preserve">YoY Growth </t>
  </si>
  <si>
    <t>Changes in operating assets and liabilities: (turnover rate)</t>
  </si>
  <si>
    <t>Model S</t>
  </si>
  <si>
    <t>Model X</t>
  </si>
  <si>
    <t>Model 3</t>
  </si>
  <si>
    <t>Model Y</t>
  </si>
  <si>
    <t>Average Selling Price Model S</t>
  </si>
  <si>
    <t>Average Selling Price Model X</t>
  </si>
  <si>
    <t>Average Selling Price Model 3</t>
  </si>
  <si>
    <t>Average Selling Price Model Y</t>
  </si>
  <si>
    <t>Revenue Model S</t>
  </si>
  <si>
    <t>Revenue Model Y</t>
  </si>
  <si>
    <t>Revenue Model 3</t>
  </si>
  <si>
    <t>Revenue Model X</t>
  </si>
  <si>
    <t>Revenue Recognition</t>
  </si>
  <si>
    <t>Total Automotive sales</t>
  </si>
  <si>
    <t>Benz FSD L3</t>
  </si>
  <si>
    <t>https://www.teslarati.com/tesla-fsd-beta-vs-mercedes-benz-drivepilot-comparison-video/</t>
  </si>
  <si>
    <r>
      <t>but it would only be usable on highways that are pre-mapped in the daytime, and during dry conditions. When it’s snowing, or raining, or if it’s nighttime, DrivePilot would not be able to operate.</t>
    </r>
    <r>
      <rPr>
        <sz val="16"/>
        <color rgb="FF222222"/>
        <rFont val="Arial"/>
        <family val="2"/>
      </rPr>
      <t> </t>
    </r>
  </si>
  <si>
    <t xml:space="preserve">Tesla L2 </t>
  </si>
  <si>
    <t>more capable than competing solutions that are classified as SAE Level 3.</t>
  </si>
  <si>
    <t>Rivan</t>
  </si>
  <si>
    <t>Lucid</t>
  </si>
  <si>
    <t>Nio</t>
  </si>
  <si>
    <t>Xpeng</t>
  </si>
  <si>
    <t>Li</t>
  </si>
  <si>
    <t>Ford</t>
  </si>
  <si>
    <t>GM</t>
  </si>
  <si>
    <t>https://money.usnews.com/investing/stock-market-news/slideshows/upstart-tesla-competitors-to-watch</t>
  </si>
  <si>
    <t>NonCurrent Assets</t>
  </si>
  <si>
    <t>Total non-current assets</t>
  </si>
  <si>
    <t>Cash and cash equivalents (% margin)</t>
  </si>
  <si>
    <t>Short-term marketable securities (% margin)</t>
  </si>
  <si>
    <t>Accounts receivable, net (turnover)</t>
  </si>
  <si>
    <t>Inventory (turnover)</t>
  </si>
  <si>
    <t xml:space="preserve">Projected </t>
  </si>
  <si>
    <t>Projected</t>
  </si>
  <si>
    <t>Prepaid expenses and other current assets (% margin)</t>
  </si>
  <si>
    <t>Deferred revenue (% margin)</t>
  </si>
  <si>
    <t>Customer deposits (% margin)</t>
  </si>
  <si>
    <t>Accounts payable (turnover)</t>
  </si>
  <si>
    <t>Short Term Borrowings</t>
  </si>
  <si>
    <t>Repayment</t>
  </si>
  <si>
    <t>Long Term Borrowi ngs</t>
  </si>
  <si>
    <t>Revolver</t>
  </si>
  <si>
    <t>Total Interest Expense</t>
  </si>
  <si>
    <t>Beginning Balance</t>
  </si>
  <si>
    <t>Drawdown</t>
  </si>
  <si>
    <t>Ending Balance</t>
  </si>
  <si>
    <t>Long Term Borrowings</t>
  </si>
  <si>
    <t>Interest</t>
  </si>
  <si>
    <t xml:space="preserve">Drawdown </t>
  </si>
  <si>
    <t>Bank Loan Interest</t>
  </si>
  <si>
    <t>Accrued liabilities and other (% margin)</t>
  </si>
  <si>
    <t>Resale value guarantees  (% margin)</t>
  </si>
  <si>
    <t>NonCurrent Liabilities</t>
  </si>
  <si>
    <t>Equity</t>
  </si>
  <si>
    <t>Total Unit</t>
  </si>
  <si>
    <t>Unit in thousand</t>
  </si>
  <si>
    <t xml:space="preserve">Data from FactSet </t>
  </si>
  <si>
    <t>Total Revenues(M)</t>
  </si>
  <si>
    <t>working capital</t>
  </si>
  <si>
    <t>WACC</t>
  </si>
  <si>
    <t>RF rate</t>
  </si>
  <si>
    <t>Beta</t>
  </si>
  <si>
    <t>Required Return</t>
  </si>
  <si>
    <t>Cost of Debt</t>
  </si>
  <si>
    <t>Effctive Tax Rate</t>
  </si>
  <si>
    <t>Cost of Equity</t>
  </si>
  <si>
    <t>Equity/Capital</t>
  </si>
  <si>
    <t>Debt/Capital</t>
  </si>
  <si>
    <t>After-tax Cost of Debt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</si>
</sst>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quot;$&quot;* #,##0_);_(&quot;$&quot;* \(#,##0\);_(&quot;$&quot;* &quot;-&quot;_);_(@_)"/>
    <numFmt numFmtId="43" formatCode="_(* #,##0.00_);_(* \(#,##0.00\);_(* &quot;-&quot;??_);_(@_)"/>
    <numFmt numFmtId="164" formatCode="_(* #,##0_);_(* \(#,##0\);_(* &quot;-&quot;??_);_(@_)"/>
    <numFmt numFmtId="165" formatCode="0.0%"/>
    <numFmt numFmtId="166" formatCode="_([$$-409]* #,##0.00_);_([$$-409]* \(#,##0.00\);_([$$-409]* &quot;-&quot;??_);_(@_)"/>
    <numFmt numFmtId="167" formatCode="0\A"/>
    <numFmt numFmtId="168" formatCode="0\P"/>
    <numFmt numFmtId="169" formatCode="General\A"/>
    <numFmt numFmtId="170" formatCode="General\P"/>
    <numFmt numFmtId="171" formatCode="#,##0.0"/>
  </numFmts>
  <fonts count="25" x14ac:knownFonts="1">
    <font>
      <sz val="11"/>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b/>
      <sz val="12"/>
      <color theme="1"/>
      <name val="Calibri"/>
      <family val="2"/>
      <scheme val="minor"/>
    </font>
    <font>
      <sz val="11"/>
      <color theme="0"/>
      <name val="Calibri"/>
      <family val="2"/>
      <scheme val="minor"/>
    </font>
    <font>
      <i/>
      <sz val="11"/>
      <color theme="1"/>
      <name val="Calibri"/>
      <family val="2"/>
      <scheme val="minor"/>
    </font>
    <font>
      <sz val="10"/>
      <color rgb="FF000000"/>
      <name val="Tahoma"/>
      <family val="2"/>
    </font>
    <font>
      <b/>
      <sz val="10"/>
      <color rgb="FF000000"/>
      <name val="Tahoma"/>
      <family val="2"/>
    </font>
    <font>
      <sz val="11"/>
      <color rgb="FFFF0000"/>
      <name val="Calibri"/>
      <family val="2"/>
      <scheme val="minor"/>
    </font>
    <font>
      <sz val="11"/>
      <name val="Calibri"/>
      <family val="2"/>
      <scheme val="minor"/>
    </font>
    <font>
      <b/>
      <i/>
      <sz val="11"/>
      <color theme="1"/>
      <name val="Calibri"/>
      <family val="2"/>
      <scheme val="minor"/>
    </font>
    <font>
      <b/>
      <sz val="11"/>
      <name val="Calibri"/>
      <family val="2"/>
      <scheme val="minor"/>
    </font>
    <font>
      <b/>
      <sz val="11"/>
      <color theme="1"/>
      <name val="Calibri"/>
      <family val="2"/>
    </font>
    <font>
      <b/>
      <sz val="11"/>
      <color theme="0"/>
      <name val="Calibri"/>
      <family val="2"/>
      <scheme val="minor"/>
    </font>
    <font>
      <sz val="11"/>
      <color theme="0" tint="-0.499984740745262"/>
      <name val="Calibri"/>
      <family val="2"/>
      <scheme val="minor"/>
    </font>
    <font>
      <i/>
      <sz val="11"/>
      <name val="Calibri"/>
      <family val="2"/>
      <scheme val="minor"/>
    </font>
    <font>
      <i/>
      <sz val="11"/>
      <color rgb="FFFF0000"/>
      <name val="Calibri"/>
      <family val="2"/>
      <scheme val="minor"/>
    </font>
    <font>
      <sz val="11"/>
      <color theme="0" tint="-0.34998626667073579"/>
      <name val="Calibri"/>
      <family val="2"/>
      <scheme val="minor"/>
    </font>
    <font>
      <b/>
      <sz val="11"/>
      <color theme="0" tint="-0.499984740745262"/>
      <name val="Calibri"/>
      <family val="2"/>
      <scheme val="minor"/>
    </font>
    <font>
      <i/>
      <sz val="11"/>
      <color theme="0" tint="-0.499984740745262"/>
      <name val="Calibri"/>
      <family val="2"/>
      <scheme val="minor"/>
    </font>
    <font>
      <sz val="11"/>
      <color rgb="FF00B050"/>
      <name val="Calibri"/>
      <family val="2"/>
      <scheme val="minor"/>
    </font>
    <font>
      <i/>
      <sz val="11"/>
      <color rgb="FF00B050"/>
      <name val="Calibri"/>
      <family val="2"/>
      <scheme val="minor"/>
    </font>
    <font>
      <sz val="16"/>
      <color rgb="FF222222"/>
      <name val="Arial"/>
      <family val="2"/>
    </font>
    <font>
      <u/>
      <sz val="11"/>
      <color theme="1"/>
      <name val="Calibri"/>
      <family val="2"/>
      <scheme val="minor"/>
    </font>
  </fonts>
  <fills count="10">
    <fill>
      <patternFill patternType="none"/>
    </fill>
    <fill>
      <patternFill patternType="gray125"/>
    </fill>
    <fill>
      <patternFill patternType="solid">
        <fgColor theme="4" tint="-0.249977111117893"/>
        <bgColor indexed="64"/>
      </patternFill>
    </fill>
    <fill>
      <patternFill patternType="solid">
        <fgColor theme="4" tint="-0.49998474074526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3" tint="0.39997558519241921"/>
        <bgColor indexed="64"/>
      </patternFill>
    </fill>
    <fill>
      <patternFill patternType="solid">
        <fgColor theme="4" tint="0.59999389629810485"/>
        <bgColor indexed="64"/>
      </patternFill>
    </fill>
    <fill>
      <patternFill patternType="solid">
        <fgColor theme="3" tint="0.59999389629810485"/>
        <bgColor indexed="64"/>
      </patternFill>
    </fill>
    <fill>
      <patternFill patternType="solid">
        <fgColor rgb="FFFFFF00"/>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double">
        <color indexed="64"/>
      </bottom>
      <diagonal/>
    </border>
    <border>
      <left/>
      <right/>
      <top style="double">
        <color indexed="64"/>
      </top>
      <bottom/>
      <diagonal/>
    </border>
    <border>
      <left style="thin">
        <color auto="1"/>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style="double">
        <color indexed="64"/>
      </bottom>
      <diagonal/>
    </border>
    <border>
      <left/>
      <right style="thin">
        <color indexed="64"/>
      </right>
      <top style="double">
        <color indexed="64"/>
      </top>
      <bottom/>
      <diagonal/>
    </border>
    <border>
      <left/>
      <right style="thin">
        <color indexed="64"/>
      </right>
      <top/>
      <bottom style="double">
        <color indexed="64"/>
      </bottom>
      <diagonal/>
    </border>
    <border>
      <left/>
      <right/>
      <top style="double">
        <color indexed="64"/>
      </top>
      <bottom style="double">
        <color indexed="64"/>
      </bottom>
      <diagonal/>
    </border>
    <border>
      <left style="thin">
        <color auto="1"/>
      </left>
      <right/>
      <top style="double">
        <color indexed="64"/>
      </top>
      <bottom style="double">
        <color indexed="64"/>
      </bottom>
      <diagonal/>
    </border>
    <border>
      <left/>
      <right style="thin">
        <color indexed="64"/>
      </right>
      <top style="double">
        <color indexed="64"/>
      </top>
      <bottom style="double">
        <color indexed="64"/>
      </bottom>
      <diagonal/>
    </border>
  </borders>
  <cellStyleXfs count="3">
    <xf numFmtId="0" fontId="0" fillId="0" borderId="0"/>
    <xf numFmtId="43" fontId="3" fillId="0" borderId="0" applyFont="0" applyFill="0" applyBorder="0" applyAlignment="0" applyProtection="0"/>
    <xf numFmtId="9" fontId="3" fillId="0" borderId="0" applyFont="0" applyFill="0" applyBorder="0" applyAlignment="0" applyProtection="0"/>
  </cellStyleXfs>
  <cellXfs count="353">
    <xf numFmtId="0" fontId="0" fillId="0" borderId="0" xfId="0"/>
    <xf numFmtId="1" fontId="0" fillId="0" borderId="0" xfId="0" applyNumberFormat="1"/>
    <xf numFmtId="0" fontId="0" fillId="0" borderId="0" xfId="0" applyBorder="1"/>
    <xf numFmtId="164" fontId="0" fillId="0" borderId="0" xfId="1" applyNumberFormat="1" applyFont="1"/>
    <xf numFmtId="9" fontId="0" fillId="0" borderId="0" xfId="2" applyFont="1"/>
    <xf numFmtId="164" fontId="0" fillId="0" borderId="0" xfId="0" applyNumberFormat="1"/>
    <xf numFmtId="164" fontId="0" fillId="0" borderId="3" xfId="0" applyNumberFormat="1" applyBorder="1"/>
    <xf numFmtId="0" fontId="0" fillId="4" borderId="0" xfId="0" applyFill="1"/>
    <xf numFmtId="0" fontId="0" fillId="5" borderId="0" xfId="0" applyFill="1"/>
    <xf numFmtId="164" fontId="0" fillId="0" borderId="6" xfId="1" applyNumberFormat="1" applyFont="1" applyBorder="1"/>
    <xf numFmtId="164" fontId="0" fillId="0" borderId="7" xfId="1" applyNumberFormat="1" applyFont="1" applyBorder="1"/>
    <xf numFmtId="164" fontId="0" fillId="0" borderId="9" xfId="1" applyNumberFormat="1" applyFont="1" applyBorder="1"/>
    <xf numFmtId="164" fontId="0" fillId="0" borderId="10" xfId="1" applyNumberFormat="1" applyFont="1" applyBorder="1"/>
    <xf numFmtId="9" fontId="0" fillId="0" borderId="13" xfId="2" applyFont="1" applyBorder="1"/>
    <xf numFmtId="9" fontId="0" fillId="0" borderId="0" xfId="2" applyFont="1" applyBorder="1"/>
    <xf numFmtId="0" fontId="2" fillId="5" borderId="0" xfId="0" applyFont="1" applyFill="1"/>
    <xf numFmtId="164" fontId="0" fillId="5" borderId="0" xfId="1" applyNumberFormat="1" applyFont="1" applyFill="1"/>
    <xf numFmtId="1" fontId="0" fillId="0" borderId="0" xfId="2" applyNumberFormat="1" applyFont="1" applyBorder="1"/>
    <xf numFmtId="1" fontId="0" fillId="0" borderId="13" xfId="2" applyNumberFormat="1" applyFont="1" applyBorder="1"/>
    <xf numFmtId="0" fontId="0" fillId="0" borderId="0" xfId="0" applyFill="1"/>
    <xf numFmtId="9" fontId="0" fillId="0" borderId="0" xfId="2" applyFont="1" applyFill="1" applyBorder="1"/>
    <xf numFmtId="9" fontId="0" fillId="0" borderId="0" xfId="2" applyFont="1" applyFill="1"/>
    <xf numFmtId="164" fontId="0" fillId="0" borderId="13" xfId="1" applyNumberFormat="1" applyFont="1" applyBorder="1"/>
    <xf numFmtId="164" fontId="0" fillId="0" borderId="14" xfId="1" applyNumberFormat="1" applyFont="1" applyBorder="1"/>
    <xf numFmtId="164" fontId="0" fillId="0" borderId="0" xfId="1" applyNumberFormat="1" applyFont="1" applyBorder="1"/>
    <xf numFmtId="0" fontId="0" fillId="5" borderId="0" xfId="0" applyFont="1" applyFill="1"/>
    <xf numFmtId="0" fontId="0" fillId="5" borderId="13" xfId="0" applyFill="1" applyBorder="1"/>
    <xf numFmtId="0" fontId="0" fillId="5" borderId="0" xfId="0" applyFill="1" applyBorder="1"/>
    <xf numFmtId="0" fontId="0" fillId="5" borderId="2" xfId="0" applyFill="1" applyBorder="1"/>
    <xf numFmtId="0" fontId="0" fillId="5" borderId="5" xfId="0" applyFill="1" applyBorder="1"/>
    <xf numFmtId="0" fontId="0" fillId="5" borderId="8" xfId="0" applyFill="1" applyBorder="1"/>
    <xf numFmtId="0" fontId="0" fillId="5" borderId="9" xfId="0" applyFill="1" applyBorder="1"/>
    <xf numFmtId="0" fontId="0" fillId="5" borderId="1" xfId="0" applyFont="1" applyFill="1" applyBorder="1"/>
    <xf numFmtId="164" fontId="0" fillId="4" borderId="0" xfId="1" applyNumberFormat="1" applyFont="1" applyFill="1"/>
    <xf numFmtId="0" fontId="0" fillId="7" borderId="0" xfId="0" applyFill="1"/>
    <xf numFmtId="164" fontId="0" fillId="7" borderId="0" xfId="1" applyNumberFormat="1" applyFont="1" applyFill="1"/>
    <xf numFmtId="9" fontId="0" fillId="7" borderId="0" xfId="2" applyFont="1" applyFill="1"/>
    <xf numFmtId="164" fontId="0" fillId="7" borderId="3" xfId="0" applyNumberFormat="1" applyFill="1" applyBorder="1"/>
    <xf numFmtId="164" fontId="0" fillId="7" borderId="6" xfId="1" applyNumberFormat="1" applyFont="1" applyFill="1" applyBorder="1"/>
    <xf numFmtId="164" fontId="0" fillId="7" borderId="9" xfId="1" applyNumberFormat="1" applyFont="1" applyFill="1" applyBorder="1"/>
    <xf numFmtId="0" fontId="5" fillId="6" borderId="1" xfId="0" applyFont="1" applyFill="1" applyBorder="1"/>
    <xf numFmtId="164" fontId="0" fillId="0" borderId="13" xfId="0" applyNumberFormat="1" applyBorder="1"/>
    <xf numFmtId="1" fontId="0" fillId="0" borderId="0" xfId="1" applyNumberFormat="1" applyFont="1"/>
    <xf numFmtId="0" fontId="0" fillId="0" borderId="0" xfId="0" applyFill="1" applyBorder="1"/>
    <xf numFmtId="2" fontId="0" fillId="0" borderId="0" xfId="0" applyNumberFormat="1" applyFill="1" applyBorder="1"/>
    <xf numFmtId="164" fontId="0" fillId="0" borderId="0" xfId="1" applyNumberFormat="1" applyFont="1" applyFill="1" applyBorder="1"/>
    <xf numFmtId="0" fontId="2" fillId="5" borderId="0" xfId="0" applyFont="1" applyFill="1" applyBorder="1"/>
    <xf numFmtId="0" fontId="0" fillId="0" borderId="13" xfId="0" applyFill="1" applyBorder="1"/>
    <xf numFmtId="0" fontId="0" fillId="5" borderId="0" xfId="0" applyFont="1" applyFill="1" applyBorder="1"/>
    <xf numFmtId="9" fontId="0" fillId="5" borderId="0" xfId="2" applyFont="1" applyFill="1"/>
    <xf numFmtId="9" fontId="2" fillId="0" borderId="0" xfId="2" applyFont="1"/>
    <xf numFmtId="164" fontId="2" fillId="0" borderId="0" xfId="1" applyNumberFormat="1" applyFont="1"/>
    <xf numFmtId="9" fontId="2" fillId="0" borderId="0" xfId="2" applyFont="1" applyBorder="1"/>
    <xf numFmtId="164" fontId="2" fillId="0" borderId="0" xfId="1" applyNumberFormat="1" applyFont="1" applyBorder="1"/>
    <xf numFmtId="2" fontId="0" fillId="0" borderId="13" xfId="1" applyNumberFormat="1" applyFont="1" applyBorder="1"/>
    <xf numFmtId="0" fontId="2" fillId="5" borderId="13" xfId="0" applyFont="1" applyFill="1" applyBorder="1"/>
    <xf numFmtId="9" fontId="5" fillId="6" borderId="4" xfId="2" applyFont="1" applyFill="1" applyBorder="1"/>
    <xf numFmtId="0" fontId="0" fillId="5" borderId="4" xfId="0" applyFont="1" applyFill="1" applyBorder="1" applyAlignment="1">
      <alignment horizontal="center" vertical="center"/>
    </xf>
    <xf numFmtId="1" fontId="0" fillId="4" borderId="0" xfId="0" applyNumberFormat="1" applyFill="1"/>
    <xf numFmtId="0" fontId="0" fillId="5" borderId="13" xfId="0" applyFont="1" applyFill="1" applyBorder="1"/>
    <xf numFmtId="9" fontId="0" fillId="0" borderId="13" xfId="2" applyFont="1" applyFill="1" applyBorder="1"/>
    <xf numFmtId="0" fontId="0" fillId="5" borderId="0" xfId="0" applyFill="1" applyBorder="1" applyAlignment="1">
      <alignment horizontal="center" vertical="center"/>
    </xf>
    <xf numFmtId="0" fontId="0" fillId="5" borderId="0" xfId="0" applyFill="1" applyAlignment="1">
      <alignment horizontal="center" vertical="center"/>
    </xf>
    <xf numFmtId="0" fontId="4" fillId="5" borderId="0" xfId="0" applyFont="1" applyFill="1"/>
    <xf numFmtId="0" fontId="1" fillId="5" borderId="0" xfId="0" applyFont="1" applyFill="1"/>
    <xf numFmtId="1" fontId="2" fillId="0" borderId="13" xfId="0" applyNumberFormat="1" applyFont="1" applyFill="1" applyBorder="1"/>
    <xf numFmtId="164" fontId="2" fillId="0" borderId="0" xfId="1" applyNumberFormat="1" applyFont="1" applyFill="1" applyBorder="1"/>
    <xf numFmtId="164" fontId="0" fillId="0" borderId="13" xfId="1" applyNumberFormat="1" applyFont="1" applyFill="1" applyBorder="1"/>
    <xf numFmtId="3" fontId="0" fillId="0" borderId="0" xfId="1" applyNumberFormat="1" applyFont="1" applyFill="1" applyBorder="1"/>
    <xf numFmtId="3" fontId="0" fillId="0" borderId="13" xfId="1" applyNumberFormat="1" applyFont="1" applyFill="1" applyBorder="1"/>
    <xf numFmtId="3" fontId="2" fillId="0" borderId="13" xfId="1" applyNumberFormat="1" applyFont="1" applyFill="1" applyBorder="1"/>
    <xf numFmtId="3" fontId="2" fillId="0" borderId="0" xfId="1" applyNumberFormat="1" applyFont="1" applyFill="1" applyBorder="1"/>
    <xf numFmtId="4" fontId="2" fillId="0" borderId="0" xfId="1" applyNumberFormat="1" applyFont="1"/>
    <xf numFmtId="1" fontId="0" fillId="0" borderId="0" xfId="2" applyNumberFormat="1" applyFont="1"/>
    <xf numFmtId="0" fontId="0" fillId="8" borderId="1" xfId="0" applyFont="1" applyFill="1" applyBorder="1"/>
    <xf numFmtId="9" fontId="0" fillId="8" borderId="0" xfId="0" applyNumberFormat="1" applyFill="1" applyBorder="1"/>
    <xf numFmtId="9" fontId="0" fillId="8" borderId="13" xfId="0" applyNumberFormat="1" applyFill="1" applyBorder="1"/>
    <xf numFmtId="165" fontId="0" fillId="8" borderId="0" xfId="2" applyNumberFormat="1" applyFont="1" applyFill="1" applyBorder="1"/>
    <xf numFmtId="9" fontId="0" fillId="8" borderId="0" xfId="2" applyFont="1" applyFill="1" applyBorder="1"/>
    <xf numFmtId="0" fontId="0" fillId="8" borderId="13" xfId="0" applyFill="1" applyBorder="1"/>
    <xf numFmtId="0" fontId="0" fillId="8" borderId="0" xfId="0" applyFill="1" applyBorder="1"/>
    <xf numFmtId="9" fontId="0" fillId="8" borderId="13" xfId="2" applyFont="1" applyFill="1" applyBorder="1"/>
    <xf numFmtId="9" fontId="2" fillId="8" borderId="13" xfId="2" applyFont="1" applyFill="1" applyBorder="1"/>
    <xf numFmtId="164" fontId="0" fillId="8" borderId="13" xfId="1" applyNumberFormat="1" applyFont="1" applyFill="1" applyBorder="1"/>
    <xf numFmtId="164" fontId="0" fillId="8" borderId="0" xfId="1" applyNumberFormat="1" applyFont="1" applyFill="1" applyBorder="1"/>
    <xf numFmtId="0" fontId="0" fillId="5" borderId="1" xfId="0" applyFill="1" applyBorder="1" applyAlignment="1">
      <alignment horizontal="center" vertical="center"/>
    </xf>
    <xf numFmtId="0" fontId="2" fillId="5" borderId="15" xfId="0" applyFont="1" applyFill="1" applyBorder="1"/>
    <xf numFmtId="0" fontId="0" fillId="5" borderId="15" xfId="0" applyFill="1" applyBorder="1"/>
    <xf numFmtId="0" fontId="0" fillId="5" borderId="18" xfId="0" applyFill="1" applyBorder="1"/>
    <xf numFmtId="164" fontId="0" fillId="0" borderId="16" xfId="1" applyNumberFormat="1" applyFont="1" applyBorder="1"/>
    <xf numFmtId="0" fontId="6" fillId="8" borderId="0" xfId="0" applyFont="1" applyFill="1" applyBorder="1" applyAlignment="1">
      <alignment horizontal="center"/>
    </xf>
    <xf numFmtId="164" fontId="0" fillId="0" borderId="0" xfId="0" applyNumberFormat="1" applyBorder="1"/>
    <xf numFmtId="164" fontId="6" fillId="0" borderId="16" xfId="0" applyNumberFormat="1" applyFont="1" applyBorder="1"/>
    <xf numFmtId="164" fontId="6" fillId="0" borderId="20" xfId="1" applyNumberFormat="1" applyFont="1" applyBorder="1"/>
    <xf numFmtId="0" fontId="0" fillId="0" borderId="16" xfId="0" applyBorder="1"/>
    <xf numFmtId="164" fontId="0" fillId="0" borderId="16" xfId="0" applyNumberFormat="1" applyBorder="1"/>
    <xf numFmtId="164" fontId="0" fillId="0" borderId="20" xfId="0" applyNumberFormat="1" applyBorder="1"/>
    <xf numFmtId="0" fontId="0" fillId="0" borderId="16" xfId="0" applyFill="1" applyBorder="1"/>
    <xf numFmtId="0" fontId="0" fillId="0" borderId="20" xfId="0" applyFill="1" applyBorder="1"/>
    <xf numFmtId="164" fontId="2" fillId="0" borderId="20" xfId="0" applyNumberFormat="1" applyFont="1" applyFill="1" applyBorder="1"/>
    <xf numFmtId="0" fontId="0" fillId="5" borderId="18" xfId="0" applyFont="1" applyFill="1" applyBorder="1"/>
    <xf numFmtId="0" fontId="2" fillId="5" borderId="8" xfId="0" applyFont="1" applyFill="1" applyBorder="1"/>
    <xf numFmtId="9" fontId="2" fillId="8" borderId="9" xfId="2" applyFont="1" applyFill="1" applyBorder="1"/>
    <xf numFmtId="3" fontId="2" fillId="8" borderId="9" xfId="1" applyNumberFormat="1" applyFont="1" applyFill="1" applyBorder="1"/>
    <xf numFmtId="3" fontId="2" fillId="0" borderId="9" xfId="1" applyNumberFormat="1" applyFont="1" applyFill="1" applyBorder="1"/>
    <xf numFmtId="3" fontId="2" fillId="0" borderId="9" xfId="1" applyNumberFormat="1" applyFont="1" applyBorder="1"/>
    <xf numFmtId="3" fontId="0" fillId="0" borderId="0" xfId="1" applyNumberFormat="1" applyFont="1" applyBorder="1"/>
    <xf numFmtId="164" fontId="0" fillId="0" borderId="19" xfId="1" applyNumberFormat="1" applyFont="1" applyBorder="1"/>
    <xf numFmtId="164" fontId="0" fillId="0" borderId="20" xfId="1" applyNumberFormat="1" applyFont="1" applyBorder="1"/>
    <xf numFmtId="9" fontId="2" fillId="8" borderId="0" xfId="2" applyFont="1" applyFill="1" applyBorder="1"/>
    <xf numFmtId="0" fontId="2" fillId="0" borderId="0" xfId="0" applyFont="1" applyBorder="1"/>
    <xf numFmtId="3" fontId="2" fillId="0" borderId="0" xfId="1" applyNumberFormat="1" applyFont="1" applyBorder="1"/>
    <xf numFmtId="164" fontId="2" fillId="0" borderId="16" xfId="0" applyNumberFormat="1" applyFont="1" applyBorder="1"/>
    <xf numFmtId="165" fontId="2" fillId="0" borderId="0" xfId="2" applyNumberFormat="1" applyFont="1"/>
    <xf numFmtId="0" fontId="9" fillId="5" borderId="0" xfId="0" applyFont="1" applyFill="1" applyBorder="1"/>
    <xf numFmtId="1" fontId="0" fillId="8" borderId="0" xfId="2" applyNumberFormat="1" applyFont="1" applyFill="1" applyBorder="1"/>
    <xf numFmtId="1" fontId="0" fillId="8" borderId="13" xfId="0" applyNumberFormat="1" applyFill="1" applyBorder="1"/>
    <xf numFmtId="0" fontId="2" fillId="8" borderId="0" xfId="0" applyFont="1" applyFill="1" applyBorder="1"/>
    <xf numFmtId="164" fontId="2" fillId="8" borderId="0" xfId="1" applyNumberFormat="1" applyFont="1" applyFill="1" applyBorder="1"/>
    <xf numFmtId="164" fontId="0" fillId="0" borderId="0" xfId="0" applyNumberFormat="1" applyFill="1"/>
    <xf numFmtId="164" fontId="0" fillId="0" borderId="13" xfId="0" applyNumberFormat="1" applyFill="1" applyBorder="1"/>
    <xf numFmtId="0" fontId="10" fillId="5" borderId="0" xfId="0" applyFont="1" applyFill="1"/>
    <xf numFmtId="0" fontId="10" fillId="5" borderId="0" xfId="0" applyFont="1" applyFill="1" applyBorder="1"/>
    <xf numFmtId="9" fontId="0" fillId="0" borderId="0" xfId="0" applyNumberFormat="1" applyFill="1" applyBorder="1"/>
    <xf numFmtId="9" fontId="3" fillId="0" borderId="13" xfId="2" applyFont="1" applyBorder="1"/>
    <xf numFmtId="9" fontId="3" fillId="0" borderId="13" xfId="2" applyFont="1" applyFill="1" applyBorder="1"/>
    <xf numFmtId="3" fontId="0" fillId="0" borderId="13" xfId="0" applyNumberFormat="1" applyFont="1" applyFill="1" applyBorder="1"/>
    <xf numFmtId="0" fontId="0" fillId="5" borderId="14" xfId="0" applyFill="1" applyBorder="1"/>
    <xf numFmtId="9" fontId="0" fillId="0" borderId="14" xfId="2" applyFont="1" applyBorder="1"/>
    <xf numFmtId="3" fontId="0" fillId="0" borderId="14" xfId="1" applyNumberFormat="1" applyFont="1" applyFill="1" applyBorder="1"/>
    <xf numFmtId="0" fontId="0" fillId="0" borderId="14" xfId="0" applyFill="1" applyBorder="1"/>
    <xf numFmtId="0" fontId="0" fillId="5" borderId="15" xfId="0" applyFont="1" applyFill="1" applyBorder="1"/>
    <xf numFmtId="9" fontId="3" fillId="8" borderId="0" xfId="2" applyFont="1" applyFill="1" applyBorder="1"/>
    <xf numFmtId="0" fontId="0" fillId="0" borderId="0" xfId="0" applyFont="1" applyBorder="1"/>
    <xf numFmtId="3" fontId="3" fillId="0" borderId="0" xfId="1" applyNumberFormat="1" applyFont="1" applyBorder="1"/>
    <xf numFmtId="3" fontId="0" fillId="0" borderId="0" xfId="0" applyNumberFormat="1" applyFill="1" applyBorder="1"/>
    <xf numFmtId="3" fontId="2" fillId="0" borderId="0" xfId="0" applyNumberFormat="1" applyFont="1" applyFill="1" applyBorder="1"/>
    <xf numFmtId="9" fontId="2" fillId="8" borderId="0" xfId="0" applyNumberFormat="1" applyFont="1" applyFill="1" applyBorder="1"/>
    <xf numFmtId="164" fontId="11" fillId="0" borderId="16" xfId="1" applyNumberFormat="1" applyFont="1" applyBorder="1"/>
    <xf numFmtId="164" fontId="2" fillId="0" borderId="16" xfId="1" applyNumberFormat="1" applyFont="1" applyBorder="1"/>
    <xf numFmtId="0" fontId="2" fillId="5" borderId="22" xfId="0" applyFont="1" applyFill="1" applyBorder="1"/>
    <xf numFmtId="9" fontId="2" fillId="8" borderId="21" xfId="0" applyNumberFormat="1" applyFont="1" applyFill="1" applyBorder="1"/>
    <xf numFmtId="0" fontId="2" fillId="8" borderId="21" xfId="0" applyFont="1" applyFill="1" applyBorder="1"/>
    <xf numFmtId="164" fontId="2" fillId="0" borderId="21" xfId="1" applyNumberFormat="1" applyFont="1" applyBorder="1"/>
    <xf numFmtId="164" fontId="2" fillId="0" borderId="21" xfId="0" applyNumberFormat="1" applyFont="1" applyBorder="1"/>
    <xf numFmtId="164" fontId="2" fillId="0" borderId="23" xfId="0" applyNumberFormat="1" applyFont="1" applyBorder="1"/>
    <xf numFmtId="9" fontId="2" fillId="8" borderId="21" xfId="2" applyFont="1" applyFill="1" applyBorder="1"/>
    <xf numFmtId="3" fontId="2" fillId="0" borderId="21" xfId="1" applyNumberFormat="1" applyFont="1" applyFill="1" applyBorder="1"/>
    <xf numFmtId="1" fontId="2" fillId="0" borderId="21" xfId="0" applyNumberFormat="1" applyFont="1" applyFill="1" applyBorder="1"/>
    <xf numFmtId="0" fontId="2" fillId="0" borderId="23" xfId="0" applyFont="1" applyFill="1" applyBorder="1"/>
    <xf numFmtId="0" fontId="10" fillId="5" borderId="15" xfId="0" applyFont="1" applyFill="1" applyBorder="1"/>
    <xf numFmtId="0" fontId="10" fillId="5" borderId="18" xfId="0" applyFont="1" applyFill="1" applyBorder="1"/>
    <xf numFmtId="0" fontId="12" fillId="5" borderId="22" xfId="0" applyFont="1" applyFill="1" applyBorder="1"/>
    <xf numFmtId="3" fontId="2" fillId="0" borderId="10" xfId="1" applyNumberFormat="1" applyFont="1" applyBorder="1"/>
    <xf numFmtId="164" fontId="2" fillId="0" borderId="16" xfId="0" applyNumberFormat="1" applyFont="1" applyFill="1" applyBorder="1"/>
    <xf numFmtId="3" fontId="0" fillId="0" borderId="0" xfId="1" applyNumberFormat="1" applyFont="1"/>
    <xf numFmtId="4" fontId="0" fillId="0" borderId="0" xfId="1" applyNumberFormat="1" applyFont="1" applyBorder="1"/>
    <xf numFmtId="3" fontId="0" fillId="0" borderId="0" xfId="0" applyNumberFormat="1"/>
    <xf numFmtId="0" fontId="2" fillId="0" borderId="0" xfId="0" applyFont="1"/>
    <xf numFmtId="164" fontId="0" fillId="0" borderId="0" xfId="0" applyNumberFormat="1" applyFill="1" applyBorder="1"/>
    <xf numFmtId="0" fontId="0" fillId="0" borderId="16" xfId="2" applyNumberFormat="1" applyFont="1" applyBorder="1"/>
    <xf numFmtId="164" fontId="0" fillId="0" borderId="16" xfId="1" applyNumberFormat="1" applyFont="1" applyFill="1" applyBorder="1"/>
    <xf numFmtId="164" fontId="0" fillId="0" borderId="20" xfId="1" applyNumberFormat="1" applyFont="1" applyFill="1" applyBorder="1"/>
    <xf numFmtId="9" fontId="0" fillId="0" borderId="16" xfId="2" applyFont="1" applyFill="1" applyBorder="1"/>
    <xf numFmtId="164" fontId="2" fillId="0" borderId="16" xfId="1" applyNumberFormat="1" applyFont="1" applyFill="1" applyBorder="1"/>
    <xf numFmtId="9" fontId="0" fillId="8" borderId="9" xfId="2" applyFont="1" applyFill="1" applyBorder="1"/>
    <xf numFmtId="164" fontId="0" fillId="8" borderId="9" xfId="1" applyNumberFormat="1" applyFont="1" applyFill="1" applyBorder="1"/>
    <xf numFmtId="3" fontId="0" fillId="0" borderId="9" xfId="1" applyNumberFormat="1" applyFont="1" applyBorder="1"/>
    <xf numFmtId="164" fontId="0" fillId="0" borderId="9" xfId="1" applyNumberFormat="1" applyFont="1" applyFill="1" applyBorder="1"/>
    <xf numFmtId="0" fontId="0" fillId="0" borderId="10" xfId="0" applyFill="1" applyBorder="1"/>
    <xf numFmtId="1" fontId="0" fillId="0" borderId="0" xfId="1" applyNumberFormat="1" applyFont="1" applyBorder="1"/>
    <xf numFmtId="4" fontId="0" fillId="0" borderId="0" xfId="0" applyNumberFormat="1"/>
    <xf numFmtId="4" fontId="0" fillId="0" borderId="0" xfId="2" applyNumberFormat="1" applyFont="1"/>
    <xf numFmtId="4" fontId="0" fillId="0" borderId="0" xfId="0" applyNumberFormat="1" applyBorder="1"/>
    <xf numFmtId="0" fontId="0" fillId="5" borderId="1" xfId="0" applyNumberFormat="1" applyFont="1" applyFill="1" applyBorder="1"/>
    <xf numFmtId="0" fontId="0" fillId="0" borderId="0" xfId="0" applyNumberFormat="1"/>
    <xf numFmtId="2" fontId="0" fillId="0" borderId="0" xfId="0" applyNumberFormat="1"/>
    <xf numFmtId="4" fontId="0" fillId="0" borderId="0" xfId="0" applyNumberFormat="1" applyFont="1"/>
    <xf numFmtId="0" fontId="0" fillId="0" borderId="0" xfId="0" applyFont="1"/>
    <xf numFmtId="0" fontId="0" fillId="0" borderId="0" xfId="0" applyFont="1" applyAlignment="1">
      <alignment horizontal="left"/>
    </xf>
    <xf numFmtId="4" fontId="13" fillId="0" borderId="0" xfId="0" applyNumberFormat="1" applyFont="1"/>
    <xf numFmtId="43" fontId="0" fillId="0" borderId="0" xfId="1" applyFont="1"/>
    <xf numFmtId="43" fontId="0" fillId="0" borderId="0" xfId="1" applyFont="1" applyBorder="1"/>
    <xf numFmtId="3" fontId="0" fillId="0" borderId="0" xfId="0" applyNumberFormat="1" applyBorder="1"/>
    <xf numFmtId="0" fontId="0" fillId="0" borderId="13" xfId="1" applyNumberFormat="1" applyFont="1" applyBorder="1"/>
    <xf numFmtId="0" fontId="0" fillId="8" borderId="9" xfId="0" applyFill="1" applyBorder="1"/>
    <xf numFmtId="164" fontId="6" fillId="0" borderId="20" xfId="0" applyNumberFormat="1" applyFont="1" applyBorder="1"/>
    <xf numFmtId="2" fontId="0" fillId="0" borderId="0" xfId="1" applyNumberFormat="1" applyFont="1"/>
    <xf numFmtId="4" fontId="0" fillId="0" borderId="0" xfId="1" applyNumberFormat="1" applyFont="1"/>
    <xf numFmtId="166" fontId="0" fillId="0" borderId="0" xfId="0" applyNumberFormat="1"/>
    <xf numFmtId="0" fontId="0" fillId="5" borderId="2" xfId="0" applyFill="1" applyBorder="1" applyAlignment="1">
      <alignment horizontal="center" vertical="center"/>
    </xf>
    <xf numFmtId="9" fontId="0" fillId="8" borderId="15" xfId="2" applyFont="1" applyFill="1" applyBorder="1"/>
    <xf numFmtId="1" fontId="0" fillId="0" borderId="0" xfId="0" applyNumberFormat="1" applyBorder="1"/>
    <xf numFmtId="9" fontId="0" fillId="8" borderId="8" xfId="2" applyFont="1" applyFill="1" applyBorder="1"/>
    <xf numFmtId="3" fontId="0" fillId="0" borderId="9" xfId="0" applyNumberFormat="1" applyBorder="1"/>
    <xf numFmtId="3" fontId="0" fillId="4" borderId="0" xfId="1" applyNumberFormat="1" applyFont="1" applyFill="1"/>
    <xf numFmtId="0" fontId="2" fillId="4" borderId="0" xfId="0" applyFont="1" applyFill="1"/>
    <xf numFmtId="1" fontId="0" fillId="4" borderId="0" xfId="1" applyNumberFormat="1" applyFont="1" applyFill="1"/>
    <xf numFmtId="0" fontId="0" fillId="4" borderId="0" xfId="0" applyFont="1" applyFill="1"/>
    <xf numFmtId="3" fontId="0" fillId="4" borderId="0" xfId="0" applyNumberFormat="1" applyFill="1"/>
    <xf numFmtId="43" fontId="0" fillId="4" borderId="0" xfId="0" applyNumberFormat="1" applyFill="1"/>
    <xf numFmtId="0" fontId="15" fillId="4" borderId="0" xfId="0" applyFont="1" applyFill="1"/>
    <xf numFmtId="1" fontId="15" fillId="4" borderId="0" xfId="1" applyNumberFormat="1" applyFont="1" applyFill="1"/>
    <xf numFmtId="3" fontId="0" fillId="4" borderId="0" xfId="0" applyNumberFormat="1" applyFont="1" applyFill="1"/>
    <xf numFmtId="3" fontId="2" fillId="4" borderId="0" xfId="0" applyNumberFormat="1" applyFont="1" applyFill="1"/>
    <xf numFmtId="0" fontId="2" fillId="4" borderId="0" xfId="0" applyFont="1" applyFill="1" applyBorder="1"/>
    <xf numFmtId="0" fontId="0" fillId="4" borderId="0" xfId="0" applyFill="1" applyBorder="1"/>
    <xf numFmtId="3" fontId="2" fillId="4" borderId="0" xfId="1" applyNumberFormat="1" applyFont="1" applyFill="1"/>
    <xf numFmtId="3" fontId="0" fillId="4" borderId="9" xfId="1" applyNumberFormat="1" applyFont="1" applyFill="1" applyBorder="1"/>
    <xf numFmtId="0" fontId="0" fillId="4" borderId="0" xfId="0" applyFont="1" applyFill="1" applyBorder="1"/>
    <xf numFmtId="0" fontId="2" fillId="4" borderId="0" xfId="0" applyFont="1" applyFill="1" applyBorder="1" applyAlignment="1">
      <alignment horizontal="left"/>
    </xf>
    <xf numFmtId="3" fontId="2" fillId="4" borderId="9" xfId="1" applyNumberFormat="1" applyFont="1" applyFill="1" applyBorder="1"/>
    <xf numFmtId="3" fontId="0" fillId="4" borderId="9" xfId="0" applyNumberFormat="1" applyFont="1" applyFill="1" applyBorder="1"/>
    <xf numFmtId="0" fontId="14" fillId="3" borderId="0" xfId="0" applyFont="1" applyFill="1" applyBorder="1" applyAlignment="1">
      <alignment horizontal="center" vertical="top"/>
    </xf>
    <xf numFmtId="2" fontId="15" fillId="4" borderId="0" xfId="1" applyNumberFormat="1" applyFont="1" applyFill="1"/>
    <xf numFmtId="0" fontId="10" fillId="4" borderId="0" xfId="0" applyFont="1" applyFill="1"/>
    <xf numFmtId="2" fontId="10" fillId="4" borderId="0" xfId="1" applyNumberFormat="1" applyFont="1" applyFill="1"/>
    <xf numFmtId="3" fontId="10" fillId="4" borderId="0" xfId="1" applyNumberFormat="1" applyFont="1" applyFill="1"/>
    <xf numFmtId="9" fontId="0" fillId="0" borderId="0" xfId="0" applyNumberFormat="1"/>
    <xf numFmtId="0" fontId="6" fillId="4" borderId="0" xfId="0" applyFont="1" applyFill="1" applyAlignment="1">
      <alignment horizontal="left"/>
    </xf>
    <xf numFmtId="0" fontId="6" fillId="4" borderId="0" xfId="0" applyFont="1" applyFill="1" applyBorder="1" applyAlignment="1">
      <alignment horizontal="left"/>
    </xf>
    <xf numFmtId="165" fontId="10" fillId="4" borderId="0" xfId="1" applyNumberFormat="1" applyFont="1" applyFill="1"/>
    <xf numFmtId="165" fontId="16" fillId="4" borderId="0" xfId="1" applyNumberFormat="1" applyFont="1" applyFill="1"/>
    <xf numFmtId="164" fontId="2" fillId="4" borderId="0" xfId="1" applyNumberFormat="1" applyFont="1" applyFill="1"/>
    <xf numFmtId="164" fontId="3" fillId="4" borderId="0" xfId="1" applyNumberFormat="1" applyFont="1" applyFill="1"/>
    <xf numFmtId="164" fontId="0" fillId="4" borderId="9" xfId="1" applyNumberFormat="1" applyFont="1" applyFill="1" applyBorder="1"/>
    <xf numFmtId="0" fontId="15" fillId="4" borderId="0" xfId="0" applyFont="1" applyFill="1" applyBorder="1"/>
    <xf numFmtId="0" fontId="0" fillId="4" borderId="0" xfId="0" applyFill="1" applyBorder="1" applyAlignment="1">
      <alignment horizontal="left" indent="2"/>
    </xf>
    <xf numFmtId="0" fontId="0" fillId="4" borderId="0" xfId="0" applyFill="1" applyBorder="1" applyAlignment="1">
      <alignment horizontal="left" vertical="center" indent="2"/>
    </xf>
    <xf numFmtId="0" fontId="0" fillId="4" borderId="0" xfId="0" applyFill="1" applyBorder="1" applyAlignment="1">
      <alignment horizontal="left" indent="4"/>
    </xf>
    <xf numFmtId="0" fontId="0" fillId="4" borderId="0" xfId="0" applyFill="1" applyBorder="1" applyAlignment="1">
      <alignment horizontal="left"/>
    </xf>
    <xf numFmtId="0" fontId="0" fillId="4" borderId="0" xfId="0" applyFont="1" applyFill="1" applyBorder="1" applyAlignment="1">
      <alignment horizontal="left" indent="2"/>
    </xf>
    <xf numFmtId="0" fontId="10" fillId="4" borderId="0" xfId="0" applyFont="1" applyFill="1" applyBorder="1"/>
    <xf numFmtId="0" fontId="16" fillId="4" borderId="0" xfId="0" applyFont="1" applyFill="1" applyBorder="1"/>
    <xf numFmtId="3" fontId="10" fillId="4" borderId="0" xfId="1" applyNumberFormat="1" applyFont="1" applyFill="1" applyBorder="1"/>
    <xf numFmtId="42" fontId="16" fillId="4" borderId="0" xfId="1" applyNumberFormat="1" applyFont="1" applyFill="1" applyBorder="1" applyAlignment="1"/>
    <xf numFmtId="3" fontId="16" fillId="4" borderId="0" xfId="1" applyNumberFormat="1" applyFont="1" applyFill="1" applyBorder="1"/>
    <xf numFmtId="3" fontId="16" fillId="4" borderId="0" xfId="1" applyNumberFormat="1" applyFont="1" applyFill="1" applyBorder="1" applyAlignment="1"/>
    <xf numFmtId="0" fontId="6" fillId="4" borderId="0" xfId="0" applyFont="1" applyFill="1" applyBorder="1" applyAlignment="1">
      <alignment horizontal="left" vertical="center"/>
    </xf>
    <xf numFmtId="0" fontId="0" fillId="4" borderId="0" xfId="0" applyFill="1" applyBorder="1" applyAlignment="1">
      <alignment horizontal="left" indent="1"/>
    </xf>
    <xf numFmtId="0" fontId="0" fillId="4" borderId="0" xfId="0" applyFill="1" applyBorder="1" applyAlignment="1">
      <alignment horizontal="left" indent="3"/>
    </xf>
    <xf numFmtId="0" fontId="2" fillId="4" borderId="0" xfId="0" applyFont="1" applyFill="1" applyBorder="1" applyAlignment="1">
      <alignment horizontal="left" indent="1"/>
    </xf>
    <xf numFmtId="0" fontId="6" fillId="4" borderId="0" xfId="0" applyFont="1" applyFill="1"/>
    <xf numFmtId="0" fontId="6" fillId="4" borderId="0" xfId="0" applyFont="1" applyFill="1" applyAlignment="1">
      <alignment horizontal="left" indent="2"/>
    </xf>
    <xf numFmtId="0" fontId="5" fillId="3" borderId="0" xfId="0" applyFont="1" applyFill="1" applyBorder="1"/>
    <xf numFmtId="167" fontId="5" fillId="3" borderId="0" xfId="0" applyNumberFormat="1" applyFont="1" applyFill="1" applyBorder="1"/>
    <xf numFmtId="168" fontId="5" fillId="3" borderId="0" xfId="0" applyNumberFormat="1" applyFont="1" applyFill="1" applyBorder="1"/>
    <xf numFmtId="165" fontId="0" fillId="4" borderId="0" xfId="0" applyNumberFormat="1" applyFill="1"/>
    <xf numFmtId="165" fontId="0" fillId="4" borderId="0" xfId="0" applyNumberFormat="1" applyFill="1" applyBorder="1"/>
    <xf numFmtId="165" fontId="10" fillId="4" borderId="0" xfId="2" applyNumberFormat="1" applyFont="1" applyFill="1"/>
    <xf numFmtId="169" fontId="14" fillId="3" borderId="0" xfId="0" applyNumberFormat="1" applyFont="1" applyFill="1" applyBorder="1" applyAlignment="1">
      <alignment horizontal="center" vertical="top"/>
    </xf>
    <xf numFmtId="170" fontId="14" fillId="3" borderId="0" xfId="0" applyNumberFormat="1" applyFont="1" applyFill="1" applyBorder="1" applyAlignment="1">
      <alignment horizontal="center" vertical="top"/>
    </xf>
    <xf numFmtId="3" fontId="0" fillId="4" borderId="0" xfId="0" applyNumberFormat="1" applyFill="1" applyBorder="1"/>
    <xf numFmtId="3" fontId="0" fillId="4" borderId="9" xfId="0" applyNumberFormat="1" applyFill="1" applyBorder="1"/>
    <xf numFmtId="165" fontId="9" fillId="4" borderId="0" xfId="0" applyNumberFormat="1" applyFont="1" applyFill="1"/>
    <xf numFmtId="165" fontId="16" fillId="4" borderId="0" xfId="0" applyNumberFormat="1" applyFont="1" applyFill="1"/>
    <xf numFmtId="165" fontId="6" fillId="4" borderId="0" xfId="0" applyNumberFormat="1" applyFont="1" applyFill="1"/>
    <xf numFmtId="165" fontId="17" fillId="4" borderId="0" xfId="1" applyNumberFormat="1" applyFont="1" applyFill="1"/>
    <xf numFmtId="3" fontId="18" fillId="4" borderId="0" xfId="0" applyNumberFormat="1" applyFont="1" applyFill="1"/>
    <xf numFmtId="0" fontId="18" fillId="4" borderId="0" xfId="0" applyFont="1" applyFill="1"/>
    <xf numFmtId="165" fontId="18" fillId="4" borderId="0" xfId="0" applyNumberFormat="1" applyFont="1" applyFill="1"/>
    <xf numFmtId="165" fontId="18" fillId="4" borderId="0" xfId="0" applyNumberFormat="1" applyFont="1" applyFill="1" applyBorder="1"/>
    <xf numFmtId="3" fontId="0" fillId="4" borderId="16" xfId="1" applyNumberFormat="1" applyFont="1" applyFill="1" applyBorder="1"/>
    <xf numFmtId="3" fontId="0" fillId="4" borderId="10" xfId="1" applyNumberFormat="1" applyFont="1" applyFill="1" applyBorder="1"/>
    <xf numFmtId="3" fontId="2" fillId="4" borderId="16" xfId="1" applyNumberFormat="1" applyFont="1" applyFill="1" applyBorder="1"/>
    <xf numFmtId="0" fontId="0" fillId="4" borderId="16" xfId="0" applyFill="1" applyBorder="1"/>
    <xf numFmtId="1" fontId="15" fillId="4" borderId="16" xfId="1" applyNumberFormat="1" applyFont="1" applyFill="1" applyBorder="1"/>
    <xf numFmtId="2" fontId="15" fillId="4" borderId="16" xfId="1" applyNumberFormat="1" applyFont="1" applyFill="1" applyBorder="1"/>
    <xf numFmtId="0" fontId="15" fillId="4" borderId="16" xfId="0" applyFont="1" applyFill="1" applyBorder="1"/>
    <xf numFmtId="169" fontId="19" fillId="3" borderId="0" xfId="0" applyNumberFormat="1" applyFont="1" applyFill="1" applyBorder="1" applyAlignment="1">
      <alignment horizontal="center" vertical="top"/>
    </xf>
    <xf numFmtId="169" fontId="19" fillId="3" borderId="16" xfId="0" applyNumberFormat="1" applyFont="1" applyFill="1" applyBorder="1" applyAlignment="1">
      <alignment horizontal="center" vertical="top"/>
    </xf>
    <xf numFmtId="3" fontId="15" fillId="4" borderId="0" xfId="1" applyNumberFormat="1" applyFont="1" applyFill="1"/>
    <xf numFmtId="3" fontId="15" fillId="4" borderId="16" xfId="1" applyNumberFormat="1" applyFont="1" applyFill="1" applyBorder="1"/>
    <xf numFmtId="3" fontId="15" fillId="4" borderId="9" xfId="1" applyNumberFormat="1" applyFont="1" applyFill="1" applyBorder="1"/>
    <xf numFmtId="3" fontId="15" fillId="4" borderId="10" xfId="1" applyNumberFormat="1" applyFont="1" applyFill="1" applyBorder="1"/>
    <xf numFmtId="3" fontId="19" fillId="4" borderId="0" xfId="1" applyNumberFormat="1" applyFont="1" applyFill="1"/>
    <xf numFmtId="3" fontId="19" fillId="4" borderId="16" xfId="1" applyNumberFormat="1" applyFont="1" applyFill="1" applyBorder="1"/>
    <xf numFmtId="3" fontId="15" fillId="4" borderId="0" xfId="1" applyNumberFormat="1" applyFont="1" applyFill="1" applyBorder="1"/>
    <xf numFmtId="3" fontId="15" fillId="4" borderId="9" xfId="0" applyNumberFormat="1" applyFont="1" applyFill="1" applyBorder="1"/>
    <xf numFmtId="3" fontId="15" fillId="4" borderId="10" xfId="0" applyNumberFormat="1" applyFont="1" applyFill="1" applyBorder="1"/>
    <xf numFmtId="3" fontId="15" fillId="4" borderId="0" xfId="0" applyNumberFormat="1" applyFont="1" applyFill="1"/>
    <xf numFmtId="3" fontId="15" fillId="4" borderId="16" xfId="0" applyNumberFormat="1" applyFont="1" applyFill="1" applyBorder="1"/>
    <xf numFmtId="3" fontId="19" fillId="4" borderId="0" xfId="0" applyNumberFormat="1" applyFont="1" applyFill="1"/>
    <xf numFmtId="3" fontId="19" fillId="4" borderId="16" xfId="0" applyNumberFormat="1" applyFont="1" applyFill="1" applyBorder="1"/>
    <xf numFmtId="165" fontId="15" fillId="4" borderId="0" xfId="2" applyNumberFormat="1" applyFont="1" applyFill="1"/>
    <xf numFmtId="165" fontId="15" fillId="4" borderId="16" xfId="2" applyNumberFormat="1" applyFont="1" applyFill="1" applyBorder="1"/>
    <xf numFmtId="165" fontId="20" fillId="4" borderId="0" xfId="1" applyNumberFormat="1" applyFont="1" applyFill="1"/>
    <xf numFmtId="165" fontId="20" fillId="4" borderId="16" xfId="1" applyNumberFormat="1" applyFont="1" applyFill="1" applyBorder="1"/>
    <xf numFmtId="165" fontId="20" fillId="4" borderId="0" xfId="0" applyNumberFormat="1" applyFont="1" applyFill="1" applyAlignment="1">
      <alignment horizontal="left"/>
    </xf>
    <xf numFmtId="165" fontId="20" fillId="4" borderId="0" xfId="0" applyNumberFormat="1" applyFont="1" applyFill="1" applyBorder="1" applyAlignment="1">
      <alignment horizontal="left"/>
    </xf>
    <xf numFmtId="165" fontId="15" fillId="4" borderId="0" xfId="1" applyNumberFormat="1" applyFont="1" applyFill="1"/>
    <xf numFmtId="3" fontId="19" fillId="4" borderId="0" xfId="1" applyNumberFormat="1" applyFont="1" applyFill="1" applyBorder="1"/>
    <xf numFmtId="3" fontId="19" fillId="4" borderId="9" xfId="1" applyNumberFormat="1" applyFont="1" applyFill="1" applyBorder="1"/>
    <xf numFmtId="3" fontId="19" fillId="4" borderId="10" xfId="1" applyNumberFormat="1" applyFont="1" applyFill="1" applyBorder="1"/>
    <xf numFmtId="1" fontId="0" fillId="4" borderId="16" xfId="0" applyNumberFormat="1" applyFill="1" applyBorder="1"/>
    <xf numFmtId="164" fontId="0" fillId="4" borderId="16" xfId="1" applyNumberFormat="1" applyFont="1" applyFill="1" applyBorder="1"/>
    <xf numFmtId="164" fontId="3" fillId="4" borderId="16" xfId="1" applyNumberFormat="1" applyFont="1" applyFill="1" applyBorder="1"/>
    <xf numFmtId="164" fontId="0" fillId="4" borderId="10" xfId="1" applyNumberFormat="1" applyFont="1" applyFill="1" applyBorder="1"/>
    <xf numFmtId="164" fontId="2" fillId="4" borderId="16" xfId="1" applyNumberFormat="1" applyFont="1" applyFill="1" applyBorder="1"/>
    <xf numFmtId="0" fontId="6" fillId="4" borderId="16" xfId="0" applyFont="1" applyFill="1" applyBorder="1"/>
    <xf numFmtId="0" fontId="6" fillId="4" borderId="0" xfId="0" applyFont="1" applyFill="1" applyBorder="1"/>
    <xf numFmtId="0" fontId="6" fillId="4" borderId="0" xfId="0" applyFont="1" applyFill="1" applyBorder="1" applyAlignment="1">
      <alignment horizontal="left" indent="1"/>
    </xf>
    <xf numFmtId="3" fontId="20" fillId="4" borderId="0" xfId="1" applyNumberFormat="1" applyFont="1" applyFill="1" applyBorder="1"/>
    <xf numFmtId="3" fontId="20" fillId="4" borderId="16" xfId="1" applyNumberFormat="1" applyFont="1" applyFill="1" applyBorder="1"/>
    <xf numFmtId="3" fontId="6" fillId="4" borderId="0" xfId="1" applyNumberFormat="1" applyFont="1" applyFill="1"/>
    <xf numFmtId="0" fontId="6" fillId="4" borderId="0" xfId="0" applyFont="1" applyFill="1" applyBorder="1" applyAlignment="1">
      <alignment horizontal="left" indent="3"/>
    </xf>
    <xf numFmtId="165" fontId="6" fillId="4" borderId="0" xfId="1" applyNumberFormat="1" applyFont="1" applyFill="1"/>
    <xf numFmtId="1" fontId="6" fillId="4" borderId="0" xfId="1" applyNumberFormat="1" applyFont="1" applyFill="1"/>
    <xf numFmtId="4" fontId="0" fillId="4" borderId="0" xfId="0" applyNumberFormat="1" applyFill="1"/>
    <xf numFmtId="171" fontId="0" fillId="4" borderId="0" xfId="0" applyNumberFormat="1" applyFill="1" applyAlignment="1">
      <alignment horizontal="right"/>
    </xf>
    <xf numFmtId="0" fontId="0" fillId="4" borderId="0" xfId="0" applyFill="1" applyAlignment="1">
      <alignment horizontal="left"/>
    </xf>
    <xf numFmtId="3" fontId="0" fillId="4" borderId="0" xfId="0" applyNumberFormat="1" applyFill="1" applyAlignment="1">
      <alignment horizontal="right"/>
    </xf>
    <xf numFmtId="3" fontId="21" fillId="4" borderId="0" xfId="0" applyNumberFormat="1" applyFont="1" applyFill="1"/>
    <xf numFmtId="0" fontId="2" fillId="4" borderId="0" xfId="0" applyFont="1" applyFill="1" applyBorder="1" applyAlignment="1">
      <alignment horizontal="left" vertical="center"/>
    </xf>
    <xf numFmtId="164" fontId="6" fillId="4" borderId="0" xfId="1" applyNumberFormat="1" applyFont="1" applyFill="1"/>
    <xf numFmtId="0" fontId="6" fillId="4" borderId="0" xfId="0" applyFont="1" applyFill="1" applyBorder="1" applyAlignment="1">
      <alignment horizontal="left" indent="2"/>
    </xf>
    <xf numFmtId="164" fontId="6" fillId="4" borderId="16" xfId="1" applyNumberFormat="1" applyFont="1" applyFill="1" applyBorder="1"/>
    <xf numFmtId="3" fontId="6" fillId="4" borderId="0" xfId="0" applyNumberFormat="1" applyFont="1" applyFill="1"/>
    <xf numFmtId="0" fontId="5" fillId="6" borderId="2" xfId="0" applyFont="1" applyFill="1" applyBorder="1" applyAlignment="1">
      <alignment horizontal="center"/>
    </xf>
    <xf numFmtId="0" fontId="5" fillId="6" borderId="3" xfId="0" applyFont="1" applyFill="1" applyBorder="1" applyAlignment="1">
      <alignment horizontal="center"/>
    </xf>
    <xf numFmtId="0" fontId="5" fillId="6" borderId="4" xfId="0" applyFont="1" applyFill="1" applyBorder="1" applyAlignment="1">
      <alignment horizontal="center"/>
    </xf>
    <xf numFmtId="0" fontId="5" fillId="2" borderId="0" xfId="0" applyFont="1" applyFill="1" applyAlignment="1">
      <alignment horizontal="center"/>
    </xf>
    <xf numFmtId="0" fontId="0" fillId="5" borderId="11" xfId="0" applyFill="1" applyBorder="1" applyAlignment="1">
      <alignment horizontal="center" vertical="center"/>
    </xf>
    <xf numFmtId="0" fontId="0" fillId="5" borderId="17" xfId="0" applyFill="1" applyBorder="1" applyAlignment="1">
      <alignment horizontal="center" vertical="center"/>
    </xf>
    <xf numFmtId="0" fontId="0" fillId="5" borderId="12" xfId="0" applyFill="1" applyBorder="1" applyAlignment="1">
      <alignment horizontal="center" vertical="center"/>
    </xf>
    <xf numFmtId="0" fontId="0" fillId="8" borderId="2" xfId="0" applyFill="1" applyBorder="1" applyAlignment="1">
      <alignment horizontal="center"/>
    </xf>
    <xf numFmtId="0" fontId="0" fillId="8" borderId="4" xfId="0" applyFill="1" applyBorder="1" applyAlignment="1">
      <alignment horizontal="center"/>
    </xf>
    <xf numFmtId="0" fontId="5" fillId="3" borderId="2" xfId="0" applyFont="1" applyFill="1" applyBorder="1" applyAlignment="1">
      <alignment horizontal="center"/>
    </xf>
    <xf numFmtId="0" fontId="5" fillId="3" borderId="3" xfId="0" applyFont="1" applyFill="1" applyBorder="1" applyAlignment="1">
      <alignment horizontal="center"/>
    </xf>
    <xf numFmtId="0" fontId="5" fillId="3" borderId="4" xfId="0" applyFont="1" applyFill="1" applyBorder="1" applyAlignment="1">
      <alignment horizontal="center"/>
    </xf>
    <xf numFmtId="0" fontId="5" fillId="2" borderId="1" xfId="0" applyFont="1" applyFill="1" applyBorder="1" applyAlignment="1">
      <alignment horizontal="center"/>
    </xf>
    <xf numFmtId="0" fontId="5" fillId="3" borderId="6" xfId="0" applyFont="1" applyFill="1" applyBorder="1" applyAlignment="1">
      <alignment horizontal="center"/>
    </xf>
    <xf numFmtId="3" fontId="2" fillId="4" borderId="0" xfId="1" applyNumberFormat="1" applyFont="1" applyFill="1" applyBorder="1"/>
    <xf numFmtId="0" fontId="24" fillId="4" borderId="0" xfId="0" applyFont="1" applyFill="1" applyBorder="1"/>
    <xf numFmtId="164" fontId="0" fillId="4" borderId="0" xfId="1" applyNumberFormat="1" applyFont="1" applyFill="1" applyBorder="1"/>
    <xf numFmtId="2" fontId="6" fillId="4" borderId="0" xfId="1" applyNumberFormat="1" applyFont="1" applyFill="1"/>
    <xf numFmtId="2" fontId="16" fillId="4" borderId="0" xfId="0" applyNumberFormat="1" applyFont="1" applyFill="1"/>
    <xf numFmtId="2" fontId="6" fillId="4" borderId="0" xfId="0" applyNumberFormat="1" applyFont="1" applyFill="1" applyBorder="1" applyAlignment="1">
      <alignment horizontal="left" indent="2"/>
    </xf>
    <xf numFmtId="165" fontId="16" fillId="9" borderId="0" xfId="0" applyNumberFormat="1" applyFont="1" applyFill="1"/>
    <xf numFmtId="165" fontId="22" fillId="9" borderId="0" xfId="0" applyNumberFormat="1" applyFont="1" applyFill="1"/>
    <xf numFmtId="164" fontId="6" fillId="4" borderId="0" xfId="1" applyNumberFormat="1" applyFont="1" applyFill="1" applyAlignment="1">
      <alignment horizontal="right"/>
    </xf>
    <xf numFmtId="0" fontId="6" fillId="9" borderId="0" xfId="0" applyFont="1" applyFill="1"/>
    <xf numFmtId="2" fontId="16" fillId="9" borderId="0" xfId="0" applyNumberFormat="1" applyFont="1" applyFill="1"/>
    <xf numFmtId="0" fontId="24" fillId="0" borderId="0" xfId="0" applyFont="1"/>
    <xf numFmtId="0" fontId="0" fillId="4" borderId="9" xfId="0" applyFill="1" applyBorder="1" applyAlignment="1">
      <alignment horizontal="left" indent="2"/>
    </xf>
    <xf numFmtId="0" fontId="0" fillId="4" borderId="9" xfId="0" applyFill="1" applyBorder="1"/>
    <xf numFmtId="3" fontId="0" fillId="4" borderId="9" xfId="0" applyNumberFormat="1" applyFill="1" applyBorder="1" applyAlignment="1">
      <alignment horizontal="right"/>
    </xf>
    <xf numFmtId="164" fontId="2" fillId="4" borderId="0" xfId="1" applyNumberFormat="1" applyFont="1" applyFill="1" applyBorder="1"/>
    <xf numFmtId="1" fontId="16" fillId="9" borderId="0" xfId="0" applyNumberFormat="1" applyFont="1" applyFill="1"/>
    <xf numFmtId="0" fontId="5" fillId="3" borderId="0" xfId="0" applyFont="1" applyFill="1" applyAlignment="1">
      <alignment horizontal="center"/>
    </xf>
    <xf numFmtId="0" fontId="6" fillId="4" borderId="0" xfId="0" applyNumberFormat="1" applyFont="1" applyFill="1"/>
    <xf numFmtId="10" fontId="0" fillId="4" borderId="0" xfId="0" applyNumberFormat="1" applyFill="1"/>
    <xf numFmtId="9" fontId="6" fillId="4" borderId="0" xfId="0" applyNumberFormat="1" applyFont="1" applyFill="1"/>
  </cellXfs>
  <cellStyles count="3">
    <cellStyle name="Comma" xfId="1" builtinId="3"/>
    <cellStyle name="Normal" xfId="0" builtinId="0"/>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ichStyles" Target="richData/richStyles.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worksheet" Target="worksheets/sheet10.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13</xdr:col>
      <xdr:colOff>224342</xdr:colOff>
      <xdr:row>21</xdr:row>
      <xdr:rowOff>111212</xdr:rowOff>
    </xdr:from>
    <xdr:to>
      <xdr:col>21</xdr:col>
      <xdr:colOff>112729</xdr:colOff>
      <xdr:row>55</xdr:row>
      <xdr:rowOff>60779</xdr:rowOff>
    </xdr:to>
    <xdr:pic>
      <xdr:nvPicPr>
        <xdr:cNvPr id="4" name="Picture 3">
          <a:extLst>
            <a:ext uri="{FF2B5EF4-FFF2-40B4-BE49-F238E27FC236}">
              <a16:creationId xmlns:a16="http://schemas.microsoft.com/office/drawing/2014/main" id="{6C0AB685-BE5B-DF49-A964-20C5E8F3C979}"/>
            </a:ext>
          </a:extLst>
        </xdr:cNvPr>
        <xdr:cNvPicPr>
          <a:picLocks noChangeAspect="1"/>
        </xdr:cNvPicPr>
      </xdr:nvPicPr>
      <xdr:blipFill>
        <a:blip xmlns:r="http://schemas.openxmlformats.org/officeDocument/2006/relationships" r:embed="rId1"/>
        <a:stretch>
          <a:fillRect/>
        </a:stretch>
      </xdr:blipFill>
      <xdr:spPr>
        <a:xfrm>
          <a:off x="13396056" y="4084498"/>
          <a:ext cx="5258673" cy="6426567"/>
        </a:xfrm>
        <a:prstGeom prst="rect">
          <a:avLst/>
        </a:prstGeom>
      </xdr:spPr>
    </xdr:pic>
    <xdr:clientData/>
  </xdr:twoCellAnchor>
  <xdr:twoCellAnchor editAs="oneCell">
    <xdr:from>
      <xdr:col>13</xdr:col>
      <xdr:colOff>223212</xdr:colOff>
      <xdr:row>3</xdr:row>
      <xdr:rowOff>136071</xdr:rowOff>
    </xdr:from>
    <xdr:to>
      <xdr:col>21</xdr:col>
      <xdr:colOff>315409</xdr:colOff>
      <xdr:row>19</xdr:row>
      <xdr:rowOff>28435</xdr:rowOff>
    </xdr:to>
    <xdr:pic>
      <xdr:nvPicPr>
        <xdr:cNvPr id="5" name="Picture 4">
          <a:extLst>
            <a:ext uri="{FF2B5EF4-FFF2-40B4-BE49-F238E27FC236}">
              <a16:creationId xmlns:a16="http://schemas.microsoft.com/office/drawing/2014/main" id="{BFF2453D-EF1A-6846-8C02-EC09D4022947}"/>
            </a:ext>
          </a:extLst>
        </xdr:cNvPr>
        <xdr:cNvPicPr>
          <a:picLocks noChangeAspect="1"/>
        </xdr:cNvPicPr>
      </xdr:nvPicPr>
      <xdr:blipFill>
        <a:blip xmlns:r="http://schemas.openxmlformats.org/officeDocument/2006/relationships" r:embed="rId2"/>
        <a:stretch>
          <a:fillRect/>
        </a:stretch>
      </xdr:blipFill>
      <xdr:spPr>
        <a:xfrm>
          <a:off x="13394926" y="707571"/>
          <a:ext cx="5462483" cy="29131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14</xdr:col>
      <xdr:colOff>346807</xdr:colOff>
      <xdr:row>2</xdr:row>
      <xdr:rowOff>23610</xdr:rowOff>
    </xdr:from>
    <xdr:to>
      <xdr:col>22</xdr:col>
      <xdr:colOff>529491</xdr:colOff>
      <xdr:row>49</xdr:row>
      <xdr:rowOff>193594</xdr:rowOff>
    </xdr:to>
    <xdr:pic>
      <xdr:nvPicPr>
        <xdr:cNvPr id="2" name="Picture 1">
          <a:extLst>
            <a:ext uri="{FF2B5EF4-FFF2-40B4-BE49-F238E27FC236}">
              <a16:creationId xmlns:a16="http://schemas.microsoft.com/office/drawing/2014/main" id="{96601615-71A3-AB4C-86C8-3BF66074A38B}"/>
            </a:ext>
          </a:extLst>
        </xdr:cNvPr>
        <xdr:cNvPicPr>
          <a:picLocks noChangeAspect="1"/>
        </xdr:cNvPicPr>
      </xdr:nvPicPr>
      <xdr:blipFill>
        <a:blip xmlns:r="http://schemas.openxmlformats.org/officeDocument/2006/relationships" r:embed="rId1"/>
        <a:stretch>
          <a:fillRect/>
        </a:stretch>
      </xdr:blipFill>
      <xdr:spPr>
        <a:xfrm>
          <a:off x="13222653" y="414379"/>
          <a:ext cx="5545992" cy="935306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20</xdr:col>
      <xdr:colOff>762000</xdr:colOff>
      <xdr:row>6</xdr:row>
      <xdr:rowOff>177800</xdr:rowOff>
    </xdr:from>
    <xdr:to>
      <xdr:col>25</xdr:col>
      <xdr:colOff>722018</xdr:colOff>
      <xdr:row>59</xdr:row>
      <xdr:rowOff>139700</xdr:rowOff>
    </xdr:to>
    <xdr:pic>
      <xdr:nvPicPr>
        <xdr:cNvPr id="2" name="Picture 1">
          <a:extLst>
            <a:ext uri="{FF2B5EF4-FFF2-40B4-BE49-F238E27FC236}">
              <a16:creationId xmlns:a16="http://schemas.microsoft.com/office/drawing/2014/main" id="{289771B5-811F-5E42-8098-FDB62C3E2413}"/>
            </a:ext>
          </a:extLst>
        </xdr:cNvPr>
        <xdr:cNvPicPr>
          <a:picLocks noChangeAspect="1"/>
        </xdr:cNvPicPr>
      </xdr:nvPicPr>
      <xdr:blipFill>
        <a:blip xmlns:r="http://schemas.openxmlformats.org/officeDocument/2006/relationships" r:embed="rId1"/>
        <a:stretch>
          <a:fillRect/>
        </a:stretch>
      </xdr:blipFill>
      <xdr:spPr>
        <a:xfrm>
          <a:off x="17272000" y="1320800"/>
          <a:ext cx="4087518" cy="1005840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Qin Liu" id="{A5E54E6E-41AD-D94F-B6C2-9D584932DDAF}" userId="S::ql2373@columbia.edu::78896682-b43a-42b2-b16b-874ca3b2fa3c" providerId="AD"/>
</personList>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8">
  <rv s="0">
    <v>https://www.bing.com/financeapi/forcetrigger?t=r6dwra&amp;q=US10Y&amp;form=skydnc</v>
    <v>Learn more on Bing</v>
  </rv>
  <rv s="1">
    <v>0</v>
    <v>US Treasury 10Y</v>
    <v>2</v>
    <v>3</v>
    <v>Finance</v>
    <v>4</v>
    <v>en-US</v>
    <v>r6dwra</v>
    <v>268435456</v>
    <v>1</v>
    <v>Powered by Refinitiv</v>
    <v>0.67190000000000005</v>
    <v>6.7530000000000003E-3</v>
    <v>US</v>
    <v>USD</v>
    <v>Bond</v>
    <v>44614.124039351853</v>
    <v>0</v>
    <v>48259</v>
    <v>US Treasury 10Y</v>
    <v>99.5</v>
    <v>100.17189999999999</v>
    <v>US10Y</v>
    <v>US Treasury 10Y</v>
    <v>1.8770999999999999E-2</v>
    <v>1.951E-2</v>
    <v>1.345E-2</v>
    <v>2.0449999999999999E-2</v>
  </rv>
  <rv s="2">
    <v>1</v>
  </rv>
  <rv s="0">
    <v>https://www.bing.com/financeapi/forcetrigger?t=a24kar&amp;q=XNAS%3aTSLA&amp;form=skydnc</v>
    <v>Learn more on Bing</v>
  </rv>
  <rv s="3">
    <v>5</v>
    <v>TESLA, INC. (XNAS:TSLA)</v>
    <v>6</v>
    <v>7</v>
    <v>Finance</v>
    <v>8</v>
    <v>en-US</v>
    <v>a24kar</v>
    <v>268435456</v>
    <v>1</v>
    <v>Powered by Refinitiv</v>
    <v>1243.49</v>
    <v>539.49</v>
    <v>2.0539999999999998</v>
    <v>-19.37</v>
    <v>-2.2103000000000001E-2</v>
    <v>-4.9800000000000004</v>
    <v>-5.8109999999999993E-3</v>
    <v>USD</v>
    <v>Tesla, Inc. designs, develops, manufactures, sells and leases electric vehicles and energy generation and storage systems, and offers services related to its sustainable energy products. The Company's segments include automotive, and energy generation and storage. The automotive segment includes the design, development, manufacturing, sales and leasing of electric vehicles as well as sales of automotive regulatory credits. The energy generation and storage segment include the design, manufacture, installation, sales and leasing of solar energy systems and energy storage products, services related to its products, and sales of solar energy system incentives. Its automotive products include Model 3, Model Y, Model S and Model X. Model 3 is a four-door sedan. Model Y is a sport utility vehicle (SUV) built on the Model 3 platform. Model S is a four-door sedan. Model X is an SUV. The Company's energy storage products include Powerwall, Powerpack and Megapack.</v>
    <v>99290</v>
    <v>Nasdaq Stock Market</v>
    <v>XNAS</v>
    <v>XNAS</v>
    <v>13101 Harold Green Road, AUSTIN, TX, 78725 US</v>
    <v>886.87</v>
    <v>Automobiles &amp; Auto Parts</v>
    <v>Stock</v>
    <v>44610.882986573437</v>
    <v>3</v>
    <v>837.61</v>
    <v>885695400000</v>
    <v>TESLA, INC.</v>
    <v>TESLA, INC.</v>
    <v>886</v>
    <v>178.06129999999999</v>
    <v>876.35</v>
    <v>856.98</v>
    <v>852</v>
    <v>1033508000</v>
    <v>TSLA</v>
    <v>TESLA, INC. (XNAS:TSLA)</v>
    <v>22833947</v>
    <v>27342543</v>
    <v>2003</v>
  </rv>
  <rv s="2">
    <v>4</v>
  </rv>
  <rv s="3">
    <v>5</v>
    <v>TESLA, INC. (XNAS:TSLA)</v>
    <v>6</v>
    <v>7</v>
    <v>Finance</v>
    <v>8</v>
    <v>en-US</v>
    <v>a24kar</v>
    <v>268435456</v>
    <v>1</v>
    <v>Powered by Refinitiv</v>
    <v>1243.49</v>
    <v>539.49</v>
    <v>2.0379999999999998</v>
    <v>0.96</v>
    <v>1.041E-3</v>
    <v>-4.59</v>
    <v>-4.9709999999999997E-3</v>
    <v>USD</v>
    <v>Tesla, Inc. designs, develops, manufactures, sells and leases electric vehicles and energy generation and storage systems, and offers services related to its sustainable energy products. The Company's segments include automotive, and energy generation and storage. The automotive segment includes the design, development, manufacturing, sales and leasing of electric vehicles as well as sales of automotive regulatory credits. The energy generation and storage segment include the design, manufacture, installation, sales and leasing of solar energy systems and energy storage products, services related to its products, and sales of solar energy system incentives. Its automotive products include Model 3, Model Y, Model S and Model X. Model 3 is a four-door sedan. Model Y is a sport utility vehicle (SUV) built on the Model 3 platform. Model S is a four-door sedan. Model X is an SUV. The Company's energy storage products include Powerwall, Powerpack and Megapack.</v>
    <v>99290</v>
    <v>Nasdaq Stock Market</v>
    <v>XNAS</v>
    <v>XNAS</v>
    <v>13101 Harold Green Road, AUSTIN, TX, 78725 US</v>
    <v>926.42989999999998</v>
    <v>Automobiles &amp; Auto Parts</v>
    <v>Stock</v>
    <v>44609.041618066403</v>
    <v>3</v>
    <v>901.21</v>
    <v>953338400000</v>
    <v>TESLA, INC.</v>
    <v>TESLA, INC.</v>
    <v>914.05</v>
    <v>187.42410000000001</v>
    <v>922.43</v>
    <v>923.39</v>
    <v>918.8</v>
    <v>1033508000</v>
    <v>TSLA</v>
    <v>TESLA, INC. (XNAS:TSLA)</v>
    <v>17098132</v>
    <v>27920268</v>
    <v>2003</v>
  </rv>
  <rv s="2">
    <v>6</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Change"/>
    <k n="Change (%)"/>
    <k n="Country/region" t="s"/>
    <k n="Currency" t="s"/>
    <k n="Instrument type" t="s"/>
    <k n="Last trade time"/>
    <k n="LearnMoreOnLink" t="r"/>
    <k n="Maturity"/>
    <k n="Name" t="s"/>
    <k n="Previous close"/>
    <k n="Price"/>
    <k n="Ticker symbol" t="s"/>
    <k n="UniqueName" t="s"/>
    <k n="Yield last month"/>
    <k n="Yield last week"/>
    <k n="Yield last year"/>
    <k n="Yield yesterday"/>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28">
      <v t="s">%EntityServiceId</v>
      <v t="s">_Format</v>
      <v t="s">%IsRefreshable</v>
      <v t="s">%EntityCulture</v>
      <v t="s">%EntityId</v>
      <v t="s">_Icon</v>
      <v t="s">_Display</v>
      <v t="s">Name</v>
      <v t="s">Price</v>
      <v t="s">_SubLabel</v>
      <v t="s">Last trade time</v>
      <v t="s">Ticker symbol</v>
      <v t="s">Change</v>
      <v t="s">Change (%)</v>
      <v t="s">Currency</v>
      <v t="s">Previous close</v>
      <v t="s">Yield yesterday</v>
      <v t="s">Yield last week</v>
      <v t="s">Yield last month</v>
      <v t="s">Yield last year</v>
      <v t="s">Maturity</v>
      <v t="s">Country/region</v>
      <v t="s">Instrument type</v>
      <v t="s">_Flags</v>
      <v t="s">UniqueName</v>
      <v t="s">_DisplayString</v>
      <v t="s">LearnMoreOnLink</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spb>
    <spb s="3">
      <v>1</v>
      <v>2</v>
      <v>2</v>
      <v>3</v>
      <v>4</v>
      <v>2</v>
      <v>5</v>
      <v>4</v>
      <v>4</v>
      <v>4</v>
      <v>4</v>
      <v>6</v>
    </spb>
    <spb s="4">
      <v>GMT</v>
    </spb>
    <spb s="0">
      <v>1</v>
      <v>Name</v>
      <v>LearnMoreOnLink</v>
    </spb>
    <spb s="5">
      <v>1</v>
      <v>1</v>
      <v>1</v>
      <v>1</v>
    </spb>
    <spb s="6">
      <v>2</v>
      <v>7</v>
      <v>7</v>
      <v>2</v>
      <v>1</v>
      <v>2</v>
      <v>2</v>
      <v>2</v>
      <v>8</v>
      <v>8</v>
      <v>4</v>
      <v>9</v>
      <v>2</v>
      <v>2</v>
      <v>2</v>
      <v>8</v>
      <v>5</v>
      <v>10</v>
      <v>6</v>
      <v>8</v>
      <v>2</v>
      <v>2</v>
      <v>4</v>
    </spb>
    <spb s="7">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8">
  <s>
    <k n="^Order" t="spba"/>
    <k n="TitleProperty" t="s"/>
    <k n="SubTitleProperty" t="s"/>
  </s>
  <s>
    <k n="ShowInCardView" t="b"/>
    <k n="ShowInDotNotation" t="b"/>
    <k n="ShowInAutoComplete" t="b"/>
  </s>
  <s>
    <k n="UniqueName" t="spb"/>
    <k n="`%ProviderInfo" t="spb"/>
    <k n="LearnMoreOnLink" t="spb"/>
  </s>
  <s>
    <k n="Name" t="i"/>
    <k n="Price" t="i"/>
    <k n="Change" t="i"/>
    <k n="Maturity" t="i"/>
    <k n="Change (%)" t="i"/>
    <k n="Previous close" t="i"/>
    <k n="Last trade time" t="i"/>
    <k n="Yield last week" t="i"/>
    <k n="Yield last year" t="i"/>
    <k n="Yield yesterday" t="i"/>
    <k n="Yield last month" t="i"/>
    <k n="`%EntityServiceId" t="i"/>
  </s>
  <s>
    <k n="Last trade time"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x:dxf>
      <x:numFmt numFmtId="19" formatCode="m/d/yy"/>
    </x:dxf>
  </dxfs>
  <richProperties>
    <rPr n="IsTitleField" t="b"/>
    <rPr n="NumberFormat" t="s"/>
  </richProperties>
  <richStyles>
    <rSty>
      <rpv i="0">1</rpv>
    </rSty>
    <rSty dxfid="1">
      <rpv i="1">_([$$-en-US]* #,##0.00_);_([$$-en-US]* (#,##0.00);_([$$-en-US]* "-"??_);_(@_)</rpv>
    </rSty>
    <rSty dxfid="7"/>
    <rSty dxfid="3"/>
    <rSty dxfid="2"/>
    <rSty dxfid="0">
      <rpv i="1">0.00</rpv>
    </rSty>
    <rSty dxfid="5">
      <rpv i="1">#,##0.00</rpv>
    </rSty>
    <rSty dxfid="4">
      <rpv i="1">#,##0</rpv>
    </rSty>
    <rSty dxfid="1">
      <rpv i="1">_([$$-en-US]* #,##0_);_([$$-en-US]* (#,##0);_([$$-en-US]* "-"_);_(@_)</rpv>
    </rSty>
    <rSty dxfid="6">
      <rpv i="1">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10" dT="2022-02-17T04:57:22.10" personId="{A5E54E6E-41AD-D94F-B6C2-9D584932DDAF}" id="{43960CEE-E17E-A548-B3EB-A8FCAC32381A}">
    <text xml:space="preserve">very bad year, how to adjust?
</text>
  </threadedComment>
  <threadedComment ref="E14" dT="2022-02-17T04:54:57.16" personId="{A5E54E6E-41AD-D94F-B6C2-9D584932DDAF}" id="{BC519D3E-EA6A-EB49-8E4E-19F2C8C4BE0E}">
    <text xml:space="preserve">better to use - or () for negative number? </text>
  </threadedComment>
  <threadedComment ref="B18" dT="2022-02-17T03:56:19.40" personId="{A5E54E6E-41AD-D94F-B6C2-9D584932DDAF}" id="{A48CE072-5C09-9E4B-8529-38AAE45FA8E6}">
    <text xml:space="preserve">can i use tax provision?
</text>
  </threadedComment>
  <threadedComment ref="B23" dT="2022-02-22T01:25:14.48" personId="{A5E54E6E-41AD-D94F-B6C2-9D584932DDAF}" id="{1F69EC5B-E85C-3B4A-9FEC-33F3B47C4E4D}">
    <text>use items from BS?
or cashflow?
did it include the right items?</text>
  </threadedComment>
</ThreadedComments>
</file>

<file path=xl/threadedComments/threadedComment2.xml><?xml version="1.0" encoding="utf-8"?>
<ThreadedComments xmlns="http://schemas.microsoft.com/office/spreadsheetml/2018/threadedcomments" xmlns:x="http://schemas.openxmlformats.org/spreadsheetml/2006/main">
  <threadedComment ref="D5" dT="2022-02-21T23:23:46.64" personId="{A5E54E6E-41AD-D94F-B6C2-9D584932DDAF}" id="{FBF89016-947A-344A-9CD7-7DF3A2C44089}">
    <text xml:space="preserve">actual number in what color?
</text>
  </threadedComment>
  <threadedComment ref="D5" dT="2022-02-21T23:26:03.87" personId="{A5E54E6E-41AD-D94F-B6C2-9D584932DDAF}" id="{43253E51-5030-634A-910F-23DCDA6C8073}" parentId="{FBF89016-947A-344A-9CD7-7DF3A2C44089}">
    <text xml:space="preserve">and projection color?
</text>
  </threadedComment>
</ThreadedComments>
</file>

<file path=xl/threadedComments/threadedComment3.xml><?xml version="1.0" encoding="utf-8"?>
<ThreadedComments xmlns="http://schemas.microsoft.com/office/spreadsheetml/2018/threadedcomments" xmlns:x="http://schemas.openxmlformats.org/spreadsheetml/2006/main">
  <threadedComment ref="C20" dT="2022-02-17T04:52:59.19" personId="{A5E54E6E-41AD-D94F-B6C2-9D584932DDAF}" id="{382819B2-45F9-5F49-86AF-011FBBE420C4}">
    <text>rarely bad year, ignore?</text>
  </threadedComment>
  <threadedComment ref="A29" dT="2022-02-17T03:53:59.40" personId="{A5E54E6E-41AD-D94F-B6C2-9D584932DDAF}" id="{3EEBBC4D-5D3D-6C46-93EE-E5E67F812D84}">
    <text xml:space="preserve">difference between comprehensive income vs non-operating income?
</text>
  </threadedComment>
  <threadedComment ref="L38" dT="2022-02-17T04:35:40.01" personId="{A5E54E6E-41AD-D94F-B6C2-9D584932DDAF}" id="{B6D3F350-764C-EB4F-A80C-01D14DAEABF4}">
    <text>how to determine terminal rate</text>
  </threadedComment>
  <threadedComment ref="F47" dT="2022-02-17T05:20:19.63" personId="{A5E54E6E-41AD-D94F-B6C2-9D584932DDAF}" id="{C7DB870B-09F8-094A-983E-E8E94A9215B6}">
    <text xml:space="preserve">遇到有些减小的负数 手动调整吗
</text>
  </threadedComment>
  <threadedComment ref="H54" dT="2022-02-17T04:47:55.11" personId="{A5E54E6E-41AD-D94F-B6C2-9D584932DDAF}" id="{504C0097-99AC-A248-B23C-6075384BF6E2}">
    <text xml:space="preserve">negative number - adjusted by using only past 4 years 
</text>
  </threadedComment>
</ThreadedComments>
</file>

<file path=xl/threadedComments/threadedComment4.xml><?xml version="1.0" encoding="utf-8"?>
<ThreadedComments xmlns="http://schemas.microsoft.com/office/spreadsheetml/2018/threadedcomments" xmlns:x="http://schemas.openxmlformats.org/spreadsheetml/2006/main">
  <threadedComment ref="A4" dT="2022-02-22T00:55:30.41" personId="{A5E54E6E-41AD-D94F-B6C2-9D584932DDAF}" id="{FB68847B-5656-B740-87CB-4D133855CAF8}">
    <text xml:space="preserve">ignore?
</text>
  </threadedComment>
  <threadedComment ref="A5" dT="2022-02-22T00:55:44.27" personId="{A5E54E6E-41AD-D94F-B6C2-9D584932DDAF}" id="{98ECDB14-E1F0-3F44-A99F-2FF4621BF2C4}">
    <text>ignore?</text>
  </threadedComment>
  <threadedComment ref="A34" dT="2022-02-22T02:16:21.70" personId="{A5E54E6E-41AD-D94F-B6C2-9D584932DDAF}" id="{116AD49A-FB71-064C-A52A-5E50B012FDE8}">
    <text>use items from BS?
or cashflow?
did it include the right items?</text>
  </threadedComment>
  <threadedComment ref="A59" dT="2022-02-21T23:55:08.80" personId="{A5E54E6E-41AD-D94F-B6C2-9D584932DDAF}" id="{1D685111-5AC0-5E46-84DC-0AB3A1877882}">
    <text>divide by total COGS or auto sales COGS?</text>
  </threadedComment>
  <threadedComment ref="A59" dT="2022-02-22T00:35:50.24" personId="{A5E54E6E-41AD-D94F-B6C2-9D584932DDAF}" id="{D3EDB667-C706-1642-8C5A-8776B059F7C9}" parentId="{1D685111-5AC0-5E46-84DC-0AB3A1877882}">
    <text xml:space="preserve">turnover days: why account receivable *365? 2 period avegae *365 =! a year </text>
  </threadedComment>
</ThreadedComments>
</file>

<file path=xl/threadedComments/threadedComment5.xml><?xml version="1.0" encoding="utf-8"?>
<ThreadedComments xmlns="http://schemas.microsoft.com/office/spreadsheetml/2018/threadedcomments" xmlns:x="http://schemas.openxmlformats.org/spreadsheetml/2006/main">
  <threadedComment ref="L5" dT="2022-02-22T02:52:09.92" personId="{A5E54E6E-41AD-D94F-B6C2-9D584932DDAF}" id="{CB4610F2-A0CD-7E46-898A-3A86CA757075}">
    <text>terminal year also use margin?</text>
  </threadedComment>
  <threadedComment ref="A16" dT="2022-02-22T01:47:13.07" personId="{A5E54E6E-41AD-D94F-B6C2-9D584932DDAF}" id="{E673100B-729F-514C-B0C1-6C1226F380E7}" done="1">
    <text xml:space="preserve">see cash changes: 
Subtract the current year accounts receivable balance from the previous year balance, increase in AR = less cashflow received </text>
  </threadedComment>
  <threadedComment ref="A18" dT="2022-02-22T02:21:48.90" personId="{A5E54E6E-41AD-D94F-B6C2-9D584932DDAF}" id="{2FA14FFA-4670-B14A-8573-E49ED4C61E5E}">
    <text xml:space="preserve">dont have an item on BS to forecast </text>
  </threadedComment>
  <threadedComment ref="A77" dT="2022-02-17T03:51:03.82" personId="{A5E54E6E-41AD-D94F-B6C2-9D584932DDAF}" id="{D93FD0F0-A4A1-5346-A003-96695AAE26E7}">
    <text xml:space="preserve">is this changes in Working Capital, if not, which are not wc items
</text>
  </threadedComment>
</ThreadedComments>
</file>

<file path=xl/threadedComments/threadedComment6.xml><?xml version="1.0" encoding="utf-8"?>
<ThreadedComments xmlns="http://schemas.microsoft.com/office/spreadsheetml/2018/threadedcomments" xmlns:x="http://schemas.openxmlformats.org/spreadsheetml/2006/main">
  <threadedComment ref="B29" dT="2022-02-08T22:15:37.30" personId="{A5E54E6E-41AD-D94F-B6C2-9D584932DDAF}" id="{9475B0DD-4F10-474B-899D-82045F6B30A6}">
    <text xml:space="preserve">negative
</text>
  </threadedComment>
</ThreadedComments>
</file>

<file path=xl/threadedComments/threadedComment7.xml><?xml version="1.0" encoding="utf-8"?>
<ThreadedComments xmlns="http://schemas.microsoft.com/office/spreadsheetml/2018/threadedcomments" xmlns:x="http://schemas.openxmlformats.org/spreadsheetml/2006/main">
  <threadedComment ref="C17" dT="2022-02-08T20:24:04.49" personId="{A5E54E6E-41AD-D94F-B6C2-9D584932DDAF}" id="{629A4B0A-D3F4-0344-B0DE-94D1BC3A42A3}">
    <text>how to forcast the terminal rate for cogs</text>
  </threadedComment>
  <threadedComment ref="B30" dT="2022-02-08T20:23:23.09" personId="{A5E54E6E-41AD-D94F-B6C2-9D584932DDAF}" id="{B972D396-F1E9-4F42-8D50-F8EEAB73033B}">
    <text>negative avg. margin???</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1.xml"/><Relationship Id="rId4" Type="http://schemas.microsoft.com/office/2017/10/relationships/threadedComment" Target="../threadedComments/threadedComment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 Id="rId4" Type="http://schemas.microsoft.com/office/2017/10/relationships/threadedComment" Target="../threadedComments/threadedComment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38BA4-23CD-E847-A318-F68CC92A41B9}">
  <dimension ref="B2:Q27"/>
  <sheetViews>
    <sheetView topLeftCell="B1" zoomScale="170" zoomScaleNormal="170" workbookViewId="0">
      <selection activeCell="Q8" sqref="Q8"/>
    </sheetView>
  </sheetViews>
  <sheetFormatPr baseColWidth="10" defaultRowHeight="15" x14ac:dyDescent="0.2"/>
  <cols>
    <col min="1" max="1" width="10.83203125" style="7"/>
    <col min="2" max="2" width="34.33203125" style="7" customWidth="1"/>
    <col min="3" max="4" width="10.83203125" style="7" hidden="1" customWidth="1"/>
    <col min="5" max="16384" width="10.83203125" style="7"/>
  </cols>
  <sheetData>
    <row r="2" spans="2:17" x14ac:dyDescent="0.2">
      <c r="B2" s="242" t="s">
        <v>261</v>
      </c>
      <c r="O2" s="7" t="e" vm="1">
        <v>#VALUE!</v>
      </c>
    </row>
    <row r="3" spans="2:17" x14ac:dyDescent="0.2">
      <c r="O3" s="7" t="e" vm="2">
        <v>#VALUE!</v>
      </c>
    </row>
    <row r="4" spans="2:17" x14ac:dyDescent="0.2">
      <c r="B4" s="244" t="s">
        <v>251</v>
      </c>
      <c r="C4" s="245">
        <v>2016</v>
      </c>
      <c r="D4" s="245">
        <v>2017</v>
      </c>
      <c r="E4" s="245">
        <v>2018</v>
      </c>
      <c r="F4" s="245">
        <v>2019</v>
      </c>
      <c r="G4" s="245">
        <v>2020</v>
      </c>
      <c r="H4" s="245">
        <v>2021</v>
      </c>
      <c r="I4" s="246">
        <v>2022</v>
      </c>
      <c r="J4" s="246">
        <v>2023</v>
      </c>
      <c r="K4" s="246">
        <v>2024</v>
      </c>
      <c r="L4" s="246">
        <v>2025</v>
      </c>
      <c r="M4" s="246">
        <v>2025</v>
      </c>
      <c r="O4" s="349" t="s">
        <v>326</v>
      </c>
      <c r="P4" s="349"/>
      <c r="Q4" s="349"/>
    </row>
    <row r="5" spans="2:17" x14ac:dyDescent="0.2">
      <c r="B5" s="7" t="s">
        <v>252</v>
      </c>
      <c r="C5" s="258">
        <f>income!B8</f>
        <v>7000.1320000000005</v>
      </c>
      <c r="D5" s="258">
        <f>income!C8</f>
        <v>11758.751</v>
      </c>
      <c r="E5" s="199">
        <f>income!D8</f>
        <v>21461.268</v>
      </c>
      <c r="F5" s="199">
        <f>income!E8</f>
        <v>24578</v>
      </c>
      <c r="G5" s="199">
        <f>income!F8</f>
        <v>31536</v>
      </c>
      <c r="H5" s="199">
        <f>income!G8</f>
        <v>53823</v>
      </c>
      <c r="I5" s="199">
        <f>income!H8</f>
        <v>99009.154916152169</v>
      </c>
      <c r="J5" s="199">
        <f>income!I8</f>
        <v>129867.47308505556</v>
      </c>
      <c r="K5" s="199">
        <f>income!J8</f>
        <v>160019.2984864731</v>
      </c>
      <c r="L5" s="199">
        <f>income!K8</f>
        <v>165457.59788138684</v>
      </c>
      <c r="M5" s="199">
        <f>income!L8</f>
        <v>209536.39309682019</v>
      </c>
      <c r="O5" s="350" t="s">
        <v>327</v>
      </c>
      <c r="P5" s="350"/>
      <c r="Q5" s="351" cm="1">
        <f t="array" ref="Q5">_FV(O2,"Yield yesterday",TRUE)</f>
        <v>2.0449999999999999E-2</v>
      </c>
    </row>
    <row r="6" spans="2:17" x14ac:dyDescent="0.2">
      <c r="B6" s="243" t="s">
        <v>253</v>
      </c>
      <c r="C6" s="259"/>
      <c r="D6" s="260">
        <f>D5/C5-1</f>
        <v>0.67978989539054391</v>
      </c>
      <c r="E6" s="247">
        <f t="shared" ref="E6:H6" si="0">E5/D5-1</f>
        <v>0.82513159773516764</v>
      </c>
      <c r="F6" s="247">
        <f t="shared" si="0"/>
        <v>0.14522590184326489</v>
      </c>
      <c r="G6" s="247">
        <f t="shared" si="0"/>
        <v>0.28309870615998056</v>
      </c>
      <c r="H6" s="247">
        <f t="shared" si="0"/>
        <v>0.70671613394216126</v>
      </c>
      <c r="I6" s="247">
        <f t="shared" ref="I6" si="1">I5/H5-1</f>
        <v>0.83953244739520594</v>
      </c>
      <c r="J6" s="247">
        <f t="shared" ref="J6" si="2">J5/I5-1</f>
        <v>0.31167136205774471</v>
      </c>
      <c r="K6" s="247">
        <f t="shared" ref="K6" si="3">K5/J5-1</f>
        <v>0.23217380522734787</v>
      </c>
      <c r="L6" s="247">
        <f t="shared" ref="L6" si="4">L5/K5-1</f>
        <v>3.3985272066253014E-2</v>
      </c>
      <c r="M6" s="247">
        <f t="shared" ref="M6" si="5">M5/L5-1</f>
        <v>0.26640538591060969</v>
      </c>
      <c r="O6" s="350" t="s">
        <v>328</v>
      </c>
      <c r="P6" s="350"/>
      <c r="Q6" s="308" cm="1">
        <f t="array" ref="Q6">_FV(O3,"Beta")</f>
        <v>2.0539999999999998</v>
      </c>
    </row>
    <row r="7" spans="2:17" x14ac:dyDescent="0.2">
      <c r="C7" s="259"/>
      <c r="D7" s="259"/>
      <c r="O7" s="350" t="s">
        <v>329</v>
      </c>
      <c r="P7" s="350"/>
      <c r="Q7" s="352">
        <v>0.1</v>
      </c>
    </row>
    <row r="8" spans="2:17" x14ac:dyDescent="0.2">
      <c r="B8" s="7" t="s">
        <v>235</v>
      </c>
      <c r="C8" s="258">
        <f>income!B22</f>
        <v>279.7589999999999</v>
      </c>
      <c r="D8" s="258">
        <f>income!C22</f>
        <v>3.9170000000001437</v>
      </c>
      <c r="E8" s="199">
        <f>income!D22</f>
        <v>1512.9769999999999</v>
      </c>
      <c r="F8" s="199">
        <f>income!E22</f>
        <v>2085</v>
      </c>
      <c r="G8" s="199">
        <f>income!F22</f>
        <v>4316</v>
      </c>
      <c r="H8" s="199">
        <f>income!G22</f>
        <v>9434</v>
      </c>
      <c r="I8" s="199">
        <f>income!H22</f>
        <v>11570.894916417703</v>
      </c>
      <c r="J8" s="199">
        <f>income!I22</f>
        <v>15177.211495244643</v>
      </c>
      <c r="K8" s="199">
        <f>income!J22</f>
        <v>18700.962440835836</v>
      </c>
      <c r="L8" s="199">
        <f>income!K22</f>
        <v>19336.519737288421</v>
      </c>
      <c r="M8" s="199">
        <f>income!L22</f>
        <v>24487.872740068869</v>
      </c>
      <c r="O8" s="350" t="s">
        <v>330</v>
      </c>
      <c r="P8" s="350"/>
      <c r="Q8" s="350"/>
    </row>
    <row r="9" spans="2:17" x14ac:dyDescent="0.2">
      <c r="B9" s="243" t="s">
        <v>254</v>
      </c>
      <c r="C9" s="261">
        <f>C8/C5</f>
        <v>3.9964817806292775E-2</v>
      </c>
      <c r="D9" s="261">
        <f t="shared" ref="D9:M9" si="6">D8/D5</f>
        <v>3.3311361045064599E-4</v>
      </c>
      <c r="E9" s="248">
        <f t="shared" si="6"/>
        <v>7.0498024627435804E-2</v>
      </c>
      <c r="F9" s="248">
        <f t="shared" si="6"/>
        <v>8.4831963544633418E-2</v>
      </c>
      <c r="G9" s="248">
        <f t="shared" si="6"/>
        <v>0.13685946220192796</v>
      </c>
      <c r="H9" s="248">
        <f t="shared" si="6"/>
        <v>0.17527822678037269</v>
      </c>
      <c r="I9" s="248">
        <f t="shared" si="6"/>
        <v>0.11686691928859246</v>
      </c>
      <c r="J9" s="248">
        <f t="shared" si="6"/>
        <v>0.11686691928859247</v>
      </c>
      <c r="K9" s="248">
        <f t="shared" si="6"/>
        <v>0.11686691928859246</v>
      </c>
      <c r="L9" s="248">
        <f t="shared" si="6"/>
        <v>0.11686691928859246</v>
      </c>
      <c r="M9" s="248">
        <f t="shared" si="6"/>
        <v>0.11686691928859247</v>
      </c>
      <c r="O9" s="350" t="s">
        <v>331</v>
      </c>
      <c r="P9" s="350"/>
      <c r="Q9" s="256">
        <f>H19</f>
        <v>0.11020022071574964</v>
      </c>
    </row>
    <row r="10" spans="2:17" x14ac:dyDescent="0.2">
      <c r="B10" s="243" t="s">
        <v>253</v>
      </c>
      <c r="C10" s="260"/>
      <c r="D10" s="254">
        <f>D8/C8-1</f>
        <v>-0.98599866313505502</v>
      </c>
      <c r="E10" s="247">
        <f>E8/D8-1</f>
        <v>385.25912688280425</v>
      </c>
      <c r="F10" s="247">
        <f>F8/E8-1</f>
        <v>0.3780777896821963</v>
      </c>
      <c r="G10" s="247">
        <f>G8/F8-1</f>
        <v>1.0700239808153476</v>
      </c>
      <c r="H10" s="247">
        <f>H8/G8-1</f>
        <v>1.1858202038924932</v>
      </c>
      <c r="I10" s="247">
        <f t="shared" ref="I10:M10" si="7">I8/H8-1</f>
        <v>0.22650995510045613</v>
      </c>
      <c r="J10" s="247">
        <f t="shared" si="7"/>
        <v>0.31167136205774471</v>
      </c>
      <c r="K10" s="247">
        <f t="shared" si="7"/>
        <v>0.23217380522734765</v>
      </c>
      <c r="L10" s="247">
        <f t="shared" si="7"/>
        <v>3.3985272066253014E-2</v>
      </c>
      <c r="M10" s="247">
        <f t="shared" si="7"/>
        <v>0.26640538591060992</v>
      </c>
      <c r="O10" s="350" t="s">
        <v>335</v>
      </c>
      <c r="P10" s="350"/>
      <c r="Q10" s="350"/>
    </row>
    <row r="11" spans="2:17" x14ac:dyDescent="0.2">
      <c r="C11" s="259"/>
      <c r="D11" s="259"/>
      <c r="O11" s="350" t="s">
        <v>332</v>
      </c>
      <c r="P11" s="350"/>
      <c r="Q11" s="350"/>
    </row>
    <row r="12" spans="2:17" x14ac:dyDescent="0.2">
      <c r="B12" s="7" t="s">
        <v>257</v>
      </c>
      <c r="C12" s="258">
        <f>cashflow!B5</f>
        <v>947.09899999999993</v>
      </c>
      <c r="D12" s="258">
        <f>cashflow!C5</f>
        <v>1636.0030000000002</v>
      </c>
      <c r="E12" s="199">
        <f>cashflow!D5</f>
        <v>1901.05</v>
      </c>
      <c r="F12" s="199">
        <f>cashflow!E5</f>
        <v>2154</v>
      </c>
      <c r="G12" s="199">
        <f>cashflow!F5</f>
        <v>2322</v>
      </c>
      <c r="H12" s="199">
        <f>cashflow!G5</f>
        <v>2911</v>
      </c>
      <c r="I12" s="199">
        <f>cashflow!H5</f>
        <v>7523.0789844348719</v>
      </c>
      <c r="J12" s="199">
        <f>cashflow!I5</f>
        <v>9867.8072583816829</v>
      </c>
      <c r="K12" s="199">
        <f>cashflow!J5</f>
        <v>12158.853618810203</v>
      </c>
      <c r="L12" s="199">
        <f>cashflow!K5</f>
        <v>12572.075567059212</v>
      </c>
      <c r="M12" s="199">
        <f>cashflow!L5</f>
        <v>15921.344210198969</v>
      </c>
      <c r="O12" s="350" t="s">
        <v>333</v>
      </c>
      <c r="P12" s="350"/>
      <c r="Q12" s="350"/>
    </row>
    <row r="13" spans="2:17" x14ac:dyDescent="0.2">
      <c r="C13" s="259"/>
      <c r="D13" s="259"/>
      <c r="O13" s="350" t="s">
        <v>334</v>
      </c>
      <c r="P13" s="350"/>
      <c r="Q13" s="350"/>
    </row>
    <row r="14" spans="2:17" x14ac:dyDescent="0.2">
      <c r="B14" s="7" t="s">
        <v>255</v>
      </c>
      <c r="C14" s="258">
        <f>income!B20</f>
        <v>-667.34</v>
      </c>
      <c r="D14" s="258">
        <f>income!C20</f>
        <v>-1632.086</v>
      </c>
      <c r="E14" s="199">
        <f>income!D20</f>
        <v>-388.07299999999998</v>
      </c>
      <c r="F14" s="199">
        <f>income!E20</f>
        <v>-69</v>
      </c>
      <c r="G14" s="199">
        <f>income!F20</f>
        <v>1994</v>
      </c>
      <c r="H14" s="199">
        <f>income!G20</f>
        <v>6523</v>
      </c>
      <c r="I14" s="199">
        <f>income!H20</f>
        <v>4047.815931982831</v>
      </c>
      <c r="J14" s="199">
        <f>income!I20</f>
        <v>5309.4042368629589</v>
      </c>
      <c r="K14" s="199">
        <f>income!J20</f>
        <v>6542.1088220256352</v>
      </c>
      <c r="L14" s="199">
        <f>income!K20</f>
        <v>6764.4441702292106</v>
      </c>
      <c r="M14" s="199">
        <f>income!L20</f>
        <v>8566.5285298698982</v>
      </c>
      <c r="O14" s="350"/>
      <c r="P14" s="350"/>
      <c r="Q14" s="350"/>
    </row>
    <row r="15" spans="2:17" x14ac:dyDescent="0.2">
      <c r="B15" s="243" t="s">
        <v>254</v>
      </c>
      <c r="C15" s="260">
        <f>C14/C5</f>
        <v>-9.533248801594027E-2</v>
      </c>
      <c r="D15" s="260">
        <f t="shared" ref="D15:H15" si="8">D14/D5</f>
        <v>-0.13879756446921956</v>
      </c>
      <c r="E15" s="247">
        <f t="shared" si="8"/>
        <v>-1.8082482358451512E-2</v>
      </c>
      <c r="F15" s="247">
        <f t="shared" si="8"/>
        <v>-2.8073887216209618E-3</v>
      </c>
      <c r="G15" s="247">
        <f t="shared" si="8"/>
        <v>6.3229325215626589E-2</v>
      </c>
      <c r="H15" s="247">
        <f t="shared" si="8"/>
        <v>0.12119354179440016</v>
      </c>
      <c r="I15" s="247">
        <f t="shared" ref="I15:M15" si="9">I14/I5</f>
        <v>4.0883248982488567E-2</v>
      </c>
      <c r="J15" s="247">
        <f t="shared" si="9"/>
        <v>4.0883248982488567E-2</v>
      </c>
      <c r="K15" s="247">
        <f t="shared" si="9"/>
        <v>4.0883248982488567E-2</v>
      </c>
      <c r="L15" s="247">
        <f t="shared" si="9"/>
        <v>4.0883248982488567E-2</v>
      </c>
      <c r="M15" s="247">
        <f t="shared" si="9"/>
        <v>4.0883248982488567E-2</v>
      </c>
      <c r="O15" s="350"/>
      <c r="P15" s="350"/>
      <c r="Q15" s="350"/>
    </row>
    <row r="16" spans="2:17" x14ac:dyDescent="0.2">
      <c r="B16" s="243" t="s">
        <v>253</v>
      </c>
      <c r="C16" s="260"/>
      <c r="D16" s="260">
        <f>D14/C14-1</f>
        <v>1.4456588845266278</v>
      </c>
      <c r="E16" s="247">
        <f t="shared" ref="E16:H16" si="10">E14/D14-1</f>
        <v>-0.76222270149979843</v>
      </c>
      <c r="F16" s="247">
        <f t="shared" si="10"/>
        <v>-0.82219840081634121</v>
      </c>
      <c r="G16" s="247">
        <f t="shared" si="10"/>
        <v>-29.89855072463768</v>
      </c>
      <c r="H16" s="247">
        <f t="shared" si="10"/>
        <v>2.2713139418254764</v>
      </c>
      <c r="I16" s="247">
        <f t="shared" ref="I16" si="11">I14/H14-1</f>
        <v>-0.379454862489218</v>
      </c>
      <c r="J16" s="247">
        <f t="shared" ref="J16" si="12">J14/I14-1</f>
        <v>0.31167136205774471</v>
      </c>
      <c r="K16" s="247">
        <f t="shared" ref="K16" si="13">K14/J14-1</f>
        <v>0.23217380522734787</v>
      </c>
      <c r="L16" s="247">
        <f t="shared" ref="L16" si="14">L14/K14-1</f>
        <v>3.3985272066253014E-2</v>
      </c>
      <c r="M16" s="247">
        <f t="shared" ref="M16" si="15">M14/L14-1</f>
        <v>0.26640538591060992</v>
      </c>
      <c r="O16" s="350"/>
      <c r="P16" s="350"/>
      <c r="Q16" s="350"/>
    </row>
    <row r="17" spans="2:17" x14ac:dyDescent="0.2">
      <c r="C17" s="259"/>
      <c r="D17" s="259"/>
      <c r="O17" s="350"/>
      <c r="P17" s="350"/>
      <c r="Q17" s="350"/>
    </row>
    <row r="18" spans="2:17" x14ac:dyDescent="0.2">
      <c r="B18" s="7" t="s">
        <v>260</v>
      </c>
      <c r="C18" s="258">
        <f>income!B27</f>
        <v>26.698</v>
      </c>
      <c r="D18" s="258">
        <f>income!C27</f>
        <v>31.545999999999999</v>
      </c>
      <c r="E18" s="199">
        <f>income!D27</f>
        <v>57.837000000000003</v>
      </c>
      <c r="F18" s="199">
        <f>income!E27</f>
        <v>110</v>
      </c>
      <c r="G18" s="199">
        <f>income!F27</f>
        <v>292</v>
      </c>
      <c r="H18" s="199">
        <f>income!G27</f>
        <v>699</v>
      </c>
      <c r="I18" s="199">
        <f>income!H27</f>
        <v>2288.9632417716516</v>
      </c>
      <c r="J18" s="199">
        <f>income!I27</f>
        <v>3002.3675330347332</v>
      </c>
      <c r="K18" s="199">
        <f>income!J27</f>
        <v>3699.4386278704519</v>
      </c>
      <c r="L18" s="199">
        <f>income!K27</f>
        <v>3825.1650561310348</v>
      </c>
      <c r="M18" s="199">
        <f>income!L27</f>
        <v>1255.4473352369148</v>
      </c>
      <c r="O18" s="350"/>
      <c r="P18" s="350"/>
      <c r="Q18" s="350"/>
    </row>
    <row r="19" spans="2:17" x14ac:dyDescent="0.2">
      <c r="B19" s="243" t="s">
        <v>258</v>
      </c>
      <c r="C19" s="260">
        <f>income!B35</f>
        <v>3.5771516772336767E-2</v>
      </c>
      <c r="D19" s="260">
        <f>income!C35</f>
        <v>1.4280463116876531E-2</v>
      </c>
      <c r="E19" s="247">
        <f>income!D35</f>
        <v>5.7563859486735439E-2</v>
      </c>
      <c r="F19" s="247">
        <f>income!E35</f>
        <v>0.16541353383458646</v>
      </c>
      <c r="G19" s="247">
        <f>income!F35</f>
        <v>0.2530329289428076</v>
      </c>
      <c r="H19" s="247">
        <f>income!G35</f>
        <v>0.11020022071574964</v>
      </c>
      <c r="I19" s="247">
        <f>income!H35</f>
        <v>0.14655263574496979</v>
      </c>
      <c r="J19" s="247">
        <f>income!I35</f>
        <v>0</v>
      </c>
      <c r="K19" s="247">
        <f>income!J35</f>
        <v>0</v>
      </c>
      <c r="L19" s="247">
        <f>income!K35</f>
        <v>0</v>
      </c>
      <c r="M19" s="247">
        <f>income!L35</f>
        <v>0</v>
      </c>
      <c r="O19" s="350"/>
      <c r="P19" s="350"/>
      <c r="Q19" s="350"/>
    </row>
    <row r="20" spans="2:17" x14ac:dyDescent="0.2">
      <c r="C20" s="259"/>
      <c r="D20" s="259"/>
      <c r="O20" s="350"/>
      <c r="P20" s="350"/>
      <c r="Q20" s="350"/>
    </row>
    <row r="21" spans="2:17" x14ac:dyDescent="0.2">
      <c r="B21" s="7" t="s">
        <v>259</v>
      </c>
      <c r="C21" s="258"/>
      <c r="D21" s="258">
        <f>cashflow!C29</f>
        <v>-3414.8139999999999</v>
      </c>
      <c r="E21" s="199">
        <f>cashflow!D29</f>
        <v>-2100.7240000000002</v>
      </c>
      <c r="F21" s="199">
        <f>cashflow!E29</f>
        <v>-1327</v>
      </c>
      <c r="G21" s="199">
        <f>cashflow!F29</f>
        <v>-3157</v>
      </c>
      <c r="H21" s="199">
        <f>cashflow!G29</f>
        <v>-6482</v>
      </c>
      <c r="I21" s="199">
        <f>cashflow!H29</f>
        <v>-2236.1379030816256</v>
      </c>
      <c r="J21" s="199">
        <f>cashflow!I29</f>
        <v>-2933.0780490840248</v>
      </c>
      <c r="K21" s="199">
        <f>cashflow!J29</f>
        <v>-3614.0619407686686</v>
      </c>
      <c r="L21" s="199">
        <f>cashflow!K29</f>
        <v>-3736.8868190899825</v>
      </c>
      <c r="M21" s="199">
        <f>cashflow!L29</f>
        <v>-4732.4135942339199</v>
      </c>
      <c r="O21" s="350"/>
      <c r="P21" s="350"/>
      <c r="Q21" s="350"/>
    </row>
    <row r="22" spans="2:17" x14ac:dyDescent="0.2">
      <c r="C22" s="259"/>
      <c r="D22" s="259"/>
      <c r="O22" s="350"/>
      <c r="P22" s="350"/>
      <c r="Q22" s="350"/>
    </row>
    <row r="23" spans="2:17" x14ac:dyDescent="0.2">
      <c r="B23" s="7" t="s">
        <v>262</v>
      </c>
      <c r="C23" s="258">
        <f>SUM(cashflow!B16:B25)</f>
        <v>31.742000000000061</v>
      </c>
      <c r="D23" s="258">
        <f>SUM(cashflow!C16:C25)</f>
        <v>-496.60299999999961</v>
      </c>
      <c r="E23" s="199">
        <f>balance!D34-balance!C34</f>
        <v>734.54</v>
      </c>
      <c r="F23" s="199">
        <f>balance!E34-balance!D34</f>
        <v>-296.70200000000023</v>
      </c>
      <c r="G23" s="199">
        <f>balance!F34-balance!E34</f>
        <v>-1490</v>
      </c>
      <c r="H23" s="199">
        <f>balance!G34-balance!F34</f>
        <v>-3940</v>
      </c>
      <c r="I23" s="199">
        <f>balance!H34-balance!G34</f>
        <v>31983.207695929057</v>
      </c>
      <c r="J23" s="199">
        <f>balance!I34-balance!H34</f>
        <v>-6280.3227437336391</v>
      </c>
      <c r="K23" s="199">
        <f>balance!J34-balance!I34</f>
        <v>16642.123623194042</v>
      </c>
      <c r="L23" s="199">
        <f>balance!K34-balance!J34</f>
        <v>-11589.91415190533</v>
      </c>
      <c r="M23" s="199">
        <f>balance!L34-balance!K34</f>
        <v>21601.026018655859</v>
      </c>
      <c r="O23" s="350"/>
      <c r="P23" s="350"/>
      <c r="Q23" s="350"/>
    </row>
    <row r="24" spans="2:17" x14ac:dyDescent="0.2">
      <c r="C24" s="259"/>
      <c r="D24" s="259"/>
      <c r="O24" s="350"/>
      <c r="P24" s="350"/>
      <c r="Q24" s="350"/>
    </row>
    <row r="25" spans="2:17" x14ac:dyDescent="0.2">
      <c r="B25" s="7" t="s">
        <v>256</v>
      </c>
      <c r="C25" s="258">
        <f>C8+C18+C21+C23</f>
        <v>338.19899999999996</v>
      </c>
      <c r="D25" s="258">
        <f t="shared" ref="D25:H25" si="16">D8+D18+D21+D23</f>
        <v>-3875.9539999999993</v>
      </c>
      <c r="E25" s="199">
        <f>E8+E18+E21+E23</f>
        <v>204.62999999999965</v>
      </c>
      <c r="F25" s="199">
        <f>F8+F18+F21+F23</f>
        <v>571.29799999999977</v>
      </c>
      <c r="G25" s="199">
        <f t="shared" si="16"/>
        <v>-39</v>
      </c>
      <c r="H25" s="199">
        <f t="shared" si="16"/>
        <v>-289</v>
      </c>
      <c r="I25" s="199">
        <f t="shared" ref="I25:M25" si="17">I8+I18+I21+I23</f>
        <v>43606.927951036785</v>
      </c>
      <c r="J25" s="199">
        <f t="shared" si="17"/>
        <v>8966.1782354617117</v>
      </c>
      <c r="K25" s="199">
        <f t="shared" si="17"/>
        <v>35428.462751131665</v>
      </c>
      <c r="L25" s="199">
        <f t="shared" si="17"/>
        <v>7834.8838224241445</v>
      </c>
      <c r="M25" s="199">
        <f t="shared" si="17"/>
        <v>42611.932499727722</v>
      </c>
      <c r="O25" s="350"/>
      <c r="P25" s="350"/>
      <c r="Q25" s="350"/>
    </row>
    <row r="26" spans="2:17" x14ac:dyDescent="0.2">
      <c r="B26" s="242" t="s">
        <v>254</v>
      </c>
      <c r="C26" s="261">
        <f>C25/C5</f>
        <v>4.8313231807628761E-2</v>
      </c>
      <c r="D26" s="261">
        <f t="shared" ref="D26:H26" si="18">D25/D5</f>
        <v>-0.32962293359218164</v>
      </c>
      <c r="E26" s="248">
        <f t="shared" si="18"/>
        <v>9.5348513424276544E-3</v>
      </c>
      <c r="F26" s="248">
        <f t="shared" si="18"/>
        <v>2.324428350557408E-2</v>
      </c>
      <c r="G26" s="248">
        <f t="shared" si="18"/>
        <v>-1.2366818873668188E-3</v>
      </c>
      <c r="H26" s="248">
        <f t="shared" si="18"/>
        <v>-5.3694517213830522E-3</v>
      </c>
      <c r="I26" s="248">
        <f t="shared" ref="I26:M26" si="19">I25/I5</f>
        <v>0.44043329112309021</v>
      </c>
      <c r="J26" s="248">
        <f t="shared" si="19"/>
        <v>6.9040984801401278E-2</v>
      </c>
      <c r="K26" s="248">
        <f t="shared" si="19"/>
        <v>0.22140118777065215</v>
      </c>
      <c r="L26" s="248">
        <f t="shared" si="19"/>
        <v>4.7352819832672852E-2</v>
      </c>
      <c r="M26" s="248">
        <f t="shared" si="19"/>
        <v>0.20336291882259366</v>
      </c>
      <c r="O26" s="350"/>
      <c r="P26" s="350"/>
      <c r="Q26" s="350"/>
    </row>
    <row r="27" spans="2:17" x14ac:dyDescent="0.2">
      <c r="B27" s="242" t="s">
        <v>253</v>
      </c>
      <c r="C27" s="260"/>
      <c r="D27" s="260">
        <f>D25/C25-1</f>
        <v>-12.460572030076966</v>
      </c>
      <c r="E27" s="247">
        <f>E25/D25-1</f>
        <v>-1.0527947442100705</v>
      </c>
      <c r="F27" s="247">
        <f>F25/E25-1</f>
        <v>1.7918584762742547</v>
      </c>
      <c r="G27" s="247">
        <f>G25/F25-1</f>
        <v>-1.0682655986893006</v>
      </c>
      <c r="H27" s="247">
        <f>H25/G25-1</f>
        <v>6.4102564102564106</v>
      </c>
      <c r="I27" s="247">
        <f t="shared" ref="I27:M27" si="20">I25/H25-1</f>
        <v>-151.88902405203041</v>
      </c>
      <c r="J27" s="247">
        <f t="shared" si="20"/>
        <v>-0.79438638178022503</v>
      </c>
      <c r="K27" s="247">
        <f t="shared" si="20"/>
        <v>2.9513449120395814</v>
      </c>
      <c r="L27" s="247">
        <f t="shared" si="20"/>
        <v>-0.77885340728835661</v>
      </c>
      <c r="M27" s="247">
        <f t="shared" si="20"/>
        <v>4.4387446534648705</v>
      </c>
      <c r="O27" s="350"/>
      <c r="P27" s="350"/>
      <c r="Q27" s="350"/>
    </row>
  </sheetData>
  <mergeCells count="1">
    <mergeCell ref="O4:Q4"/>
  </mergeCells>
  <pageMargins left="0.7" right="0.7" top="0.75" bottom="0.75" header="0.3" footer="0.3"/>
  <pageSetup orientation="portrait" horizontalDpi="0" verticalDpi="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31229-3A81-7642-B15B-C6B856CE110C}">
  <dimension ref="A2:N30"/>
  <sheetViews>
    <sheetView zoomScale="200" zoomScaleNormal="200" workbookViewId="0">
      <selection activeCell="E29" sqref="E29"/>
    </sheetView>
  </sheetViews>
  <sheetFormatPr baseColWidth="10" defaultRowHeight="15" x14ac:dyDescent="0.2"/>
  <cols>
    <col min="1" max="1" width="32.83203125" style="7" customWidth="1"/>
    <col min="2" max="3" width="0" style="7" hidden="1" customWidth="1"/>
    <col min="4" max="4" width="10.83203125" style="7"/>
    <col min="5" max="5" width="11.1640625" style="7" bestFit="1" customWidth="1"/>
    <col min="6" max="12" width="10.83203125" style="7"/>
    <col min="13" max="14" width="0" style="7" hidden="1" customWidth="1"/>
    <col min="15" max="16384" width="10.83203125" style="7"/>
  </cols>
  <sheetData>
    <row r="2" spans="1:14" x14ac:dyDescent="0.2">
      <c r="A2" s="7" t="s">
        <v>322</v>
      </c>
    </row>
    <row r="3" spans="1:14" x14ac:dyDescent="0.2">
      <c r="A3" s="7" t="s">
        <v>323</v>
      </c>
    </row>
    <row r="5" spans="1:14" x14ac:dyDescent="0.2">
      <c r="A5" s="213" t="s">
        <v>278</v>
      </c>
      <c r="B5" s="269">
        <v>2016</v>
      </c>
      <c r="C5" s="270">
        <v>2017</v>
      </c>
      <c r="D5" s="250">
        <v>2018</v>
      </c>
      <c r="E5" s="250">
        <v>2019</v>
      </c>
      <c r="F5" s="250">
        <v>2020</v>
      </c>
      <c r="G5" s="250">
        <v>2021</v>
      </c>
      <c r="H5" s="251">
        <v>2022</v>
      </c>
      <c r="I5" s="251">
        <v>2023</v>
      </c>
      <c r="J5" s="251">
        <v>2024</v>
      </c>
      <c r="K5" s="251">
        <v>2025</v>
      </c>
      <c r="L5" s="251">
        <v>2026</v>
      </c>
      <c r="M5" s="251">
        <v>2027</v>
      </c>
      <c r="N5" s="251">
        <v>2028</v>
      </c>
    </row>
    <row r="6" spans="1:14" x14ac:dyDescent="0.2">
      <c r="A6" s="7" t="s">
        <v>266</v>
      </c>
      <c r="D6" s="199">
        <v>50.7</v>
      </c>
      <c r="E6" s="199">
        <v>34.299999999999997</v>
      </c>
      <c r="F6" s="311">
        <v>28.535499999999999</v>
      </c>
      <c r="G6" s="311">
        <v>22.940999999999999</v>
      </c>
      <c r="H6" s="311">
        <v>43.805</v>
      </c>
      <c r="I6" s="311">
        <v>48.755299999999998</v>
      </c>
      <c r="J6" s="311">
        <v>40.413200000000003</v>
      </c>
      <c r="K6" s="311">
        <v>39.746000000000002</v>
      </c>
      <c r="L6" s="311">
        <v>33.79</v>
      </c>
      <c r="M6" s="311">
        <v>33.451999999999998</v>
      </c>
      <c r="N6" s="311">
        <v>33.314</v>
      </c>
    </row>
    <row r="7" spans="1:14" x14ac:dyDescent="0.2">
      <c r="A7" s="7" t="s">
        <v>267</v>
      </c>
      <c r="D7" s="199">
        <v>48.7</v>
      </c>
      <c r="E7" s="199">
        <v>32.4</v>
      </c>
      <c r="F7" s="311">
        <v>27.513999999999999</v>
      </c>
      <c r="G7" s="311">
        <v>2.3069999999999999</v>
      </c>
      <c r="H7" s="311">
        <v>36.021799999999999</v>
      </c>
      <c r="I7" s="311">
        <v>40.426600000000001</v>
      </c>
      <c r="J7" s="311">
        <v>41.141500000000001</v>
      </c>
      <c r="K7" s="311">
        <v>41.153500000000001</v>
      </c>
      <c r="L7" s="311">
        <v>51.488999999999997</v>
      </c>
      <c r="M7" s="311">
        <v>52.137999999999998</v>
      </c>
      <c r="N7" s="311">
        <v>53.63</v>
      </c>
    </row>
    <row r="8" spans="1:14" x14ac:dyDescent="0.2">
      <c r="A8" s="7" t="s">
        <v>268</v>
      </c>
      <c r="D8" s="199">
        <v>146.1</v>
      </c>
      <c r="E8" s="199">
        <v>300.89999999999998</v>
      </c>
      <c r="F8" s="311">
        <v>364.42099999999999</v>
      </c>
      <c r="G8" s="311">
        <v>487.64600000000002</v>
      </c>
      <c r="H8" s="311">
        <v>706.39400000000001</v>
      </c>
      <c r="I8" s="311">
        <v>877.63499999999999</v>
      </c>
      <c r="J8" s="311">
        <v>1151.17</v>
      </c>
      <c r="K8" s="311">
        <v>695.41200000000003</v>
      </c>
      <c r="L8" s="311">
        <v>837.32799999999997</v>
      </c>
      <c r="M8" s="311">
        <v>839.11099999999999</v>
      </c>
      <c r="N8" s="311">
        <v>850.13499999999999</v>
      </c>
    </row>
    <row r="9" spans="1:14" x14ac:dyDescent="0.2">
      <c r="A9" s="345" t="s">
        <v>269</v>
      </c>
      <c r="B9" s="345"/>
      <c r="C9" s="345"/>
      <c r="D9" s="253"/>
      <c r="E9" s="253"/>
      <c r="F9" s="346">
        <v>80</v>
      </c>
      <c r="G9" s="346">
        <v>434.06599999999997</v>
      </c>
      <c r="H9" s="346">
        <v>787.22900000000004</v>
      </c>
      <c r="I9" s="346">
        <v>1070.71</v>
      </c>
      <c r="J9" s="346">
        <v>1240.02</v>
      </c>
      <c r="K9" s="346">
        <v>1408.37</v>
      </c>
      <c r="L9" s="346">
        <v>1925.2</v>
      </c>
      <c r="M9" s="311">
        <v>1955.17</v>
      </c>
      <c r="N9" s="311">
        <v>2012.98</v>
      </c>
    </row>
    <row r="10" spans="1:14" x14ac:dyDescent="0.2">
      <c r="A10" s="7" t="s">
        <v>321</v>
      </c>
      <c r="D10" s="199">
        <f t="shared" ref="D10:K10" si="0">SUM(D6:D9)</f>
        <v>245.5</v>
      </c>
      <c r="E10" s="199">
        <f t="shared" si="0"/>
        <v>367.59999999999997</v>
      </c>
      <c r="F10" s="199">
        <f t="shared" si="0"/>
        <v>500.47050000000002</v>
      </c>
      <c r="G10" s="199">
        <f t="shared" si="0"/>
        <v>946.96</v>
      </c>
      <c r="H10" s="199">
        <f t="shared" si="0"/>
        <v>1573.4498000000001</v>
      </c>
      <c r="I10" s="199">
        <f t="shared" si="0"/>
        <v>2037.5269000000001</v>
      </c>
      <c r="J10" s="199">
        <f t="shared" si="0"/>
        <v>2472.7447000000002</v>
      </c>
      <c r="K10" s="199">
        <f t="shared" si="0"/>
        <v>2184.6814999999997</v>
      </c>
      <c r="L10" s="199">
        <f>SUM(L6:L9)</f>
        <v>2847.8069999999998</v>
      </c>
      <c r="M10" s="199"/>
      <c r="N10" s="199"/>
    </row>
    <row r="11" spans="1:14" x14ac:dyDescent="0.2">
      <c r="D11" s="199"/>
      <c r="E11" s="199"/>
      <c r="F11" s="199"/>
      <c r="G11" s="199"/>
      <c r="H11" s="199"/>
      <c r="I11" s="199"/>
      <c r="J11" s="199"/>
      <c r="K11" s="199"/>
      <c r="L11" s="199"/>
      <c r="M11" s="199"/>
      <c r="N11" s="199"/>
    </row>
    <row r="12" spans="1:14" x14ac:dyDescent="0.2">
      <c r="A12" s="310" t="s">
        <v>270</v>
      </c>
      <c r="B12" s="309">
        <v>95</v>
      </c>
      <c r="D12" s="199">
        <v>95</v>
      </c>
      <c r="E12" s="312">
        <v>91</v>
      </c>
      <c r="F12" s="311">
        <v>89.4495</v>
      </c>
      <c r="G12" s="311">
        <v>109</v>
      </c>
      <c r="H12" s="311">
        <v>95.851799999999997</v>
      </c>
      <c r="I12" s="311">
        <v>100.667</v>
      </c>
      <c r="J12" s="311">
        <v>100</v>
      </c>
      <c r="K12" s="311">
        <v>95</v>
      </c>
      <c r="L12" s="312">
        <f>AVERAGE(D12:K12)</f>
        <v>96.9960375</v>
      </c>
      <c r="M12" s="199"/>
      <c r="N12" s="199"/>
    </row>
    <row r="13" spans="1:14" x14ac:dyDescent="0.2">
      <c r="A13" s="310" t="s">
        <v>271</v>
      </c>
      <c r="B13" s="309">
        <v>100</v>
      </c>
      <c r="D13" s="199">
        <v>107</v>
      </c>
      <c r="E13" s="312">
        <v>98</v>
      </c>
      <c r="F13" s="311">
        <v>98</v>
      </c>
      <c r="G13" s="311">
        <v>153</v>
      </c>
      <c r="H13" s="311">
        <v>102.767</v>
      </c>
      <c r="I13" s="311">
        <v>106.5</v>
      </c>
      <c r="J13" s="311">
        <v>100</v>
      </c>
      <c r="K13" s="311">
        <v>100</v>
      </c>
      <c r="L13" s="312">
        <f t="shared" ref="L13:L15" si="1">AVERAGE(D13:K13)</f>
        <v>108.15837500000001</v>
      </c>
      <c r="M13" s="199"/>
      <c r="N13" s="199"/>
    </row>
    <row r="14" spans="1:14" x14ac:dyDescent="0.2">
      <c r="A14" s="310" t="s">
        <v>272</v>
      </c>
      <c r="B14" s="309">
        <v>43</v>
      </c>
      <c r="D14" s="199">
        <v>57</v>
      </c>
      <c r="E14" s="199">
        <v>49</v>
      </c>
      <c r="F14" s="311">
        <v>46.784500000000001</v>
      </c>
      <c r="G14" s="311">
        <v>43</v>
      </c>
      <c r="H14" s="311">
        <v>47.815300000000001</v>
      </c>
      <c r="I14" s="311">
        <v>45.333300000000001</v>
      </c>
      <c r="J14" s="311">
        <v>44.25</v>
      </c>
      <c r="K14" s="311">
        <v>43</v>
      </c>
      <c r="L14" s="312">
        <f t="shared" si="1"/>
        <v>47.022887500000003</v>
      </c>
      <c r="M14" s="199"/>
      <c r="N14" s="199"/>
    </row>
    <row r="15" spans="1:14" x14ac:dyDescent="0.2">
      <c r="A15" s="7" t="s">
        <v>273</v>
      </c>
      <c r="D15" s="199"/>
      <c r="E15" s="199"/>
      <c r="F15" s="311">
        <v>62</v>
      </c>
      <c r="G15" s="311">
        <v>54</v>
      </c>
      <c r="H15" s="311">
        <v>54.2333</v>
      </c>
      <c r="I15" s="311">
        <v>54.5</v>
      </c>
      <c r="J15" s="311">
        <v>53</v>
      </c>
      <c r="K15" s="311">
        <v>51</v>
      </c>
      <c r="L15" s="312">
        <f t="shared" si="1"/>
        <v>54.788883333333331</v>
      </c>
      <c r="M15" s="199"/>
      <c r="N15" s="199"/>
    </row>
    <row r="16" spans="1:14" x14ac:dyDescent="0.2">
      <c r="D16" s="199"/>
      <c r="E16" s="199"/>
      <c r="F16" s="311"/>
      <c r="G16" s="311"/>
      <c r="H16" s="311"/>
      <c r="I16" s="311"/>
      <c r="J16" s="311"/>
      <c r="K16" s="311"/>
      <c r="L16" s="199"/>
      <c r="M16" s="199"/>
      <c r="N16" s="199"/>
    </row>
    <row r="17" spans="1:14" x14ac:dyDescent="0.2">
      <c r="A17" s="7" t="s">
        <v>274</v>
      </c>
      <c r="D17" s="199">
        <f>D6*D12</f>
        <v>4816.5</v>
      </c>
      <c r="E17" s="199">
        <f t="shared" ref="E17:K17" si="2">E6*E12</f>
        <v>3121.2999999999997</v>
      </c>
      <c r="F17" s="199">
        <f t="shared" si="2"/>
        <v>2552.48620725</v>
      </c>
      <c r="G17" s="199">
        <f>G6*G12</f>
        <v>2500.569</v>
      </c>
      <c r="H17" s="199">
        <f t="shared" si="2"/>
        <v>4198.7880989999994</v>
      </c>
      <c r="I17" s="199">
        <f t="shared" si="2"/>
        <v>4908.0497851</v>
      </c>
      <c r="J17" s="199">
        <f t="shared" si="2"/>
        <v>4041.32</v>
      </c>
      <c r="K17" s="199">
        <f t="shared" si="2"/>
        <v>3775.8700000000003</v>
      </c>
      <c r="L17" s="199">
        <f t="shared" ref="L17" si="3">L6*L12</f>
        <v>3277.496107125</v>
      </c>
      <c r="M17" s="199"/>
      <c r="N17" s="199"/>
    </row>
    <row r="18" spans="1:14" x14ac:dyDescent="0.2">
      <c r="A18" s="7" t="s">
        <v>277</v>
      </c>
      <c r="D18" s="199">
        <f>D7*D13</f>
        <v>5210.9000000000005</v>
      </c>
      <c r="E18" s="199">
        <f>E7*E13</f>
        <v>3175.2</v>
      </c>
      <c r="F18" s="199">
        <f>F7*F13</f>
        <v>2696.3719999999998</v>
      </c>
      <c r="G18" s="199">
        <f>G7*G13</f>
        <v>352.971</v>
      </c>
      <c r="H18" s="199">
        <f t="shared" ref="H18:K20" si="4">H7*H13</f>
        <v>3701.8523205999995</v>
      </c>
      <c r="I18" s="199">
        <f t="shared" si="4"/>
        <v>4305.4328999999998</v>
      </c>
      <c r="J18" s="199">
        <f t="shared" si="4"/>
        <v>4114.1499999999996</v>
      </c>
      <c r="K18" s="199">
        <f t="shared" si="4"/>
        <v>4115.3500000000004</v>
      </c>
      <c r="L18" s="199">
        <f t="shared" ref="L18" si="5">L7*L13</f>
        <v>5568.9665703749997</v>
      </c>
      <c r="M18" s="199"/>
      <c r="N18" s="199"/>
    </row>
    <row r="19" spans="1:14" x14ac:dyDescent="0.2">
      <c r="A19" s="7" t="s">
        <v>276</v>
      </c>
      <c r="D19" s="199">
        <f>D8*D14</f>
        <v>8327.6999999999989</v>
      </c>
      <c r="E19" s="199">
        <f>E8*E14</f>
        <v>14744.099999999999</v>
      </c>
      <c r="F19" s="199">
        <f>F8*F14</f>
        <v>17049.254274499999</v>
      </c>
      <c r="G19" s="199">
        <f>G8*G14</f>
        <v>20968.778000000002</v>
      </c>
      <c r="H19" s="199">
        <f t="shared" si="4"/>
        <v>33776.441028200003</v>
      </c>
      <c r="I19" s="199">
        <f t="shared" si="4"/>
        <v>39786.090745499998</v>
      </c>
      <c r="J19" s="199">
        <f t="shared" si="4"/>
        <v>50939.272500000006</v>
      </c>
      <c r="K19" s="199">
        <f t="shared" si="4"/>
        <v>29902.716</v>
      </c>
      <c r="L19" s="199">
        <f t="shared" ref="L19" si="6">L8*L14</f>
        <v>39373.580344599999</v>
      </c>
      <c r="M19" s="199"/>
      <c r="N19" s="199"/>
    </row>
    <row r="20" spans="1:14" x14ac:dyDescent="0.2">
      <c r="A20" s="7" t="s">
        <v>275</v>
      </c>
      <c r="D20" s="253"/>
      <c r="E20" s="253"/>
      <c r="F20" s="253">
        <f>F9*F15</f>
        <v>4960</v>
      </c>
      <c r="G20" s="253">
        <f>G9*G15</f>
        <v>23439.563999999998</v>
      </c>
      <c r="H20" s="253">
        <f>H9*H15</f>
        <v>42694.026525699999</v>
      </c>
      <c r="I20" s="253">
        <f t="shared" si="4"/>
        <v>58353.695</v>
      </c>
      <c r="J20" s="253">
        <f t="shared" si="4"/>
        <v>65721.06</v>
      </c>
      <c r="K20" s="253">
        <f t="shared" si="4"/>
        <v>71826.87</v>
      </c>
      <c r="L20" s="253">
        <f>L9*L15</f>
        <v>105479.55819333333</v>
      </c>
      <c r="M20" s="199"/>
      <c r="N20" s="199"/>
    </row>
    <row r="21" spans="1:14" x14ac:dyDescent="0.2">
      <c r="A21" s="313" t="s">
        <v>279</v>
      </c>
      <c r="D21" s="204">
        <f t="shared" ref="D21:L21" si="7">SUM(D17:D20)</f>
        <v>18355.099999999999</v>
      </c>
      <c r="E21" s="204">
        <f t="shared" si="7"/>
        <v>21040.6</v>
      </c>
      <c r="F21" s="204">
        <f t="shared" si="7"/>
        <v>27258.112481749999</v>
      </c>
      <c r="G21" s="204">
        <f t="shared" si="7"/>
        <v>47261.881999999998</v>
      </c>
      <c r="H21" s="204">
        <f t="shared" si="7"/>
        <v>84371.107973500009</v>
      </c>
      <c r="I21" s="204">
        <f t="shared" si="7"/>
        <v>107353.2684306</v>
      </c>
      <c r="J21" s="204">
        <f t="shared" si="7"/>
        <v>124815.80250000001</v>
      </c>
      <c r="K21" s="204">
        <f t="shared" si="7"/>
        <v>109620.806</v>
      </c>
      <c r="L21" s="204">
        <f t="shared" si="7"/>
        <v>153699.60121543333</v>
      </c>
      <c r="M21" s="199"/>
      <c r="N21" s="199"/>
    </row>
    <row r="22" spans="1:14" x14ac:dyDescent="0.2">
      <c r="A22" s="7" t="s">
        <v>132</v>
      </c>
      <c r="B22" s="199">
        <v>761.75900000000001</v>
      </c>
      <c r="C22" s="199">
        <v>1106.548</v>
      </c>
      <c r="D22" s="199">
        <v>883.46100000000001</v>
      </c>
      <c r="E22" s="199">
        <v>869</v>
      </c>
      <c r="F22" s="199">
        <v>1052</v>
      </c>
      <c r="G22" s="199">
        <v>1642</v>
      </c>
      <c r="H22" s="199">
        <v>1869.1906294162668</v>
      </c>
      <c r="I22" s="199">
        <v>2127.8158398889036</v>
      </c>
      <c r="J22" s="199">
        <v>2422.2249872374191</v>
      </c>
      <c r="K22" s="199">
        <v>2757.3692134483072</v>
      </c>
      <c r="L22" s="199">
        <v>2757.3692134483072</v>
      </c>
      <c r="M22" s="199"/>
      <c r="N22" s="199"/>
    </row>
    <row r="23" spans="1:14" x14ac:dyDescent="0.2">
      <c r="A23" s="7" t="s">
        <v>135</v>
      </c>
      <c r="B23" s="199"/>
      <c r="C23" s="199"/>
      <c r="D23" s="253"/>
      <c r="E23" s="253">
        <v>594</v>
      </c>
      <c r="F23" s="253">
        <v>1580</v>
      </c>
      <c r="G23" s="253">
        <v>1465</v>
      </c>
      <c r="H23" s="253">
        <v>2627.5857999829518</v>
      </c>
      <c r="I23" s="253">
        <v>4712.7693762949139</v>
      </c>
      <c r="J23" s="253">
        <v>8452.7002674041159</v>
      </c>
      <c r="K23" s="253">
        <v>15160.542794636967</v>
      </c>
      <c r="L23" s="253">
        <v>15160.542794636967</v>
      </c>
      <c r="M23" s="199"/>
      <c r="N23" s="199"/>
    </row>
    <row r="24" spans="1:14" s="196" customFormat="1" x14ac:dyDescent="0.2">
      <c r="A24" s="196" t="s">
        <v>134</v>
      </c>
      <c r="D24" s="204">
        <f>SUM(D21:D23)</f>
        <v>19238.560999999998</v>
      </c>
      <c r="E24" s="204">
        <f>SUM(E21:E23)</f>
        <v>22503.599999999999</v>
      </c>
      <c r="F24" s="204">
        <f>SUM(F21:F23)</f>
        <v>29890.112481749999</v>
      </c>
      <c r="G24" s="204">
        <f>SUM(G21:G23)</f>
        <v>50368.881999999998</v>
      </c>
      <c r="H24" s="204">
        <f>SUM(H21:H23)</f>
        <v>88867.884402899217</v>
      </c>
      <c r="I24" s="204">
        <f>SUM(I21:I23)</f>
        <v>114193.85364678383</v>
      </c>
      <c r="J24" s="204">
        <f>SUM(J21:J23)</f>
        <v>135690.72775464156</v>
      </c>
      <c r="K24" s="204">
        <f>SUM(K21:K23)</f>
        <v>127538.71800808527</v>
      </c>
      <c r="L24" s="204">
        <f>SUM(L21:L23)</f>
        <v>171617.51322351862</v>
      </c>
      <c r="M24" s="204"/>
      <c r="N24" s="204"/>
    </row>
    <row r="25" spans="1:14" x14ac:dyDescent="0.2">
      <c r="A25" s="7" t="s">
        <v>130</v>
      </c>
      <c r="B25" s="199">
        <v>181.39400000000001</v>
      </c>
      <c r="C25" s="199">
        <v>1116.2660000000001</v>
      </c>
      <c r="D25" s="199">
        <v>1555.2440000000001</v>
      </c>
      <c r="E25" s="199">
        <v>1531</v>
      </c>
      <c r="F25" s="199">
        <v>1994</v>
      </c>
      <c r="G25" s="199">
        <v>2789</v>
      </c>
      <c r="H25" s="199">
        <v>3956.4170247691595</v>
      </c>
      <c r="I25" s="199">
        <v>5612.4903814568834</v>
      </c>
      <c r="J25" s="199">
        <v>7961.7613827713039</v>
      </c>
      <c r="K25" s="199">
        <v>11294.388053763367</v>
      </c>
      <c r="L25" s="199">
        <v>11294.388053763367</v>
      </c>
      <c r="M25" s="199"/>
      <c r="N25" s="199"/>
    </row>
    <row r="26" spans="1:14" x14ac:dyDescent="0.2">
      <c r="A26" s="7" t="s">
        <v>129</v>
      </c>
      <c r="B26" s="199">
        <v>467.97200000000004</v>
      </c>
      <c r="C26" s="199">
        <v>1001.1850000000001</v>
      </c>
      <c r="D26" s="253">
        <v>1391.0409999999999</v>
      </c>
      <c r="E26" s="253">
        <v>2226</v>
      </c>
      <c r="F26" s="253">
        <v>2306</v>
      </c>
      <c r="G26" s="253">
        <v>3802</v>
      </c>
      <c r="H26" s="253">
        <v>6184.8534884837882</v>
      </c>
      <c r="I26" s="253">
        <v>10061.129056814856</v>
      </c>
      <c r="J26" s="253">
        <v>16366.809349060224</v>
      </c>
      <c r="K26" s="253">
        <v>26624.491819538194</v>
      </c>
      <c r="L26" s="253">
        <v>26624.491819538194</v>
      </c>
      <c r="M26" s="199"/>
      <c r="N26" s="199"/>
    </row>
    <row r="27" spans="1:14" s="196" customFormat="1" x14ac:dyDescent="0.2">
      <c r="A27" s="196" t="s">
        <v>324</v>
      </c>
      <c r="B27" s="204">
        <v>7000.1320000000005</v>
      </c>
      <c r="C27" s="204">
        <v>11758.751</v>
      </c>
      <c r="D27" s="204">
        <v>21461.268</v>
      </c>
      <c r="E27" s="204">
        <v>24578</v>
      </c>
      <c r="F27" s="204">
        <v>31536</v>
      </c>
      <c r="G27" s="204">
        <v>53823</v>
      </c>
      <c r="H27" s="204">
        <f>SUM(H24:H26)</f>
        <v>99009.154916152169</v>
      </c>
      <c r="I27" s="204">
        <f>SUM(I24:I26)</f>
        <v>129867.47308505556</v>
      </c>
      <c r="J27" s="204">
        <f>SUM(J24:J26)</f>
        <v>160019.2984864731</v>
      </c>
      <c r="K27" s="204">
        <f>SUM(K24:K26)</f>
        <v>165457.59788138684</v>
      </c>
      <c r="L27" s="204">
        <f>SUM(L24:L26)</f>
        <v>209536.39309682019</v>
      </c>
      <c r="M27" s="204">
        <f>SUM(M24:M26)</f>
        <v>0</v>
      </c>
      <c r="N27" s="204">
        <f>SUM(N24:N26)</f>
        <v>0</v>
      </c>
    </row>
    <row r="28" spans="1:14" x14ac:dyDescent="0.2">
      <c r="D28" s="199"/>
      <c r="E28" s="199"/>
      <c r="F28" s="199"/>
      <c r="G28" s="199"/>
      <c r="H28" s="199"/>
      <c r="I28" s="199"/>
      <c r="J28" s="199"/>
      <c r="K28" s="199"/>
      <c r="L28" s="199"/>
      <c r="M28" s="199"/>
      <c r="N28" s="199"/>
    </row>
    <row r="29" spans="1:14" x14ac:dyDescent="0.2">
      <c r="D29" s="199"/>
      <c r="E29" s="199"/>
      <c r="F29" s="199"/>
      <c r="G29" s="199"/>
      <c r="H29" s="199"/>
      <c r="I29" s="199"/>
      <c r="J29" s="199"/>
      <c r="K29" s="199"/>
      <c r="L29" s="199"/>
      <c r="M29" s="199"/>
      <c r="N29" s="199"/>
    </row>
    <row r="30" spans="1:14" x14ac:dyDescent="0.2">
      <c r="D30" s="199"/>
      <c r="E30" s="199"/>
      <c r="F30" s="199"/>
      <c r="G30" s="199"/>
      <c r="H30" s="199"/>
      <c r="I30" s="199"/>
      <c r="J30" s="199"/>
      <c r="K30" s="199"/>
      <c r="L30" s="199"/>
      <c r="M30" s="199"/>
      <c r="N30" s="199"/>
    </row>
  </sheetData>
  <pageMargins left="0.7" right="0.7" top="0.75" bottom="0.75" header="0.3" footer="0.3"/>
  <pageSetup orientation="portrait" horizontalDpi="0" verticalDpi="0"/>
  <ignoredErrors>
    <ignoredError sqref="D10:L10" formulaRange="1"/>
  </ignoredErrors>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47DB8-0A38-BB48-B4BF-7C4AEF62B1EC}">
  <dimension ref="A1:P123"/>
  <sheetViews>
    <sheetView tabSelected="1" zoomScale="130" zoomScaleNormal="130" workbookViewId="0">
      <selection activeCell="D36" sqref="D36"/>
    </sheetView>
  </sheetViews>
  <sheetFormatPr baseColWidth="10" defaultColWidth="8.83203125" defaultRowHeight="15" x14ac:dyDescent="0.2"/>
  <cols>
    <col min="1" max="1" width="47.83203125" style="206" customWidth="1"/>
    <col min="2" max="2" width="12.6640625" style="201" hidden="1" customWidth="1"/>
    <col min="3" max="3" width="13.6640625" style="268" hidden="1" customWidth="1"/>
    <col min="4" max="12" width="11.1640625" style="7" customWidth="1"/>
    <col min="13" max="16384" width="8.83203125" style="7"/>
  </cols>
  <sheetData>
    <row r="1" spans="1:12" x14ac:dyDescent="0.2">
      <c r="A1" s="213" t="s">
        <v>165</v>
      </c>
      <c r="B1" s="269">
        <v>2016</v>
      </c>
      <c r="C1" s="270">
        <v>2017</v>
      </c>
      <c r="D1" s="250">
        <v>2018</v>
      </c>
      <c r="E1" s="250">
        <v>2019</v>
      </c>
      <c r="F1" s="250">
        <v>2020</v>
      </c>
      <c r="G1" s="250">
        <v>2021</v>
      </c>
      <c r="H1" s="251">
        <v>2022</v>
      </c>
      <c r="I1" s="251">
        <v>2023</v>
      </c>
      <c r="J1" s="251">
        <v>2024</v>
      </c>
      <c r="K1" s="251">
        <v>2025</v>
      </c>
      <c r="L1" s="251">
        <v>2025</v>
      </c>
    </row>
    <row r="2" spans="1:12" hidden="1" x14ac:dyDescent="0.2">
      <c r="A2" s="228" t="s">
        <v>133</v>
      </c>
      <c r="B2" s="271">
        <v>5589.0069999999996</v>
      </c>
      <c r="C2" s="272">
        <v>8534.7520000000004</v>
      </c>
      <c r="D2" s="195">
        <v>17631.522000000001</v>
      </c>
      <c r="E2" s="195">
        <v>19358</v>
      </c>
      <c r="F2" s="195">
        <v>24604</v>
      </c>
      <c r="G2" s="195">
        <v>44125</v>
      </c>
      <c r="H2" s="199">
        <f>Revenue!H21</f>
        <v>84371.107973500009</v>
      </c>
      <c r="I2" s="199">
        <f>Revenue!I21</f>
        <v>107353.2684306</v>
      </c>
      <c r="J2" s="199">
        <f>Revenue!J21</f>
        <v>124815.80250000001</v>
      </c>
      <c r="K2" s="199">
        <f>Revenue!K21</f>
        <v>109620.806</v>
      </c>
      <c r="L2" s="199">
        <f>Revenue!L21</f>
        <v>153699.60121543333</v>
      </c>
    </row>
    <row r="3" spans="1:12" hidden="1" x14ac:dyDescent="0.2">
      <c r="A3" s="228" t="s">
        <v>135</v>
      </c>
      <c r="B3" s="271"/>
      <c r="C3" s="272"/>
      <c r="D3" s="195"/>
      <c r="E3" s="195">
        <v>594</v>
      </c>
      <c r="F3" s="195">
        <v>1580</v>
      </c>
      <c r="G3" s="195">
        <v>1465</v>
      </c>
      <c r="H3" s="199">
        <f>G3*(1+$H$40)</f>
        <v>2197.5</v>
      </c>
      <c r="I3" s="199">
        <f>H3*(1+$H$40)</f>
        <v>3296.25</v>
      </c>
      <c r="J3" s="199">
        <f>I3*(1+$H$40)</f>
        <v>4944.375</v>
      </c>
      <c r="K3" s="199">
        <f>J3*(1+$H$40)</f>
        <v>7416.5625</v>
      </c>
      <c r="L3" s="199">
        <f>K3*(1+$H$40)</f>
        <v>11124.84375</v>
      </c>
    </row>
    <row r="4" spans="1:12" hidden="1" x14ac:dyDescent="0.2">
      <c r="A4" s="228" t="s">
        <v>132</v>
      </c>
      <c r="B4" s="271">
        <v>761.75900000000001</v>
      </c>
      <c r="C4" s="272">
        <v>1106.548</v>
      </c>
      <c r="D4" s="195">
        <v>883.46100000000001</v>
      </c>
      <c r="E4" s="195">
        <v>869</v>
      </c>
      <c r="F4" s="195">
        <v>1052</v>
      </c>
      <c r="G4" s="195">
        <v>1642</v>
      </c>
      <c r="H4" s="199">
        <f>G4*(1+H41)</f>
        <v>1869.1906294162668</v>
      </c>
      <c r="I4" s="199">
        <f>H4*(1+I41)</f>
        <v>1869.1906294162668</v>
      </c>
      <c r="J4" s="199">
        <f>I4*(1+J41)</f>
        <v>1869.1906294162668</v>
      </c>
      <c r="K4" s="199">
        <f>J4*(1+K41)</f>
        <v>1869.1906294162668</v>
      </c>
      <c r="L4" s="199">
        <f>K4*(1+L41)</f>
        <v>1869.1906294162668</v>
      </c>
    </row>
    <row r="5" spans="1:12" hidden="1" x14ac:dyDescent="0.2">
      <c r="A5" s="229" t="s">
        <v>134</v>
      </c>
      <c r="B5" s="271">
        <v>6350.7660000000005</v>
      </c>
      <c r="C5" s="272">
        <v>9641.2999999999993</v>
      </c>
      <c r="D5" s="195">
        <v>18514.983</v>
      </c>
      <c r="E5" s="195">
        <v>20821</v>
      </c>
      <c r="F5" s="195">
        <v>27236</v>
      </c>
      <c r="G5" s="195">
        <v>47232</v>
      </c>
      <c r="H5" s="199">
        <f>SUM(H2:H4)</f>
        <v>88437.798602916271</v>
      </c>
      <c r="I5" s="199">
        <f t="shared" ref="I5:K5" si="0">SUM(I2:I4)</f>
        <v>112518.70906001626</v>
      </c>
      <c r="J5" s="199">
        <f t="shared" si="0"/>
        <v>131629.36812941628</v>
      </c>
      <c r="K5" s="199">
        <f t="shared" si="0"/>
        <v>118906.55912941626</v>
      </c>
      <c r="L5" s="199">
        <f>SUM(L2:L4)</f>
        <v>166693.63559484959</v>
      </c>
    </row>
    <row r="6" spans="1:12" hidden="1" x14ac:dyDescent="0.2">
      <c r="A6" s="227" t="s">
        <v>130</v>
      </c>
      <c r="B6" s="271">
        <v>181.39400000000001</v>
      </c>
      <c r="C6" s="272">
        <v>1116.2660000000001</v>
      </c>
      <c r="D6" s="195">
        <v>1555.2440000000001</v>
      </c>
      <c r="E6" s="195">
        <v>1531</v>
      </c>
      <c r="F6" s="195">
        <v>1994</v>
      </c>
      <c r="G6" s="195">
        <v>2789</v>
      </c>
      <c r="H6" s="199">
        <f>G6*(1+H43)</f>
        <v>3956.4170247691595</v>
      </c>
      <c r="I6" s="199">
        <f>H6*(1+I43)</f>
        <v>3956.4170247691595</v>
      </c>
      <c r="J6" s="199">
        <f>I6*(1+J43)</f>
        <v>3956.4170247691595</v>
      </c>
      <c r="K6" s="199">
        <f>J6*(1+K43)</f>
        <v>3956.4170247691595</v>
      </c>
      <c r="L6" s="199">
        <f>K6*(1+L43)</f>
        <v>3956.4170247691595</v>
      </c>
    </row>
    <row r="7" spans="1:12" hidden="1" x14ac:dyDescent="0.2">
      <c r="A7" s="227" t="s">
        <v>129</v>
      </c>
      <c r="B7" s="273">
        <v>467.97200000000004</v>
      </c>
      <c r="C7" s="274">
        <v>1001.1850000000001</v>
      </c>
      <c r="D7" s="208">
        <v>1391.0409999999999</v>
      </c>
      <c r="E7" s="208">
        <v>2226</v>
      </c>
      <c r="F7" s="208">
        <v>2306</v>
      </c>
      <c r="G7" s="208">
        <v>3802</v>
      </c>
      <c r="H7" s="253">
        <f>G7*(1+H44)</f>
        <v>6184.8534884837882</v>
      </c>
      <c r="I7" s="253">
        <f>H7*(1+I44)</f>
        <v>6184.8534884837882</v>
      </c>
      <c r="J7" s="253">
        <f>I7*(1+J44)</f>
        <v>6184.8534884837882</v>
      </c>
      <c r="K7" s="253">
        <f>J7*(1+K44)</f>
        <v>6184.8534884837882</v>
      </c>
      <c r="L7" s="253">
        <f>K7*(1+L44)</f>
        <v>6184.8534884837882</v>
      </c>
    </row>
    <row r="8" spans="1:12" x14ac:dyDescent="0.2">
      <c r="A8" s="205" t="s">
        <v>249</v>
      </c>
      <c r="B8" s="275">
        <v>7000.1320000000005</v>
      </c>
      <c r="C8" s="276">
        <v>11758.751</v>
      </c>
      <c r="D8" s="207">
        <v>21461.268</v>
      </c>
      <c r="E8" s="207">
        <v>24578</v>
      </c>
      <c r="F8" s="207">
        <v>31536</v>
      </c>
      <c r="G8" s="207">
        <v>53823</v>
      </c>
      <c r="H8" s="204">
        <f>Revenue!H27</f>
        <v>99009.154916152169</v>
      </c>
      <c r="I8" s="204">
        <f>Revenue!I27</f>
        <v>129867.47308505556</v>
      </c>
      <c r="J8" s="204">
        <f>Revenue!J27</f>
        <v>160019.2984864731</v>
      </c>
      <c r="K8" s="204">
        <f>Revenue!K27</f>
        <v>165457.59788138684</v>
      </c>
      <c r="L8" s="204">
        <f>Revenue!L27</f>
        <v>209536.39309682019</v>
      </c>
    </row>
    <row r="9" spans="1:12" x14ac:dyDescent="0.2">
      <c r="A9" s="227" t="s">
        <v>133</v>
      </c>
      <c r="B9" s="271">
        <v>4268.0870000000004</v>
      </c>
      <c r="C9" s="272">
        <v>6724.4800000000005</v>
      </c>
      <c r="D9" s="195">
        <v>13685.572</v>
      </c>
      <c r="E9" s="195">
        <v>15939</v>
      </c>
      <c r="F9" s="195">
        <v>19696</v>
      </c>
      <c r="G9" s="195">
        <v>32415</v>
      </c>
      <c r="H9" s="199"/>
      <c r="I9" s="199"/>
      <c r="J9" s="199"/>
      <c r="K9" s="199"/>
      <c r="L9" s="199"/>
    </row>
    <row r="10" spans="1:12" x14ac:dyDescent="0.2">
      <c r="A10" s="227" t="s">
        <v>132</v>
      </c>
      <c r="B10" s="271">
        <v>481.99399999999997</v>
      </c>
      <c r="C10" s="272">
        <v>708.22399999999993</v>
      </c>
      <c r="D10" s="195">
        <v>488.42500000000001</v>
      </c>
      <c r="E10" s="195">
        <v>459</v>
      </c>
      <c r="F10" s="195">
        <v>563</v>
      </c>
      <c r="G10" s="195">
        <v>978</v>
      </c>
      <c r="H10" s="199"/>
      <c r="I10" s="199"/>
      <c r="J10" s="199"/>
      <c r="K10" s="199"/>
      <c r="L10" s="199"/>
    </row>
    <row r="11" spans="1:12" x14ac:dyDescent="0.2">
      <c r="A11" s="229" t="s">
        <v>131</v>
      </c>
      <c r="B11" s="271">
        <v>4750.0810000000001</v>
      </c>
      <c r="C11" s="272">
        <v>7432.7039999999997</v>
      </c>
      <c r="D11" s="195">
        <v>14173.996999999999</v>
      </c>
      <c r="E11" s="195">
        <v>16398</v>
      </c>
      <c r="F11" s="195">
        <v>20259</v>
      </c>
      <c r="G11" s="195">
        <v>33393</v>
      </c>
      <c r="H11" s="199"/>
      <c r="I11" s="199"/>
      <c r="J11" s="199"/>
      <c r="K11" s="199"/>
      <c r="L11" s="199"/>
    </row>
    <row r="12" spans="1:12" x14ac:dyDescent="0.2">
      <c r="A12" s="227" t="s">
        <v>130</v>
      </c>
      <c r="B12" s="271">
        <v>178.33199999999999</v>
      </c>
      <c r="C12" s="272">
        <v>874.5379999999999</v>
      </c>
      <c r="D12" s="195">
        <v>1364.896</v>
      </c>
      <c r="E12" s="195">
        <v>1341</v>
      </c>
      <c r="F12" s="195">
        <v>1976</v>
      </c>
      <c r="G12" s="195">
        <v>2918</v>
      </c>
      <c r="H12" s="199"/>
      <c r="I12" s="199"/>
      <c r="J12" s="199"/>
      <c r="K12" s="199"/>
      <c r="L12" s="199"/>
    </row>
    <row r="13" spans="1:12" x14ac:dyDescent="0.2">
      <c r="A13" s="227" t="s">
        <v>129</v>
      </c>
      <c r="B13" s="271">
        <v>472.46199999999999</v>
      </c>
      <c r="C13" s="272">
        <v>1229.0219999999999</v>
      </c>
      <c r="D13" s="195">
        <v>1880.354</v>
      </c>
      <c r="E13" s="195">
        <v>2770</v>
      </c>
      <c r="F13" s="195">
        <v>2671</v>
      </c>
      <c r="G13" s="195">
        <v>3906</v>
      </c>
      <c r="H13" s="199"/>
      <c r="I13" s="199"/>
      <c r="J13" s="199"/>
      <c r="K13" s="199"/>
      <c r="L13" s="199"/>
    </row>
    <row r="14" spans="1:12" x14ac:dyDescent="0.2">
      <c r="A14" s="230" t="s">
        <v>128</v>
      </c>
      <c r="B14" s="273">
        <v>5400.875</v>
      </c>
      <c r="C14" s="274">
        <v>9536.2639999999992</v>
      </c>
      <c r="D14" s="208">
        <v>17419.246999999999</v>
      </c>
      <c r="E14" s="208">
        <v>20509</v>
      </c>
      <c r="F14" s="208">
        <v>24906</v>
      </c>
      <c r="G14" s="208">
        <v>40217</v>
      </c>
      <c r="H14" s="253"/>
      <c r="I14" s="253"/>
      <c r="J14" s="253"/>
      <c r="K14" s="253"/>
      <c r="L14" s="253"/>
    </row>
    <row r="15" spans="1:12" x14ac:dyDescent="0.2">
      <c r="A15" s="205" t="s">
        <v>230</v>
      </c>
      <c r="B15" s="275">
        <v>1599.2570000000001</v>
      </c>
      <c r="C15" s="276">
        <v>2222.4870000000001</v>
      </c>
      <c r="D15" s="207">
        <v>4042.0209999999997</v>
      </c>
      <c r="E15" s="207">
        <v>4069</v>
      </c>
      <c r="F15" s="207">
        <v>6630</v>
      </c>
      <c r="G15" s="207">
        <v>13606</v>
      </c>
      <c r="H15" s="204">
        <f>H8*$H$53</f>
        <v>20220.696859189815</v>
      </c>
      <c r="I15" s="204">
        <f>I8*$H$53</f>
        <v>26522.908991050266</v>
      </c>
      <c r="J15" s="204">
        <f>J8*$H$53</f>
        <v>32680.833697201044</v>
      </c>
      <c r="K15" s="204">
        <f>K8*$H$53</f>
        <v>33791.500721752389</v>
      </c>
      <c r="L15" s="204">
        <f>L8*$H$53</f>
        <v>42793.738512029486</v>
      </c>
    </row>
    <row r="16" spans="1:12" x14ac:dyDescent="0.2">
      <c r="A16" s="227" t="s">
        <v>127</v>
      </c>
      <c r="B16" s="271">
        <v>834.40800000000002</v>
      </c>
      <c r="C16" s="272">
        <v>1378.0729999999999</v>
      </c>
      <c r="D16" s="195">
        <v>1460.3700000000001</v>
      </c>
      <c r="E16" s="195">
        <v>1343</v>
      </c>
      <c r="F16" s="195">
        <v>1491</v>
      </c>
      <c r="G16" s="195">
        <v>2593</v>
      </c>
      <c r="H16" s="199">
        <f>$H$58*H$8</f>
        <v>5399.5846733748785</v>
      </c>
      <c r="I16" s="199">
        <f>$H$58*I$8</f>
        <v>7082.4805830717496</v>
      </c>
      <c r="J16" s="199">
        <f>$H$58*J$8</f>
        <v>8726.8470504923225</v>
      </c>
      <c r="K16" s="199">
        <f>$H$58*K$8</f>
        <v>9023.4313217838826</v>
      </c>
      <c r="L16" s="199">
        <f>$H$58*L$8</f>
        <v>11427.322025301601</v>
      </c>
    </row>
    <row r="17" spans="1:14" x14ac:dyDescent="0.2">
      <c r="A17" s="227" t="s">
        <v>126</v>
      </c>
      <c r="B17" s="271">
        <v>1432.1889999999999</v>
      </c>
      <c r="C17" s="272">
        <v>2476.5</v>
      </c>
      <c r="D17" s="195">
        <v>2834.491</v>
      </c>
      <c r="E17" s="195">
        <v>2646</v>
      </c>
      <c r="F17" s="195">
        <v>3145</v>
      </c>
      <c r="G17" s="195">
        <v>4517</v>
      </c>
      <c r="H17" s="199">
        <f>$H$59*H$8</f>
        <v>10479.685928943292</v>
      </c>
      <c r="I17" s="199">
        <f>$H$59*I$8</f>
        <v>13745.903916354429</v>
      </c>
      <c r="J17" s="199">
        <f>$H$59*J$8</f>
        <v>16937.342734903941</v>
      </c>
      <c r="K17" s="199">
        <f>$H$59*K$8</f>
        <v>17512.962935829026</v>
      </c>
      <c r="L17" s="199">
        <f>$H$59*L$8</f>
        <v>22178.510585186763</v>
      </c>
    </row>
    <row r="18" spans="1:14" x14ac:dyDescent="0.2">
      <c r="A18" s="227" t="s">
        <v>125</v>
      </c>
      <c r="B18" s="271"/>
      <c r="C18" s="272"/>
      <c r="D18" s="195">
        <v>135.233</v>
      </c>
      <c r="E18" s="195">
        <v>149</v>
      </c>
      <c r="F18" s="195"/>
      <c r="G18" s="195">
        <v>-27</v>
      </c>
      <c r="H18" s="199"/>
      <c r="I18" s="199"/>
      <c r="J18" s="199"/>
      <c r="K18" s="199"/>
      <c r="L18" s="199"/>
    </row>
    <row r="19" spans="1:14" s="206" customFormat="1" x14ac:dyDescent="0.2">
      <c r="A19" s="230" t="s">
        <v>124</v>
      </c>
      <c r="B19" s="273">
        <v>2266.5970000000002</v>
      </c>
      <c r="C19" s="274">
        <v>3854.5730000000003</v>
      </c>
      <c r="D19" s="208">
        <v>4430.0940000000001</v>
      </c>
      <c r="E19" s="208">
        <v>4138</v>
      </c>
      <c r="F19" s="208">
        <v>4636</v>
      </c>
      <c r="G19" s="208">
        <v>7083</v>
      </c>
      <c r="H19" s="253">
        <f>SUM(H16:H18)</f>
        <v>15879.270602318171</v>
      </c>
      <c r="I19" s="253">
        <f t="shared" ref="I19:L19" si="1">SUM(I16:I18)</f>
        <v>20828.384499426178</v>
      </c>
      <c r="J19" s="253">
        <f t="shared" si="1"/>
        <v>25664.189785396266</v>
      </c>
      <c r="K19" s="253">
        <f t="shared" si="1"/>
        <v>26536.394257612908</v>
      </c>
      <c r="L19" s="253">
        <f t="shared" si="1"/>
        <v>33605.83261048836</v>
      </c>
    </row>
    <row r="20" spans="1:14" s="196" customFormat="1" x14ac:dyDescent="0.2">
      <c r="A20" s="205" t="s">
        <v>234</v>
      </c>
      <c r="B20" s="291">
        <v>-667.34</v>
      </c>
      <c r="C20" s="276">
        <v>-1632.086</v>
      </c>
      <c r="D20" s="332">
        <v>-388.07299999999998</v>
      </c>
      <c r="E20" s="332">
        <v>-69</v>
      </c>
      <c r="F20" s="332">
        <v>1994</v>
      </c>
      <c r="G20" s="332">
        <v>6523</v>
      </c>
      <c r="H20" s="204">
        <f>H8*$H$54</f>
        <v>4047.815931982831</v>
      </c>
      <c r="I20" s="204">
        <f>I8*$H$54</f>
        <v>5309.4042368629589</v>
      </c>
      <c r="J20" s="204">
        <f>J8*$H$54</f>
        <v>6542.1088220256352</v>
      </c>
      <c r="K20" s="204">
        <f>K8*$H$54</f>
        <v>6764.4441702292106</v>
      </c>
      <c r="L20" s="204">
        <f>L8*$H$54</f>
        <v>8566.5285298698982</v>
      </c>
      <c r="M20" s="204"/>
    </row>
    <row r="21" spans="1:14" x14ac:dyDescent="0.2">
      <c r="A21" s="231" t="str">
        <f>cashflow!A5</f>
        <v>Depreciation, amortization and impairment</v>
      </c>
      <c r="B21" s="278">
        <v>947.09899999999993</v>
      </c>
      <c r="C21" s="279">
        <v>1636.0030000000002</v>
      </c>
      <c r="D21" s="212">
        <v>1901.05</v>
      </c>
      <c r="E21" s="212">
        <f>cashflow!E5</f>
        <v>2154</v>
      </c>
      <c r="F21" s="212">
        <f>cashflow!F5</f>
        <v>2322</v>
      </c>
      <c r="G21" s="212">
        <f>cashflow!G5</f>
        <v>2911</v>
      </c>
      <c r="H21" s="212">
        <f>cashflow!H5</f>
        <v>7523.0789844348719</v>
      </c>
      <c r="I21" s="212">
        <f>cashflow!I5</f>
        <v>9867.8072583816829</v>
      </c>
      <c r="J21" s="212">
        <f>cashflow!J5</f>
        <v>12158.853618810203</v>
      </c>
      <c r="K21" s="212">
        <f>cashflow!K5</f>
        <v>12572.075567059212</v>
      </c>
      <c r="L21" s="212">
        <f>cashflow!L5</f>
        <v>15921.344210198969</v>
      </c>
    </row>
    <row r="22" spans="1:14" x14ac:dyDescent="0.2">
      <c r="A22" s="205" t="s">
        <v>235</v>
      </c>
      <c r="B22" s="275">
        <f>B20+B21</f>
        <v>279.7589999999999</v>
      </c>
      <c r="C22" s="276">
        <f>C20+C21</f>
        <v>3.9170000000001437</v>
      </c>
      <c r="D22" s="207">
        <f>D20+D21</f>
        <v>1512.9769999999999</v>
      </c>
      <c r="E22" s="207">
        <f>E20+E21</f>
        <v>2085</v>
      </c>
      <c r="F22" s="207">
        <f>F20+F21</f>
        <v>4316</v>
      </c>
      <c r="G22" s="207">
        <f>G20+G21</f>
        <v>9434</v>
      </c>
      <c r="H22" s="204">
        <f>H20+H21</f>
        <v>11570.894916417703</v>
      </c>
      <c r="I22" s="204">
        <f>I20+I21</f>
        <v>15177.211495244643</v>
      </c>
      <c r="J22" s="204">
        <f>J20+J21</f>
        <v>18700.962440835836</v>
      </c>
      <c r="K22" s="204">
        <f>K20+K21</f>
        <v>19336.519737288421</v>
      </c>
      <c r="L22" s="204">
        <f>$H$55*L8</f>
        <v>24487.872740068869</v>
      </c>
    </row>
    <row r="23" spans="1:14" x14ac:dyDescent="0.2">
      <c r="A23" s="230" t="s">
        <v>123</v>
      </c>
      <c r="B23" s="271">
        <v>8.5299999999999994</v>
      </c>
      <c r="C23" s="272">
        <v>19.686</v>
      </c>
      <c r="D23" s="195">
        <v>24.533000000000001</v>
      </c>
      <c r="E23" s="195">
        <v>44</v>
      </c>
      <c r="F23" s="195">
        <v>30</v>
      </c>
      <c r="G23" s="195">
        <v>56</v>
      </c>
      <c r="L23" s="199"/>
    </row>
    <row r="24" spans="1:14" x14ac:dyDescent="0.2">
      <c r="A24" s="230" t="s">
        <v>122</v>
      </c>
      <c r="B24" s="271">
        <v>-198.81</v>
      </c>
      <c r="C24" s="272">
        <v>-471.25900000000001</v>
      </c>
      <c r="D24" s="195">
        <v>-663.07100000000003</v>
      </c>
      <c r="E24" s="195">
        <v>-685</v>
      </c>
      <c r="F24" s="195">
        <v>-748</v>
      </c>
      <c r="G24" s="195">
        <v>-371</v>
      </c>
      <c r="H24" s="199"/>
      <c r="I24" s="252"/>
      <c r="J24" s="252"/>
      <c r="K24" s="252"/>
      <c r="L24" s="199"/>
    </row>
    <row r="25" spans="1:14" x14ac:dyDescent="0.2">
      <c r="A25" s="230" t="s">
        <v>121</v>
      </c>
      <c r="B25" s="273">
        <v>111.27200000000001</v>
      </c>
      <c r="C25" s="274">
        <v>-125.373</v>
      </c>
      <c r="D25" s="208">
        <v>21.866</v>
      </c>
      <c r="E25" s="208">
        <v>45</v>
      </c>
      <c r="F25" s="208">
        <v>-122</v>
      </c>
      <c r="G25" s="208">
        <v>135</v>
      </c>
      <c r="H25" s="253"/>
      <c r="I25" s="253"/>
      <c r="J25" s="253"/>
      <c r="K25" s="253"/>
      <c r="L25" s="253"/>
    </row>
    <row r="26" spans="1:14" s="196" customFormat="1" x14ac:dyDescent="0.2">
      <c r="A26" s="210" t="s">
        <v>234</v>
      </c>
      <c r="B26" s="291">
        <v>-746.34799999999996</v>
      </c>
      <c r="C26" s="276">
        <v>-2209.0320000000002</v>
      </c>
      <c r="D26" s="332">
        <v>-1004.7450000000001</v>
      </c>
      <c r="E26" s="332">
        <v>-665</v>
      </c>
      <c r="F26" s="332">
        <v>1154</v>
      </c>
      <c r="G26" s="332">
        <v>6343</v>
      </c>
      <c r="H26" s="204">
        <f>H20+H24+H22+H25</f>
        <v>15618.710848400533</v>
      </c>
      <c r="I26" s="204">
        <f>I20+I24+I22+I25</f>
        <v>20486.615732107603</v>
      </c>
      <c r="J26" s="204">
        <f>J20+J24+J22+J25</f>
        <v>25243.071262861471</v>
      </c>
      <c r="K26" s="204">
        <f>K20+K24+K22+K25</f>
        <v>26100.963907517631</v>
      </c>
      <c r="L26" s="204">
        <f>L20+L24+L23+L25</f>
        <v>8566.5285298698982</v>
      </c>
      <c r="M26" s="204"/>
      <c r="N26" s="204"/>
    </row>
    <row r="27" spans="1:14" x14ac:dyDescent="0.2">
      <c r="A27" s="230" t="s">
        <v>119</v>
      </c>
      <c r="B27" s="273">
        <v>26.698</v>
      </c>
      <c r="C27" s="274">
        <v>31.545999999999999</v>
      </c>
      <c r="D27" s="208">
        <v>57.837000000000003</v>
      </c>
      <c r="E27" s="208">
        <v>110</v>
      </c>
      <c r="F27" s="208">
        <v>292</v>
      </c>
      <c r="G27" s="208">
        <v>699</v>
      </c>
      <c r="H27" s="253">
        <f>H26*$H$35</f>
        <v>2288.9632417716516</v>
      </c>
      <c r="I27" s="253">
        <f>I26*$H$35</f>
        <v>3002.3675330347332</v>
      </c>
      <c r="J27" s="253">
        <f t="shared" ref="J27:L27" si="2">J26*$H$35</f>
        <v>3699.4386278704519</v>
      </c>
      <c r="K27" s="253">
        <f t="shared" si="2"/>
        <v>3825.1650561310348</v>
      </c>
      <c r="L27" s="253">
        <f t="shared" si="2"/>
        <v>1255.4473352369148</v>
      </c>
    </row>
    <row r="28" spans="1:14" x14ac:dyDescent="0.2">
      <c r="A28" s="205" t="s">
        <v>187</v>
      </c>
      <c r="B28" s="275">
        <v>-773.04600000000005</v>
      </c>
      <c r="C28" s="276">
        <v>-2240.578</v>
      </c>
      <c r="D28" s="207">
        <v>-1062.5820000000001</v>
      </c>
      <c r="E28" s="207">
        <v>-775</v>
      </c>
      <c r="F28" s="207">
        <v>862</v>
      </c>
      <c r="G28" s="207">
        <v>5644</v>
      </c>
      <c r="H28" s="204">
        <f>H26-H27</f>
        <v>13329.747606628882</v>
      </c>
      <c r="I28" s="204">
        <f t="shared" ref="I28:L28" si="3">I26-I27</f>
        <v>17484.24819907287</v>
      </c>
      <c r="J28" s="204">
        <f t="shared" si="3"/>
        <v>21543.63263499102</v>
      </c>
      <c r="K28" s="204">
        <f t="shared" si="3"/>
        <v>22275.798851386597</v>
      </c>
      <c r="L28" s="204">
        <f t="shared" si="3"/>
        <v>7311.0811946329832</v>
      </c>
    </row>
    <row r="29" spans="1:14" x14ac:dyDescent="0.2">
      <c r="A29" s="209" t="s">
        <v>245</v>
      </c>
      <c r="B29" s="280"/>
      <c r="C29" s="281"/>
      <c r="D29" s="203"/>
      <c r="E29" s="203">
        <v>-803</v>
      </c>
      <c r="F29" s="203">
        <v>1261</v>
      </c>
      <c r="G29" s="203">
        <v>5335</v>
      </c>
      <c r="H29" s="199"/>
      <c r="I29" s="199"/>
      <c r="J29" s="199"/>
      <c r="K29" s="199"/>
      <c r="L29" s="199"/>
    </row>
    <row r="30" spans="1:14" x14ac:dyDescent="0.2">
      <c r="A30" s="205"/>
      <c r="B30" s="282"/>
      <c r="C30" s="283"/>
      <c r="D30" s="204"/>
      <c r="E30" s="204"/>
      <c r="F30" s="204"/>
      <c r="G30" s="204"/>
      <c r="H30" s="199"/>
      <c r="I30" s="199"/>
      <c r="J30" s="199"/>
      <c r="K30" s="199"/>
      <c r="L30" s="199"/>
    </row>
    <row r="31" spans="1:14" x14ac:dyDescent="0.2">
      <c r="A31" s="232" t="s">
        <v>236</v>
      </c>
      <c r="B31" s="214">
        <v>-4.8600000000000003</v>
      </c>
      <c r="C31" s="267">
        <v>-11.8</v>
      </c>
      <c r="D31" s="216">
        <v>-5.72</v>
      </c>
      <c r="E31" s="216">
        <v>-0.98</v>
      </c>
      <c r="F31" s="216">
        <v>0.74</v>
      </c>
      <c r="G31" s="216">
        <v>5.6</v>
      </c>
      <c r="H31" s="308">
        <f>H28/H33</f>
        <v>12.897580496510617</v>
      </c>
      <c r="I31" s="199"/>
      <c r="J31" s="199"/>
      <c r="K31" s="199"/>
      <c r="L31" s="199"/>
    </row>
    <row r="32" spans="1:14" x14ac:dyDescent="0.2">
      <c r="A32" s="232" t="s">
        <v>237</v>
      </c>
      <c r="B32" s="214">
        <v>-4.8600000000000003</v>
      </c>
      <c r="C32" s="267">
        <v>-11.8</v>
      </c>
      <c r="D32" s="216">
        <v>-5.72</v>
      </c>
      <c r="E32" s="216">
        <v>-0.98</v>
      </c>
      <c r="F32" s="216">
        <v>0.64</v>
      </c>
      <c r="G32" s="216">
        <v>4.9000000000000004</v>
      </c>
      <c r="H32" s="199"/>
      <c r="I32" s="199"/>
      <c r="J32" s="199"/>
      <c r="K32" s="199"/>
      <c r="L32" s="199"/>
    </row>
    <row r="33" spans="1:16" x14ac:dyDescent="0.2">
      <c r="A33" s="232" t="s">
        <v>238</v>
      </c>
      <c r="C33" s="272">
        <f>161670428/1000000</f>
        <v>161.67042799999999</v>
      </c>
      <c r="D33" s="217">
        <f>168919941/1000000</f>
        <v>168.91994099999999</v>
      </c>
      <c r="E33" s="217">
        <f>172721487/1000000</f>
        <v>172.721487</v>
      </c>
      <c r="F33" s="217">
        <f>181341586/1000000</f>
        <v>181.34158600000001</v>
      </c>
      <c r="G33" s="217">
        <f>959853504/1000000</f>
        <v>959.85350400000004</v>
      </c>
      <c r="H33" s="217">
        <f>1033507611/1000000</f>
        <v>1033.507611</v>
      </c>
      <c r="J33" s="200"/>
      <c r="K33" s="200"/>
      <c r="L33" s="200"/>
    </row>
    <row r="34" spans="1:16" x14ac:dyDescent="0.2">
      <c r="A34" s="232"/>
      <c r="C34" s="272"/>
      <c r="D34" s="217"/>
      <c r="E34" s="217"/>
      <c r="F34" s="217"/>
      <c r="G34" s="217"/>
      <c r="H34" s="215"/>
      <c r="J34" s="200"/>
      <c r="K34" s="200"/>
      <c r="L34" s="200"/>
    </row>
    <row r="35" spans="1:16" x14ac:dyDescent="0.2">
      <c r="A35" s="233" t="s">
        <v>239</v>
      </c>
      <c r="B35" s="284">
        <f>ABS(B27/B26)</f>
        <v>3.5771516772336767E-2</v>
      </c>
      <c r="C35" s="285">
        <f t="shared" ref="C35:F35" si="4">ABS(C27/C26)</f>
        <v>1.4280463116876531E-2</v>
      </c>
      <c r="D35" s="249">
        <f>ABS(D27/D26)</f>
        <v>5.7563859486735439E-2</v>
      </c>
      <c r="E35" s="249">
        <f t="shared" si="4"/>
        <v>0.16541353383458646</v>
      </c>
      <c r="F35" s="249">
        <f t="shared" si="4"/>
        <v>0.2530329289428076</v>
      </c>
      <c r="G35" s="249">
        <f>ABS(G27/G26)</f>
        <v>0.11020022071574964</v>
      </c>
      <c r="H35" s="255">
        <f>AVERAGE(D35:G35)</f>
        <v>0.14655263574496979</v>
      </c>
      <c r="I35" s="255"/>
      <c r="J35" s="255"/>
      <c r="K35" s="255"/>
      <c r="L35" s="200"/>
    </row>
    <row r="36" spans="1:16" x14ac:dyDescent="0.2">
      <c r="A36" s="233" t="s">
        <v>240</v>
      </c>
      <c r="B36" s="271"/>
      <c r="C36" s="272"/>
      <c r="D36" s="217">
        <f>D24</f>
        <v>-663.07100000000003</v>
      </c>
      <c r="E36" s="217"/>
      <c r="F36" s="217"/>
      <c r="G36" s="217"/>
      <c r="H36" s="215"/>
      <c r="J36" s="200"/>
      <c r="K36" s="200"/>
      <c r="L36" s="200"/>
      <c r="P36" s="220"/>
    </row>
    <row r="37" spans="1:16" x14ac:dyDescent="0.2">
      <c r="A37" s="233"/>
      <c r="B37" s="271"/>
      <c r="C37" s="272"/>
      <c r="D37" s="217"/>
      <c r="E37" s="217"/>
      <c r="F37" s="217"/>
      <c r="G37" s="217"/>
      <c r="H37" s="215"/>
      <c r="J37" s="200"/>
      <c r="K37" s="200"/>
      <c r="L37" s="200"/>
    </row>
    <row r="38" spans="1:16" x14ac:dyDescent="0.2">
      <c r="A38" s="237" t="s">
        <v>264</v>
      </c>
      <c r="B38" s="286"/>
      <c r="C38" s="287"/>
      <c r="D38" s="222"/>
      <c r="E38" s="222"/>
      <c r="F38" s="222"/>
      <c r="G38" s="222"/>
      <c r="H38" s="340" t="s">
        <v>299</v>
      </c>
      <c r="J38" s="256"/>
      <c r="K38" s="256"/>
      <c r="L38" s="255" t="s">
        <v>263</v>
      </c>
    </row>
    <row r="39" spans="1:16" x14ac:dyDescent="0.2">
      <c r="A39" s="238" t="s">
        <v>133</v>
      </c>
      <c r="B39" s="286"/>
      <c r="C39" s="287">
        <f>C2/B2-1</f>
        <v>0.52706053150407595</v>
      </c>
      <c r="D39" s="222">
        <f>D2/C2-1</f>
        <v>1.0658505367232696</v>
      </c>
      <c r="E39" s="222">
        <f>E2/D2-1</f>
        <v>9.79199640280628E-2</v>
      </c>
      <c r="F39" s="222">
        <f>F2/E2-1</f>
        <v>0.27099907015187519</v>
      </c>
      <c r="G39" s="222">
        <f>G2/F2-1</f>
        <v>0.79340757600390188</v>
      </c>
      <c r="H39" s="338">
        <f>AVERAGE(D39:G39)</f>
        <v>0.5570442867267773</v>
      </c>
      <c r="I39" s="255"/>
      <c r="J39" s="255"/>
      <c r="K39" s="255"/>
      <c r="L39" s="255"/>
    </row>
    <row r="40" spans="1:16" x14ac:dyDescent="0.2">
      <c r="A40" s="238" t="s">
        <v>135</v>
      </c>
      <c r="B40" s="286"/>
      <c r="C40" s="287"/>
      <c r="D40" s="222"/>
      <c r="E40" s="222"/>
      <c r="F40" s="222">
        <f>F3/E3-1</f>
        <v>1.65993265993266</v>
      </c>
      <c r="G40" s="222">
        <f>G3/F3-1</f>
        <v>-7.2784810126582333E-2</v>
      </c>
      <c r="H40" s="339">
        <v>0.5</v>
      </c>
      <c r="I40" s="255"/>
      <c r="J40" s="255"/>
      <c r="K40" s="255"/>
      <c r="L40" s="255"/>
    </row>
    <row r="41" spans="1:16" x14ac:dyDescent="0.2">
      <c r="A41" s="238" t="s">
        <v>132</v>
      </c>
      <c r="B41" s="286"/>
      <c r="C41" s="287">
        <f>C4/B4-1</f>
        <v>0.45262215477598566</v>
      </c>
      <c r="D41" s="222">
        <f>D4/C4-1</f>
        <v>-0.20160625657450015</v>
      </c>
      <c r="E41" s="222">
        <f>E4/D4-1</f>
        <v>-1.636857767349098E-2</v>
      </c>
      <c r="F41" s="222">
        <f>F4/E4-1</f>
        <v>0.21058688147295745</v>
      </c>
      <c r="G41" s="222">
        <f>G4/F4-1</f>
        <v>0.56083650190114076</v>
      </c>
      <c r="H41" s="338">
        <f t="shared" ref="H41:H49" si="5">AVERAGE(D41:G41)</f>
        <v>0.13836213728152677</v>
      </c>
      <c r="I41" s="255"/>
      <c r="J41" s="255"/>
      <c r="K41" s="255"/>
      <c r="L41" s="255"/>
    </row>
    <row r="42" spans="1:16" s="219" customFormat="1" x14ac:dyDescent="0.2">
      <c r="A42" s="220" t="s">
        <v>130</v>
      </c>
      <c r="B42" s="288"/>
      <c r="C42" s="287">
        <f>C6/B6-1</f>
        <v>5.1538198617374338</v>
      </c>
      <c r="D42" s="222">
        <f>D6/C6-1</f>
        <v>0.39325572936916475</v>
      </c>
      <c r="E42" s="222">
        <f>E6/D6-1</f>
        <v>-1.5588550735447404E-2</v>
      </c>
      <c r="F42" s="222">
        <f>F6/E6-1</f>
        <v>0.30241672109732209</v>
      </c>
      <c r="G42" s="222">
        <f>G6/F6-1</f>
        <v>0.3986960882647943</v>
      </c>
      <c r="H42" s="338">
        <f t="shared" si="5"/>
        <v>0.26969499699895844</v>
      </c>
      <c r="I42" s="255"/>
      <c r="J42" s="255"/>
      <c r="K42" s="255"/>
      <c r="L42" s="255"/>
    </row>
    <row r="43" spans="1:16" s="220" customFormat="1" x14ac:dyDescent="0.2">
      <c r="A43" s="220" t="s">
        <v>129</v>
      </c>
      <c r="B43" s="289"/>
      <c r="C43" s="287">
        <f>C7/B7-1</f>
        <v>1.1394121870539262</v>
      </c>
      <c r="D43" s="222">
        <f>D7/C7-1</f>
        <v>0.38939456743758627</v>
      </c>
      <c r="E43" s="222">
        <f>E7/D7-1</f>
        <v>0.60024039550236119</v>
      </c>
      <c r="F43" s="222">
        <f>F7/E7-1</f>
        <v>3.5938903863432126E-2</v>
      </c>
      <c r="G43" s="222">
        <f>G7/F7-1</f>
        <v>0.64874241110147435</v>
      </c>
      <c r="H43" s="338">
        <f t="shared" si="5"/>
        <v>0.41857906947621348</v>
      </c>
      <c r="I43" s="255"/>
      <c r="J43" s="255"/>
      <c r="K43" s="255"/>
      <c r="L43" s="255"/>
    </row>
    <row r="44" spans="1:16" x14ac:dyDescent="0.2">
      <c r="A44" s="236" t="s">
        <v>230</v>
      </c>
      <c r="B44" s="286"/>
      <c r="C44" s="287">
        <f>C15/B15-1</f>
        <v>0.38969971680599169</v>
      </c>
      <c r="D44" s="222">
        <f>D15/C15-1</f>
        <v>0.81869275275850861</v>
      </c>
      <c r="E44" s="222">
        <f>E15/D15-1</f>
        <v>6.6746313292287418E-3</v>
      </c>
      <c r="F44" s="222">
        <f>F15/E15-1</f>
        <v>0.62939297124600646</v>
      </c>
      <c r="G44" s="222">
        <f>G15/F15-1</f>
        <v>1.0521870286576167</v>
      </c>
      <c r="H44" s="338">
        <f t="shared" si="5"/>
        <v>0.62673684599784019</v>
      </c>
      <c r="I44" s="255"/>
      <c r="J44" s="255"/>
      <c r="K44" s="255"/>
      <c r="L44" s="255"/>
    </row>
    <row r="45" spans="1:16" x14ac:dyDescent="0.2">
      <c r="A45" s="236" t="s">
        <v>234</v>
      </c>
      <c r="B45" s="286"/>
      <c r="C45" s="287">
        <f>(C20-B20)/-B20</f>
        <v>-1.4456588845266281</v>
      </c>
      <c r="D45" s="257">
        <f>(D20-C20)/-C20</f>
        <v>0.76222270149979832</v>
      </c>
      <c r="E45" s="257">
        <f>(E20-D20)/-D20</f>
        <v>0.82219840081634121</v>
      </c>
      <c r="F45" s="257">
        <f>(F20-E20)/-E20</f>
        <v>29.89855072463768</v>
      </c>
      <c r="G45" s="222">
        <f>G20/F20-1</f>
        <v>2.2713139418254764</v>
      </c>
      <c r="H45" s="338">
        <f t="shared" si="5"/>
        <v>8.4385714421948244</v>
      </c>
      <c r="I45" s="255"/>
      <c r="J45" s="255"/>
      <c r="K45" s="255"/>
      <c r="L45" s="255"/>
    </row>
    <row r="46" spans="1:16" x14ac:dyDescent="0.2">
      <c r="A46" s="236" t="s">
        <v>235</v>
      </c>
      <c r="B46" s="286"/>
      <c r="C46" s="287">
        <f>C22/B22-1</f>
        <v>-0.98599866313505502</v>
      </c>
      <c r="D46" s="257">
        <f>D22/C22-1</f>
        <v>385.25912688280425</v>
      </c>
      <c r="E46" s="222">
        <f>E22/D22-1</f>
        <v>0.3780777896821963</v>
      </c>
      <c r="F46" s="222">
        <f>F22/E22-1</f>
        <v>1.0700239808153476</v>
      </c>
      <c r="G46" s="222">
        <f>G22/F22-1</f>
        <v>1.1858202038924932</v>
      </c>
      <c r="H46" s="338">
        <f t="shared" si="5"/>
        <v>96.973262214298572</v>
      </c>
      <c r="I46" s="255"/>
      <c r="J46" s="255"/>
      <c r="K46" s="255"/>
      <c r="L46" s="255"/>
    </row>
    <row r="47" spans="1:16" x14ac:dyDescent="0.2">
      <c r="A47" s="236" t="s">
        <v>247</v>
      </c>
      <c r="B47" s="286"/>
      <c r="C47" s="287">
        <f>C26/B26-1</f>
        <v>1.9597881953190739</v>
      </c>
      <c r="D47" s="222">
        <f>(D26-C26)/-C26</f>
        <v>0.54516503156133544</v>
      </c>
      <c r="E47" s="222">
        <f>(E26-D26)/-D26</f>
        <v>0.33814052321733384</v>
      </c>
      <c r="F47" s="222">
        <f>(F26-E26)/-E26</f>
        <v>2.7353383458646618</v>
      </c>
      <c r="G47" s="222">
        <f>G26/F26-1</f>
        <v>4.4965337954939342</v>
      </c>
      <c r="H47" s="338">
        <f t="shared" si="5"/>
        <v>2.0287944240343165</v>
      </c>
      <c r="I47" s="255"/>
      <c r="J47" s="255"/>
      <c r="K47" s="255"/>
      <c r="L47" s="255"/>
    </row>
    <row r="48" spans="1:16" x14ac:dyDescent="0.2">
      <c r="A48" s="236" t="s">
        <v>187</v>
      </c>
      <c r="B48" s="286"/>
      <c r="C48" s="287">
        <f>C28/B28-1</f>
        <v>1.8983760345438689</v>
      </c>
      <c r="D48" s="222">
        <f>(D28-C28)/-C28</f>
        <v>0.5257554077563914</v>
      </c>
      <c r="E48" s="222">
        <f>(E28-D28)/-D28</f>
        <v>0.2706445243755306</v>
      </c>
      <c r="F48" s="222">
        <f>(F28-E28)/-E28</f>
        <v>2.1122580645161291</v>
      </c>
      <c r="G48" s="222">
        <f>G28/F28-1</f>
        <v>5.5475638051044083</v>
      </c>
      <c r="H48" s="338">
        <f t="shared" si="5"/>
        <v>2.1140554504381148</v>
      </c>
      <c r="I48" s="255"/>
      <c r="J48" s="255"/>
      <c r="K48" s="255"/>
      <c r="L48" s="255"/>
    </row>
    <row r="49" spans="1:12" x14ac:dyDescent="0.2">
      <c r="A49" s="236" t="s">
        <v>248</v>
      </c>
      <c r="B49" s="286"/>
      <c r="C49" s="287">
        <f>C25/B25-1</f>
        <v>-2.1267255014738655</v>
      </c>
      <c r="D49" s="257">
        <f>(D25-C25)/-C25</f>
        <v>1.1744075678176322</v>
      </c>
      <c r="E49" s="222">
        <f>E25/D25-1</f>
        <v>1.057989572852831</v>
      </c>
      <c r="F49" s="222">
        <f>F25/E25-1</f>
        <v>-3.7111111111111112</v>
      </c>
      <c r="G49" s="222">
        <f>G25/F25-1</f>
        <v>-2.1065573770491803</v>
      </c>
      <c r="H49" s="338">
        <f t="shared" si="5"/>
        <v>-0.89631783687245703</v>
      </c>
      <c r="I49" s="255"/>
      <c r="J49" s="255"/>
      <c r="K49" s="255"/>
      <c r="L49" s="255"/>
    </row>
    <row r="50" spans="1:12" x14ac:dyDescent="0.2">
      <c r="A50" s="236" t="s">
        <v>244</v>
      </c>
      <c r="B50" s="290"/>
      <c r="C50" s="287"/>
      <c r="E50" s="221"/>
      <c r="F50" s="221"/>
      <c r="G50" s="221"/>
      <c r="H50" s="215"/>
      <c r="J50" s="200"/>
      <c r="K50" s="200"/>
      <c r="L50" s="200"/>
    </row>
    <row r="51" spans="1:12" x14ac:dyDescent="0.2">
      <c r="A51" s="234"/>
      <c r="B51" s="271"/>
      <c r="C51" s="272"/>
      <c r="D51" s="217"/>
      <c r="E51" s="217"/>
      <c r="F51" s="217"/>
      <c r="G51" s="217"/>
      <c r="H51" s="215"/>
      <c r="J51" s="200"/>
      <c r="K51" s="200"/>
      <c r="L51" s="200"/>
    </row>
    <row r="52" spans="1:12" x14ac:dyDescent="0.2">
      <c r="A52" s="235" t="s">
        <v>241</v>
      </c>
      <c r="B52" s="271"/>
      <c r="C52" s="272"/>
      <c r="D52" s="217"/>
      <c r="E52" s="217"/>
      <c r="F52" s="217"/>
      <c r="G52" s="217"/>
      <c r="I52" s="215"/>
      <c r="K52" s="200"/>
      <c r="L52" s="200"/>
    </row>
    <row r="53" spans="1:12" x14ac:dyDescent="0.2">
      <c r="A53" s="236" t="s">
        <v>230</v>
      </c>
      <c r="B53" s="286">
        <f>B15/B8</f>
        <v>0.22846097759299394</v>
      </c>
      <c r="C53" s="287">
        <f>C15/C8</f>
        <v>0.18900706376042831</v>
      </c>
      <c r="D53" s="222">
        <f>D15/D8</f>
        <v>0.18834026954977681</v>
      </c>
      <c r="E53" s="222">
        <f>E15/E8</f>
        <v>0.1655545609895028</v>
      </c>
      <c r="F53" s="222">
        <f>F15/F8</f>
        <v>0.2102359208523592</v>
      </c>
      <c r="G53" s="222">
        <f>G15/G8</f>
        <v>0.25279155751258753</v>
      </c>
      <c r="H53" s="338">
        <f>AVERAGE(D53:G53)</f>
        <v>0.20423057722605659</v>
      </c>
      <c r="I53" s="255"/>
      <c r="J53" s="255"/>
      <c r="K53" s="255"/>
    </row>
    <row r="54" spans="1:12" x14ac:dyDescent="0.2">
      <c r="A54" s="236" t="s">
        <v>234</v>
      </c>
      <c r="B54" s="286">
        <f>B20/B$8</f>
        <v>-9.533248801594027E-2</v>
      </c>
      <c r="C54" s="287">
        <f>C20/C$8</f>
        <v>-0.13879756446921956</v>
      </c>
      <c r="D54" s="222">
        <f>D20/D$8</f>
        <v>-1.8082482358451512E-2</v>
      </c>
      <c r="E54" s="222">
        <f>E20/E$8</f>
        <v>-2.8073887216209618E-3</v>
      </c>
      <c r="F54" s="222">
        <f>F20/F$8</f>
        <v>6.3229325215626589E-2</v>
      </c>
      <c r="G54" s="222">
        <f>G20/G$8</f>
        <v>0.12119354179440016</v>
      </c>
      <c r="H54" s="338">
        <f>AVERAGE(D54:G54)</f>
        <v>4.0883248982488567E-2</v>
      </c>
      <c r="I54" s="255"/>
      <c r="J54" s="255"/>
      <c r="K54" s="255"/>
      <c r="L54" s="255"/>
    </row>
    <row r="55" spans="1:12" x14ac:dyDescent="0.2">
      <c r="A55" s="236" t="s">
        <v>235</v>
      </c>
      <c r="B55" s="286">
        <f>B22/B$8</f>
        <v>3.9964817806292775E-2</v>
      </c>
      <c r="C55" s="287">
        <f>C22/C$8</f>
        <v>3.3311361045064599E-4</v>
      </c>
      <c r="D55" s="222">
        <f>D22/D$8</f>
        <v>7.0498024627435804E-2</v>
      </c>
      <c r="E55" s="222">
        <f>E22/E$8</f>
        <v>8.4831963544633418E-2</v>
      </c>
      <c r="F55" s="222">
        <f>F22/F$8</f>
        <v>0.13685946220192796</v>
      </c>
      <c r="G55" s="222">
        <f>G22/G$8</f>
        <v>0.17527822678037269</v>
      </c>
      <c r="H55" s="338">
        <f t="shared" ref="H55" si="6">AVERAGE(D55:G55)</f>
        <v>0.11686691928859247</v>
      </c>
      <c r="I55" s="255"/>
      <c r="J55" s="255"/>
      <c r="K55" s="255"/>
      <c r="L55" s="255"/>
    </row>
    <row r="56" spans="1:12" x14ac:dyDescent="0.2">
      <c r="A56" s="236" t="s">
        <v>247</v>
      </c>
      <c r="B56" s="286">
        <f>B26/B$8</f>
        <v>-0.10661913232493329</v>
      </c>
      <c r="C56" s="287">
        <f t="shared" ref="C56:G56" si="7">C26/C$8</f>
        <v>-0.18786280957901058</v>
      </c>
      <c r="D56" s="222">
        <f t="shared" si="7"/>
        <v>-4.6816665259480479E-2</v>
      </c>
      <c r="E56" s="222">
        <f t="shared" si="7"/>
        <v>-2.7056717389535356E-2</v>
      </c>
      <c r="F56" s="222">
        <f t="shared" si="7"/>
        <v>3.6593099949264331E-2</v>
      </c>
      <c r="G56" s="222">
        <f t="shared" si="7"/>
        <v>0.11784924660461141</v>
      </c>
      <c r="H56" s="338">
        <f t="shared" ref="H56:H61" si="8">AVERAGE(D56:G56)</f>
        <v>2.0142240976214976E-2</v>
      </c>
      <c r="I56" s="255"/>
      <c r="J56" s="255"/>
      <c r="K56" s="255"/>
      <c r="L56" s="255"/>
    </row>
    <row r="57" spans="1:12" x14ac:dyDescent="0.2">
      <c r="A57" s="236" t="s">
        <v>187</v>
      </c>
      <c r="B57" s="286">
        <f>B28/B$8</f>
        <v>-0.11043306040514664</v>
      </c>
      <c r="C57" s="287">
        <f t="shared" ref="C57:G57" si="9">C28/C$8</f>
        <v>-0.19054557750223641</v>
      </c>
      <c r="D57" s="222">
        <f>D28/D$8</f>
        <v>-4.951161320011474E-2</v>
      </c>
      <c r="E57" s="222">
        <f t="shared" si="9"/>
        <v>-3.1532264626902111E-2</v>
      </c>
      <c r="F57" s="222">
        <f t="shared" si="9"/>
        <v>2.7333840690005072E-2</v>
      </c>
      <c r="G57" s="222">
        <f t="shared" si="9"/>
        <v>0.10486223361759843</v>
      </c>
      <c r="H57" s="338">
        <f t="shared" si="8"/>
        <v>1.2788049120146661E-2</v>
      </c>
      <c r="I57" s="255"/>
      <c r="J57" s="255"/>
      <c r="K57" s="255"/>
      <c r="L57" s="255"/>
    </row>
    <row r="58" spans="1:12" x14ac:dyDescent="0.2">
      <c r="A58" s="236" t="s">
        <v>127</v>
      </c>
      <c r="B58" s="286">
        <f>B16/B$8</f>
        <v>0.11919889510654941</v>
      </c>
      <c r="C58" s="287">
        <f>C16/C$8</f>
        <v>0.11719552527304981</v>
      </c>
      <c r="D58" s="222">
        <f>D16/D$8</f>
        <v>6.8046771514152851E-2</v>
      </c>
      <c r="E58" s="222">
        <f>E16/E$8</f>
        <v>5.4642363088941333E-2</v>
      </c>
      <c r="F58" s="222">
        <f>F16/F$8</f>
        <v>4.7279299847792999E-2</v>
      </c>
      <c r="G58" s="222">
        <f>G16/G$8</f>
        <v>4.817643015067908E-2</v>
      </c>
      <c r="H58" s="338">
        <f t="shared" si="8"/>
        <v>5.4536216150391566E-2</v>
      </c>
      <c r="I58" s="255"/>
      <c r="J58" s="255"/>
      <c r="K58" s="255"/>
      <c r="L58" s="255"/>
    </row>
    <row r="59" spans="1:12" x14ac:dyDescent="0.2">
      <c r="A59" s="236" t="s">
        <v>242</v>
      </c>
      <c r="B59" s="286">
        <f>B17/B$8</f>
        <v>0.20459457050238478</v>
      </c>
      <c r="C59" s="287">
        <f>C17/C$8</f>
        <v>0.21060910295659802</v>
      </c>
      <c r="D59" s="222">
        <f>D17/D$8</f>
        <v>0.13207472177319626</v>
      </c>
      <c r="E59" s="222">
        <f>E17/E$8</f>
        <v>0.10765725445520384</v>
      </c>
      <c r="F59" s="222">
        <f>F17/F$8</f>
        <v>9.9727295788939629E-2</v>
      </c>
      <c r="G59" s="222">
        <f>G17/G$8</f>
        <v>8.3923229845976624E-2</v>
      </c>
      <c r="H59" s="338">
        <f t="shared" si="8"/>
        <v>0.10584562546582908</v>
      </c>
      <c r="I59" s="255"/>
      <c r="J59" s="255"/>
      <c r="K59" s="255"/>
      <c r="L59" s="255"/>
    </row>
    <row r="60" spans="1:12" x14ac:dyDescent="0.2">
      <c r="A60" s="236" t="s">
        <v>243</v>
      </c>
      <c r="B60" s="286">
        <f>B21/B$8</f>
        <v>0.13529730582223304</v>
      </c>
      <c r="C60" s="287">
        <f>C21/C$8</f>
        <v>0.13913067807967019</v>
      </c>
      <c r="D60" s="222">
        <f>D21/D$8</f>
        <v>8.858050698588732E-2</v>
      </c>
      <c r="E60" s="222">
        <f>E21/E$8</f>
        <v>8.7639352266254369E-2</v>
      </c>
      <c r="F60" s="222">
        <f>F21/F$8</f>
        <v>7.3630136986301373E-2</v>
      </c>
      <c r="G60" s="222">
        <f>G21/G$8</f>
        <v>5.4084684985972541E-2</v>
      </c>
      <c r="H60" s="338">
        <f t="shared" si="8"/>
        <v>7.5983670306103895E-2</v>
      </c>
      <c r="I60" s="255"/>
      <c r="J60" s="255"/>
      <c r="K60" s="255"/>
      <c r="L60" s="255"/>
    </row>
    <row r="61" spans="1:12" x14ac:dyDescent="0.2">
      <c r="A61" s="236" t="s">
        <v>244</v>
      </c>
      <c r="B61" s="286">
        <f>cashflow!B29/B$8</f>
        <v>0</v>
      </c>
      <c r="C61" s="287">
        <f>cashflow!C29/C$8</f>
        <v>-0.29040618344584385</v>
      </c>
      <c r="D61" s="222">
        <f>cashflow!D29/D$8</f>
        <v>-9.7884430686947299E-2</v>
      </c>
      <c r="E61" s="222">
        <f>cashflow!E29/E$8</f>
        <v>-5.3991374399869806E-2</v>
      </c>
      <c r="F61" s="222">
        <f>cashflow!F29/F$8</f>
        <v>-0.1001078132927448</v>
      </c>
      <c r="G61" s="222">
        <f>cashflow!G29/G$8</f>
        <v>-0.12043178566783717</v>
      </c>
      <c r="H61" s="338">
        <f t="shared" si="8"/>
        <v>-9.3103851011849773E-2</v>
      </c>
      <c r="I61" s="255"/>
      <c r="J61" s="255"/>
      <c r="K61" s="255"/>
      <c r="L61" s="255"/>
    </row>
    <row r="62" spans="1:12" x14ac:dyDescent="0.2">
      <c r="B62" s="286"/>
      <c r="C62" s="287"/>
      <c r="D62" s="222"/>
      <c r="E62" s="222"/>
      <c r="F62" s="222"/>
      <c r="G62" s="222"/>
      <c r="H62" s="255"/>
      <c r="I62" s="256"/>
      <c r="J62" s="256"/>
      <c r="K62" s="256"/>
      <c r="L62" s="256"/>
    </row>
    <row r="63" spans="1:12" x14ac:dyDescent="0.2">
      <c r="A63" s="7"/>
    </row>
    <row r="64" spans="1:12" x14ac:dyDescent="0.2">
      <c r="A64" s="236" t="s">
        <v>246</v>
      </c>
      <c r="B64" s="202"/>
      <c r="C64" s="266"/>
      <c r="D64" s="202"/>
      <c r="E64" s="214"/>
      <c r="F64" s="214"/>
      <c r="G64" s="214"/>
      <c r="J64" s="200"/>
      <c r="K64" s="200"/>
      <c r="L64" s="200"/>
    </row>
    <row r="65" spans="1:12" x14ac:dyDescent="0.2">
      <c r="A65" s="236"/>
      <c r="B65" s="202"/>
      <c r="C65" s="266"/>
      <c r="D65" s="202"/>
      <c r="E65" s="214"/>
      <c r="F65" s="214"/>
      <c r="G65" s="214"/>
      <c r="J65" s="200"/>
      <c r="K65" s="200"/>
      <c r="L65" s="200"/>
    </row>
    <row r="66" spans="1:12" x14ac:dyDescent="0.2">
      <c r="A66" s="7"/>
    </row>
    <row r="67" spans="1:12" x14ac:dyDescent="0.2">
      <c r="A67" s="240"/>
      <c r="B67" s="271"/>
      <c r="C67" s="272"/>
      <c r="D67" s="195"/>
      <c r="E67" s="195"/>
      <c r="F67" s="195"/>
      <c r="G67" s="195"/>
      <c r="H67" s="199"/>
      <c r="I67" s="199"/>
      <c r="J67" s="199"/>
      <c r="K67" s="199"/>
      <c r="L67" s="199"/>
    </row>
    <row r="68" spans="1:12" x14ac:dyDescent="0.2">
      <c r="B68" s="280"/>
      <c r="C68" s="281"/>
      <c r="D68" s="199"/>
      <c r="E68" s="199"/>
      <c r="F68" s="199"/>
      <c r="G68" s="199"/>
      <c r="H68" s="199"/>
      <c r="I68" s="199"/>
      <c r="J68" s="199"/>
      <c r="K68" s="199"/>
      <c r="L68" s="199"/>
    </row>
    <row r="69" spans="1:12" x14ac:dyDescent="0.2">
      <c r="A69" s="239"/>
      <c r="B69" s="271"/>
      <c r="C69" s="272"/>
      <c r="D69" s="195"/>
      <c r="E69" s="195"/>
      <c r="F69" s="195"/>
      <c r="G69" s="195"/>
      <c r="H69" s="199"/>
      <c r="I69" s="199"/>
      <c r="J69" s="199"/>
      <c r="K69" s="199"/>
      <c r="L69" s="199"/>
    </row>
    <row r="70" spans="1:12" x14ac:dyDescent="0.2">
      <c r="B70" s="280"/>
      <c r="C70" s="281"/>
      <c r="D70" s="199"/>
      <c r="E70" s="199"/>
      <c r="F70" s="199"/>
      <c r="G70" s="199"/>
      <c r="H70" s="199"/>
      <c r="I70" s="199"/>
      <c r="J70" s="199"/>
      <c r="K70" s="199"/>
      <c r="L70" s="199"/>
    </row>
    <row r="71" spans="1:12" x14ac:dyDescent="0.2">
      <c r="B71" s="280"/>
      <c r="C71" s="281"/>
      <c r="D71" s="199"/>
      <c r="E71" s="199"/>
      <c r="F71" s="199"/>
      <c r="G71" s="199"/>
      <c r="H71" s="199"/>
      <c r="I71" s="199"/>
      <c r="J71" s="199"/>
      <c r="K71" s="199"/>
      <c r="L71" s="199"/>
    </row>
    <row r="72" spans="1:12" x14ac:dyDescent="0.2">
      <c r="A72" s="205"/>
      <c r="B72" s="280"/>
      <c r="C72" s="281"/>
      <c r="D72" s="199"/>
      <c r="E72" s="199"/>
      <c r="F72" s="199"/>
      <c r="G72" s="199"/>
      <c r="H72" s="199"/>
      <c r="I72" s="199"/>
      <c r="J72" s="199"/>
      <c r="K72" s="199"/>
      <c r="L72" s="199"/>
    </row>
    <row r="73" spans="1:12" x14ac:dyDescent="0.2">
      <c r="A73" s="205"/>
      <c r="B73" s="271"/>
      <c r="C73" s="272"/>
      <c r="D73" s="195"/>
      <c r="E73" s="195"/>
      <c r="F73" s="195"/>
      <c r="G73" s="195"/>
      <c r="H73" s="199"/>
      <c r="I73" s="199"/>
      <c r="J73" s="199"/>
      <c r="K73" s="199"/>
      <c r="L73" s="199"/>
    </row>
    <row r="74" spans="1:12" x14ac:dyDescent="0.2">
      <c r="A74" s="7"/>
      <c r="B74" s="271"/>
      <c r="C74" s="272"/>
      <c r="D74" s="195"/>
      <c r="E74" s="195"/>
      <c r="F74" s="195"/>
      <c r="G74" s="195"/>
      <c r="H74" s="199"/>
      <c r="I74" s="199"/>
      <c r="J74" s="199"/>
      <c r="K74" s="199"/>
      <c r="L74" s="199"/>
    </row>
    <row r="75" spans="1:12" x14ac:dyDescent="0.2">
      <c r="A75" s="7"/>
      <c r="B75" s="271"/>
      <c r="C75" s="272"/>
      <c r="D75" s="195"/>
      <c r="E75" s="195"/>
      <c r="F75" s="195"/>
      <c r="G75" s="195"/>
      <c r="H75" s="199"/>
      <c r="I75" s="199"/>
      <c r="J75" s="199"/>
      <c r="K75" s="199"/>
      <c r="L75" s="199"/>
    </row>
    <row r="76" spans="1:12" x14ac:dyDescent="0.2">
      <c r="B76" s="280"/>
      <c r="C76" s="281"/>
      <c r="D76" s="199"/>
      <c r="E76" s="199"/>
      <c r="F76" s="199"/>
      <c r="G76" s="199"/>
      <c r="H76" s="199"/>
      <c r="I76" s="199"/>
      <c r="J76" s="199"/>
      <c r="K76" s="199"/>
      <c r="L76" s="199"/>
    </row>
    <row r="77" spans="1:12" x14ac:dyDescent="0.2">
      <c r="B77" s="280"/>
      <c r="C77" s="281"/>
      <c r="D77" s="199"/>
      <c r="E77" s="199"/>
      <c r="F77" s="199"/>
      <c r="G77" s="199"/>
      <c r="H77" s="199"/>
      <c r="I77" s="199"/>
      <c r="J77" s="199"/>
      <c r="K77" s="199"/>
      <c r="L77" s="199"/>
    </row>
    <row r="78" spans="1:12" x14ac:dyDescent="0.2">
      <c r="B78" s="280"/>
      <c r="C78" s="281"/>
      <c r="D78" s="199"/>
      <c r="E78" s="199"/>
      <c r="F78" s="199"/>
      <c r="G78" s="199"/>
      <c r="H78" s="199"/>
      <c r="I78" s="199"/>
      <c r="J78" s="199"/>
      <c r="K78" s="199"/>
      <c r="L78" s="199"/>
    </row>
    <row r="79" spans="1:12" x14ac:dyDescent="0.2">
      <c r="B79" s="280"/>
      <c r="C79" s="281"/>
      <c r="D79" s="199"/>
      <c r="E79" s="199"/>
      <c r="F79" s="199"/>
      <c r="G79" s="199"/>
      <c r="H79" s="199"/>
      <c r="I79" s="199"/>
      <c r="J79" s="199"/>
      <c r="K79" s="199"/>
      <c r="L79" s="199"/>
    </row>
    <row r="80" spans="1:12" x14ac:dyDescent="0.2">
      <c r="B80" s="280"/>
      <c r="C80" s="281"/>
      <c r="D80" s="199"/>
      <c r="E80" s="199"/>
      <c r="F80" s="199"/>
      <c r="G80" s="199"/>
      <c r="H80" s="199"/>
      <c r="I80" s="199"/>
      <c r="J80" s="199"/>
      <c r="K80" s="199"/>
      <c r="L80" s="199"/>
    </row>
    <row r="81" spans="2:12" x14ac:dyDescent="0.2">
      <c r="B81" s="280"/>
      <c r="C81" s="281"/>
      <c r="D81" s="199"/>
      <c r="E81" s="199"/>
      <c r="F81" s="199"/>
      <c r="G81" s="199"/>
      <c r="H81" s="199"/>
      <c r="I81" s="199"/>
      <c r="J81" s="199"/>
      <c r="K81" s="199"/>
      <c r="L81" s="199"/>
    </row>
    <row r="82" spans="2:12" ht="16" customHeight="1" x14ac:dyDescent="0.2">
      <c r="B82" s="280"/>
      <c r="C82" s="281"/>
      <c r="D82" s="199"/>
      <c r="E82" s="199"/>
      <c r="F82" s="199"/>
      <c r="G82" s="199"/>
      <c r="H82" s="199"/>
      <c r="I82" s="199"/>
      <c r="J82" s="199"/>
      <c r="K82" s="199"/>
      <c r="L82" s="199"/>
    </row>
    <row r="83" spans="2:12" x14ac:dyDescent="0.2">
      <c r="B83" s="280"/>
      <c r="C83" s="281"/>
      <c r="D83" s="199"/>
      <c r="E83" s="199"/>
      <c r="F83" s="199"/>
      <c r="G83" s="199"/>
      <c r="H83" s="199"/>
      <c r="I83" s="199"/>
      <c r="J83" s="199"/>
      <c r="K83" s="199"/>
      <c r="L83" s="199"/>
    </row>
    <row r="84" spans="2:12" x14ac:dyDescent="0.2">
      <c r="B84" s="280"/>
      <c r="C84" s="281"/>
      <c r="D84" s="199"/>
      <c r="E84" s="199"/>
      <c r="F84" s="199"/>
      <c r="G84" s="199"/>
      <c r="H84" s="199"/>
      <c r="I84" s="199"/>
      <c r="J84" s="199"/>
      <c r="K84" s="199"/>
      <c r="L84" s="199"/>
    </row>
    <row r="85" spans="2:12" x14ac:dyDescent="0.2">
      <c r="B85" s="280"/>
      <c r="C85" s="281"/>
      <c r="D85" s="199"/>
      <c r="E85" s="199"/>
      <c r="F85" s="199"/>
      <c r="G85" s="199"/>
      <c r="H85" s="199"/>
      <c r="I85" s="199"/>
      <c r="J85" s="199"/>
      <c r="K85" s="199"/>
      <c r="L85" s="199"/>
    </row>
    <row r="86" spans="2:12" x14ac:dyDescent="0.2">
      <c r="B86" s="280"/>
      <c r="C86" s="281"/>
      <c r="D86" s="199"/>
      <c r="E86" s="199"/>
      <c r="F86" s="199"/>
      <c r="G86" s="199"/>
      <c r="H86" s="199"/>
      <c r="I86" s="199"/>
      <c r="J86" s="199"/>
      <c r="K86" s="199"/>
      <c r="L86" s="199"/>
    </row>
    <row r="87" spans="2:12" x14ac:dyDescent="0.2">
      <c r="B87" s="280"/>
      <c r="C87" s="281"/>
      <c r="D87" s="199"/>
      <c r="E87" s="199"/>
      <c r="F87" s="199"/>
      <c r="G87" s="199"/>
      <c r="H87" s="199"/>
      <c r="I87" s="199"/>
      <c r="J87" s="199"/>
      <c r="K87" s="199"/>
      <c r="L87" s="199"/>
    </row>
    <row r="88" spans="2:12" x14ac:dyDescent="0.2">
      <c r="B88" s="280"/>
      <c r="C88" s="281"/>
      <c r="D88" s="199"/>
      <c r="E88" s="199"/>
      <c r="F88" s="199"/>
      <c r="G88" s="199"/>
      <c r="H88" s="199"/>
      <c r="I88" s="199"/>
      <c r="J88" s="199"/>
      <c r="K88" s="199"/>
      <c r="L88" s="199"/>
    </row>
    <row r="89" spans="2:12" x14ac:dyDescent="0.2">
      <c r="B89" s="280"/>
      <c r="C89" s="281"/>
      <c r="D89" s="199"/>
      <c r="E89" s="199"/>
      <c r="F89" s="199"/>
      <c r="G89" s="199"/>
      <c r="H89" s="199"/>
      <c r="I89" s="199"/>
      <c r="J89" s="199"/>
      <c r="K89" s="199"/>
      <c r="L89" s="199"/>
    </row>
    <row r="90" spans="2:12" x14ac:dyDescent="0.2">
      <c r="B90" s="280"/>
      <c r="C90" s="281"/>
      <c r="D90" s="199"/>
      <c r="E90" s="199"/>
      <c r="F90" s="199"/>
      <c r="G90" s="199"/>
      <c r="H90" s="199"/>
      <c r="I90" s="199"/>
      <c r="J90" s="199"/>
      <c r="K90" s="199"/>
      <c r="L90" s="199"/>
    </row>
    <row r="91" spans="2:12" x14ac:dyDescent="0.2">
      <c r="B91" s="280"/>
      <c r="C91" s="281"/>
      <c r="D91" s="199"/>
      <c r="E91" s="199"/>
      <c r="F91" s="199"/>
      <c r="G91" s="199"/>
      <c r="H91" s="199"/>
      <c r="I91" s="199"/>
      <c r="J91" s="199"/>
      <c r="K91" s="199"/>
      <c r="L91" s="199"/>
    </row>
    <row r="92" spans="2:12" x14ac:dyDescent="0.2">
      <c r="B92" s="280"/>
      <c r="C92" s="281"/>
      <c r="D92" s="199"/>
      <c r="E92" s="199"/>
      <c r="F92" s="199"/>
      <c r="G92" s="199"/>
      <c r="H92" s="199"/>
      <c r="I92" s="199"/>
      <c r="J92" s="199"/>
      <c r="K92" s="199"/>
      <c r="L92" s="199"/>
    </row>
    <row r="93" spans="2:12" x14ac:dyDescent="0.2">
      <c r="B93" s="280"/>
      <c r="C93" s="281"/>
      <c r="D93" s="199"/>
      <c r="E93" s="199"/>
      <c r="F93" s="199"/>
      <c r="G93" s="199"/>
      <c r="H93" s="199"/>
      <c r="I93" s="199"/>
      <c r="J93" s="199"/>
      <c r="K93" s="199"/>
      <c r="L93" s="199"/>
    </row>
    <row r="94" spans="2:12" x14ac:dyDescent="0.2">
      <c r="B94" s="280"/>
      <c r="C94" s="281"/>
      <c r="D94" s="199"/>
      <c r="E94" s="199"/>
      <c r="F94" s="199"/>
      <c r="G94" s="199"/>
      <c r="H94" s="199"/>
      <c r="I94" s="199"/>
      <c r="J94" s="199"/>
      <c r="K94" s="199"/>
      <c r="L94" s="199"/>
    </row>
    <row r="95" spans="2:12" x14ac:dyDescent="0.2">
      <c r="J95" s="200"/>
      <c r="K95" s="200"/>
      <c r="L95" s="200"/>
    </row>
    <row r="96" spans="2:12" x14ac:dyDescent="0.2">
      <c r="J96" s="200"/>
      <c r="K96" s="200"/>
      <c r="L96" s="200"/>
    </row>
    <row r="97" spans="1:12" x14ac:dyDescent="0.2">
      <c r="A97" s="205"/>
      <c r="J97" s="200"/>
      <c r="K97" s="200"/>
      <c r="L97" s="200"/>
    </row>
    <row r="98" spans="1:12" x14ac:dyDescent="0.2">
      <c r="B98" s="202"/>
      <c r="C98" s="266"/>
      <c r="D98" s="197"/>
      <c r="E98" s="197"/>
      <c r="F98" s="197"/>
      <c r="G98" s="197"/>
      <c r="J98" s="200"/>
      <c r="K98" s="200"/>
      <c r="L98" s="200"/>
    </row>
    <row r="99" spans="1:12" x14ac:dyDescent="0.2">
      <c r="A99" s="226" t="s">
        <v>118</v>
      </c>
      <c r="J99" s="200"/>
      <c r="K99" s="200"/>
      <c r="L99" s="200"/>
    </row>
    <row r="100" spans="1:12" x14ac:dyDescent="0.2">
      <c r="A100" s="226" t="s">
        <v>117</v>
      </c>
      <c r="B100" s="202">
        <v>-981.32</v>
      </c>
      <c r="C100" s="266">
        <v>-2791.78</v>
      </c>
      <c r="D100" s="202">
        <v>-864.91</v>
      </c>
      <c r="E100" s="202"/>
      <c r="F100" s="202"/>
      <c r="G100" s="202"/>
      <c r="H100" s="201"/>
      <c r="I100" s="201"/>
      <c r="J100" s="200"/>
      <c r="K100" s="200"/>
      <c r="L100" s="200"/>
    </row>
    <row r="101" spans="1:12" x14ac:dyDescent="0.2">
      <c r="A101" s="226" t="s">
        <v>116</v>
      </c>
      <c r="B101" s="202"/>
      <c r="C101" s="266"/>
      <c r="D101" s="202"/>
      <c r="E101" s="202">
        <v>87</v>
      </c>
      <c r="F101" s="202">
        <v>141</v>
      </c>
      <c r="G101" s="202">
        <v>125</v>
      </c>
      <c r="H101" s="201"/>
      <c r="I101" s="201"/>
      <c r="J101" s="200"/>
      <c r="K101" s="200"/>
      <c r="L101" s="200"/>
    </row>
    <row r="102" spans="1:12" x14ac:dyDescent="0.2">
      <c r="A102" s="226"/>
      <c r="B102" s="202">
        <v>-6749.14</v>
      </c>
      <c r="C102" s="266">
        <v>-19614</v>
      </c>
      <c r="D102" s="202">
        <v>-9760.91</v>
      </c>
      <c r="E102" s="202">
        <v>-862</v>
      </c>
      <c r="F102" s="202">
        <v>721</v>
      </c>
      <c r="G102" s="202">
        <v>5519</v>
      </c>
      <c r="H102" s="201"/>
      <c r="I102" s="201"/>
      <c r="J102" s="200"/>
      <c r="K102" s="200"/>
      <c r="L102" s="200"/>
    </row>
    <row r="103" spans="1:12" x14ac:dyDescent="0.2">
      <c r="A103" s="226" t="s">
        <v>115</v>
      </c>
      <c r="B103" s="202"/>
      <c r="C103" s="266"/>
      <c r="D103" s="202"/>
      <c r="E103" s="202"/>
      <c r="F103" s="202"/>
      <c r="G103" s="202"/>
      <c r="H103" s="201"/>
      <c r="I103" s="201"/>
      <c r="J103" s="200"/>
      <c r="K103" s="200"/>
      <c r="L103" s="200"/>
    </row>
    <row r="104" spans="1:12" x14ac:dyDescent="0.2">
      <c r="A104" s="226" t="s">
        <v>114</v>
      </c>
      <c r="B104" s="202"/>
      <c r="C104" s="266"/>
      <c r="D104" s="202"/>
      <c r="E104" s="202"/>
      <c r="F104" s="202"/>
      <c r="G104" s="202"/>
      <c r="H104" s="201"/>
      <c r="I104" s="201"/>
    </row>
    <row r="105" spans="1:12" x14ac:dyDescent="0.2">
      <c r="A105" s="226" t="s">
        <v>236</v>
      </c>
      <c r="B105" s="202"/>
      <c r="C105" s="266"/>
      <c r="D105" s="202"/>
      <c r="E105" s="202"/>
      <c r="F105" s="202"/>
      <c r="G105" s="202"/>
      <c r="H105" s="201"/>
      <c r="I105" s="201"/>
    </row>
    <row r="106" spans="1:12" x14ac:dyDescent="0.2">
      <c r="A106" s="226" t="s">
        <v>237</v>
      </c>
      <c r="B106" s="214">
        <v>-4.8600000000000003</v>
      </c>
      <c r="C106" s="267">
        <v>-11.8</v>
      </c>
      <c r="D106" s="214">
        <v>-5.72</v>
      </c>
      <c r="E106" s="214">
        <v>-0.98</v>
      </c>
      <c r="F106" s="214">
        <v>0.74</v>
      </c>
      <c r="G106" s="214">
        <v>5.6</v>
      </c>
      <c r="H106" s="201"/>
      <c r="I106" s="201"/>
    </row>
    <row r="107" spans="1:12" x14ac:dyDescent="0.2">
      <c r="A107" s="226" t="s">
        <v>113</v>
      </c>
      <c r="B107" s="214">
        <v>-4.8600000000000003</v>
      </c>
      <c r="C107" s="267">
        <v>-11.8</v>
      </c>
      <c r="D107" s="214">
        <v>-5.72</v>
      </c>
      <c r="E107" s="214">
        <v>-0.98</v>
      </c>
      <c r="F107" s="214">
        <v>0.64</v>
      </c>
      <c r="G107" s="214">
        <v>4.9000000000000004</v>
      </c>
      <c r="H107" s="201"/>
      <c r="I107" s="201"/>
    </row>
    <row r="108" spans="1:12" x14ac:dyDescent="0.2">
      <c r="A108" s="226" t="s">
        <v>112</v>
      </c>
      <c r="B108" s="202"/>
      <c r="C108" s="266"/>
      <c r="D108" s="202"/>
      <c r="E108" s="202"/>
      <c r="F108" s="202"/>
      <c r="G108" s="202"/>
      <c r="H108" s="201"/>
      <c r="I108" s="201"/>
    </row>
    <row r="109" spans="1:12" x14ac:dyDescent="0.2">
      <c r="A109" s="226" t="s">
        <v>111</v>
      </c>
      <c r="B109" s="202"/>
      <c r="C109" s="266"/>
      <c r="D109" s="202"/>
      <c r="E109" s="202"/>
      <c r="F109" s="202"/>
      <c r="G109" s="202"/>
      <c r="H109" s="201"/>
      <c r="I109" s="201"/>
    </row>
    <row r="110" spans="1:12" x14ac:dyDescent="0.2">
      <c r="A110" s="226" t="s">
        <v>110</v>
      </c>
      <c r="B110" s="202">
        <v>1442.12</v>
      </c>
      <c r="C110" s="266">
        <v>1657.58</v>
      </c>
      <c r="D110" s="202">
        <v>1705.25</v>
      </c>
      <c r="E110" s="202">
        <v>887</v>
      </c>
      <c r="F110" s="202">
        <v>933</v>
      </c>
      <c r="G110" s="202">
        <v>986</v>
      </c>
      <c r="H110" s="201"/>
      <c r="I110" s="201"/>
    </row>
    <row r="111" spans="1:12" x14ac:dyDescent="0.2">
      <c r="A111" s="226" t="s">
        <v>99</v>
      </c>
      <c r="B111" s="202">
        <v>1442.12</v>
      </c>
      <c r="C111" s="266">
        <v>1657.58</v>
      </c>
      <c r="D111" s="202">
        <v>1705.25</v>
      </c>
      <c r="E111" s="202">
        <v>887</v>
      </c>
      <c r="F111" s="202">
        <v>1083</v>
      </c>
      <c r="G111" s="202">
        <v>1129</v>
      </c>
      <c r="H111" s="201"/>
      <c r="I111" s="201"/>
    </row>
    <row r="112" spans="1:12" x14ac:dyDescent="0.2">
      <c r="A112" s="226" t="s">
        <v>109</v>
      </c>
      <c r="B112" s="202">
        <v>-6749.14</v>
      </c>
      <c r="C112" s="266">
        <v>-19614</v>
      </c>
      <c r="D112" s="202">
        <v>-9760.91</v>
      </c>
      <c r="E112" s="202">
        <v>-775</v>
      </c>
      <c r="F112" s="202">
        <v>862</v>
      </c>
      <c r="G112" s="202">
        <v>5644</v>
      </c>
      <c r="H112" s="201"/>
      <c r="I112" s="201"/>
    </row>
    <row r="113" spans="1:9" x14ac:dyDescent="0.2">
      <c r="A113" s="226" t="s">
        <v>108</v>
      </c>
      <c r="B113" s="202">
        <v>0</v>
      </c>
      <c r="C113" s="266">
        <v>0</v>
      </c>
      <c r="D113" s="202">
        <v>0</v>
      </c>
      <c r="E113" s="202"/>
      <c r="F113" s="202"/>
      <c r="G113" s="202"/>
      <c r="H113" s="201"/>
      <c r="I113" s="201"/>
    </row>
    <row r="114" spans="1:9" x14ac:dyDescent="0.2">
      <c r="A114" s="226" t="s">
        <v>107</v>
      </c>
      <c r="B114" s="202">
        <v>-185</v>
      </c>
      <c r="C114" s="266">
        <v>626.58000000000004</v>
      </c>
      <c r="D114" s="202">
        <v>-415.66</v>
      </c>
      <c r="E114" s="202">
        <v>-28</v>
      </c>
      <c r="F114" s="202">
        <v>399</v>
      </c>
      <c r="G114" s="202">
        <v>-308</v>
      </c>
      <c r="H114" s="201"/>
      <c r="I114" s="201"/>
    </row>
    <row r="115" spans="1:9" x14ac:dyDescent="0.2">
      <c r="A115" s="226" t="s">
        <v>106</v>
      </c>
      <c r="B115" s="202"/>
      <c r="C115" s="266"/>
      <c r="D115" s="202"/>
      <c r="E115" s="202"/>
      <c r="F115" s="202"/>
      <c r="G115" s="202">
        <v>-1</v>
      </c>
      <c r="H115" s="201"/>
      <c r="I115" s="201"/>
    </row>
    <row r="116" spans="1:9" x14ac:dyDescent="0.2">
      <c r="A116" s="226" t="s">
        <v>105</v>
      </c>
      <c r="B116" s="202">
        <v>-16.84</v>
      </c>
      <c r="C116" s="266">
        <v>-55.7</v>
      </c>
      <c r="D116" s="202"/>
      <c r="E116" s="202">
        <v>-803</v>
      </c>
      <c r="F116" s="202">
        <v>1261</v>
      </c>
      <c r="G116" s="202">
        <v>5335</v>
      </c>
      <c r="H116" s="201"/>
      <c r="I116" s="201"/>
    </row>
    <row r="117" spans="1:9" x14ac:dyDescent="0.2">
      <c r="A117" s="226" t="s">
        <v>104</v>
      </c>
      <c r="B117" s="202"/>
      <c r="C117" s="266"/>
      <c r="D117" s="202"/>
      <c r="E117" s="202"/>
      <c r="F117" s="202"/>
      <c r="G117" s="202"/>
      <c r="H117" s="201"/>
      <c r="I117" s="201"/>
    </row>
    <row r="118" spans="1:9" x14ac:dyDescent="0.2">
      <c r="A118" s="226" t="s">
        <v>103</v>
      </c>
      <c r="B118" s="202"/>
      <c r="C118" s="266"/>
      <c r="D118" s="202"/>
      <c r="E118" s="202"/>
      <c r="F118" s="202"/>
      <c r="G118" s="202"/>
      <c r="H118" s="201"/>
      <c r="I118" s="201"/>
    </row>
    <row r="119" spans="1:9" x14ac:dyDescent="0.2">
      <c r="A119" s="226" t="s">
        <v>102</v>
      </c>
      <c r="B119" s="202"/>
      <c r="C119" s="266"/>
      <c r="D119" s="202"/>
      <c r="E119" s="202">
        <v>87</v>
      </c>
      <c r="F119" s="202">
        <v>141</v>
      </c>
      <c r="G119" s="202">
        <v>125</v>
      </c>
      <c r="H119" s="201"/>
      <c r="I119" s="201"/>
    </row>
    <row r="120" spans="1:9" x14ac:dyDescent="0.2">
      <c r="A120" s="226" t="s">
        <v>101</v>
      </c>
      <c r="B120" s="202"/>
      <c r="C120" s="266"/>
      <c r="D120" s="202"/>
      <c r="E120" s="202"/>
      <c r="F120" s="202"/>
      <c r="G120" s="202"/>
      <c r="H120" s="201"/>
      <c r="I120" s="201"/>
    </row>
    <row r="121" spans="1:9" x14ac:dyDescent="0.2">
      <c r="A121" s="226"/>
      <c r="B121" s="202">
        <v>-6950.98</v>
      </c>
      <c r="C121" s="266">
        <v>-19043.12</v>
      </c>
      <c r="D121" s="202">
        <v>-10176.57</v>
      </c>
      <c r="E121" s="202">
        <v>-890</v>
      </c>
      <c r="F121" s="202">
        <v>1120</v>
      </c>
      <c r="G121" s="202">
        <v>5210</v>
      </c>
      <c r="H121" s="201"/>
      <c r="I121" s="201"/>
    </row>
    <row r="122" spans="1:9" x14ac:dyDescent="0.2">
      <c r="A122" s="226"/>
      <c r="D122" s="201"/>
      <c r="E122" s="201"/>
      <c r="F122" s="201"/>
      <c r="G122" s="201"/>
      <c r="H122" s="201"/>
      <c r="I122" s="201"/>
    </row>
    <row r="123" spans="1:9" x14ac:dyDescent="0.2">
      <c r="D123" s="201"/>
      <c r="E123" s="201"/>
      <c r="F123" s="201"/>
      <c r="G123" s="201"/>
      <c r="H123" s="201"/>
      <c r="I123" s="201"/>
    </row>
  </sheetData>
  <pageMargins left="0.7" right="0.7" top="0.75" bottom="0.75" header="0.3" footer="0.3"/>
  <pageSetup orientation="portrait" horizontalDpi="0" verticalDpi="0"/>
  <ignoredErrors>
    <ignoredError sqref="H5:K5" formula="1"/>
  </ignoredError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2"/>
  <sheetViews>
    <sheetView zoomScale="140" zoomScaleNormal="140" workbookViewId="0">
      <selection activeCell="A36" sqref="A36"/>
    </sheetView>
  </sheetViews>
  <sheetFormatPr baseColWidth="10" defaultColWidth="8.83203125" defaultRowHeight="15" x14ac:dyDescent="0.2"/>
  <cols>
    <col min="1" max="1" width="46.1640625" style="206" customWidth="1"/>
    <col min="2" max="2" width="12" style="7" customWidth="1"/>
    <col min="3" max="3" width="12" style="265" customWidth="1"/>
    <col min="4" max="7" width="12" style="7" customWidth="1"/>
    <col min="8" max="8" width="10.1640625" style="7" bestFit="1" customWidth="1"/>
    <col min="9" max="9" width="9.1640625" style="7" bestFit="1" customWidth="1"/>
    <col min="10" max="16384" width="8.83203125" style="7"/>
  </cols>
  <sheetData>
    <row r="1" spans="1:12" x14ac:dyDescent="0.2">
      <c r="A1" s="213" t="s">
        <v>181</v>
      </c>
      <c r="B1" s="269">
        <v>2016</v>
      </c>
      <c r="C1" s="270">
        <v>2017</v>
      </c>
      <c r="D1" s="250">
        <v>2018</v>
      </c>
      <c r="E1" s="250">
        <v>2019</v>
      </c>
      <c r="F1" s="250">
        <v>2020</v>
      </c>
      <c r="G1" s="250">
        <v>2021</v>
      </c>
      <c r="H1" s="251">
        <v>2022</v>
      </c>
      <c r="I1" s="251">
        <v>2023</v>
      </c>
      <c r="J1" s="251">
        <v>2024</v>
      </c>
      <c r="K1" s="251">
        <v>2025</v>
      </c>
      <c r="L1" s="251">
        <v>2025</v>
      </c>
    </row>
    <row r="2" spans="1:12" x14ac:dyDescent="0.2">
      <c r="A2" s="209" t="s">
        <v>1</v>
      </c>
      <c r="B2" s="58"/>
      <c r="C2" s="294"/>
      <c r="D2" s="58"/>
      <c r="E2" s="58"/>
      <c r="F2" s="58"/>
      <c r="G2" s="58"/>
      <c r="H2" s="199"/>
      <c r="I2" s="199"/>
      <c r="J2" s="199"/>
      <c r="K2" s="199"/>
      <c r="L2" s="199"/>
    </row>
    <row r="3" spans="1:12" x14ac:dyDescent="0.2">
      <c r="A3" s="227" t="s">
        <v>2</v>
      </c>
      <c r="B3" s="33">
        <v>3393.2160000000003</v>
      </c>
      <c r="C3" s="295">
        <v>3367.9139999999998</v>
      </c>
      <c r="D3" s="33">
        <v>3685.6179999999999</v>
      </c>
      <c r="E3" s="33">
        <v>6268</v>
      </c>
      <c r="F3" s="33">
        <v>19384</v>
      </c>
      <c r="G3" s="33">
        <v>17576</v>
      </c>
      <c r="H3" s="199">
        <f>income!H8*balance!$H$56</f>
        <v>33860.456270882001</v>
      </c>
      <c r="I3" s="199">
        <f>income!I8*balance!$H$56</f>
        <v>44413.790796724505</v>
      </c>
      <c r="J3" s="199">
        <f>income!J8*balance!$H$56</f>
        <v>54725.509610571389</v>
      </c>
      <c r="K3" s="199">
        <f>income!K8*balance!$H$56</f>
        <v>56585.370943651011</v>
      </c>
      <c r="L3" s="199">
        <f>income!L8*balance!$H$56</f>
        <v>71660.018526789354</v>
      </c>
    </row>
    <row r="4" spans="1:12" x14ac:dyDescent="0.2">
      <c r="A4" s="227" t="s">
        <v>3</v>
      </c>
      <c r="B4" s="33">
        <v>105.51900000000001</v>
      </c>
      <c r="C4" s="295"/>
      <c r="D4" s="33"/>
      <c r="E4" s="33">
        <v>246</v>
      </c>
      <c r="F4" s="33"/>
      <c r="G4" s="33"/>
      <c r="H4" s="199"/>
      <c r="I4" s="199"/>
      <c r="J4" s="199"/>
      <c r="K4" s="199"/>
      <c r="L4" s="199"/>
    </row>
    <row r="5" spans="1:12" x14ac:dyDescent="0.2">
      <c r="A5" s="227" t="s">
        <v>4</v>
      </c>
      <c r="B5" s="33"/>
      <c r="C5" s="295">
        <v>155.32300000000001</v>
      </c>
      <c r="D5" s="33">
        <v>192.55099999999999</v>
      </c>
      <c r="E5" s="33"/>
      <c r="F5" s="33"/>
      <c r="G5" s="33">
        <v>131</v>
      </c>
      <c r="H5" s="199"/>
      <c r="I5" s="199"/>
      <c r="J5" s="199"/>
      <c r="K5" s="199"/>
      <c r="L5" s="199"/>
    </row>
    <row r="6" spans="1:12" x14ac:dyDescent="0.2">
      <c r="A6" s="227" t="s">
        <v>5</v>
      </c>
      <c r="B6" s="33">
        <v>499.142</v>
      </c>
      <c r="C6" s="295">
        <v>515.38100000000009</v>
      </c>
      <c r="D6" s="33">
        <v>949.02199999999993</v>
      </c>
      <c r="E6" s="33">
        <v>1324</v>
      </c>
      <c r="F6" s="33">
        <v>1886</v>
      </c>
      <c r="G6" s="33">
        <v>1913</v>
      </c>
      <c r="H6" s="199">
        <f>income!H8/$H$58*2-G6</f>
        <v>6094.178791729787</v>
      </c>
      <c r="I6" s="199">
        <f>income!I8/$H$58*2-H6</f>
        <v>4408.6083202583095</v>
      </c>
      <c r="J6" s="199">
        <f>income!J8/$H$58*2-I6</f>
        <v>8532.6508410128117</v>
      </c>
      <c r="K6" s="199">
        <f>income!K8/$H$58*2-J6</f>
        <v>4848.4205337339972</v>
      </c>
      <c r="L6" s="199">
        <f>income!L8/$H$58*2-K6</f>
        <v>12097.440324499648</v>
      </c>
    </row>
    <row r="7" spans="1:12" x14ac:dyDescent="0.2">
      <c r="A7" s="227" t="s">
        <v>6</v>
      </c>
      <c r="B7" s="33">
        <v>2067.4540000000002</v>
      </c>
      <c r="C7" s="295">
        <v>2263.5369999999998</v>
      </c>
      <c r="D7" s="33">
        <v>3113.4459999999999</v>
      </c>
      <c r="E7" s="33">
        <v>3552</v>
      </c>
      <c r="F7" s="33">
        <v>4101</v>
      </c>
      <c r="G7" s="33">
        <v>5757</v>
      </c>
      <c r="H7" s="199">
        <f>income!H8/$H$59*2-G7</f>
        <v>23255.504617684575</v>
      </c>
      <c r="I7" s="199">
        <f>income!I8/$H$59*2-H7</f>
        <v>14799.366830900359</v>
      </c>
      <c r="J7" s="199">
        <f>income!J8/$H$59*2-I7</f>
        <v>32090.848929340096</v>
      </c>
      <c r="K7" s="199">
        <f>income!K8/$H$59*2-J7</f>
        <v>16392.943570757441</v>
      </c>
      <c r="L7" s="199">
        <f>income!L8/$H$59*2-K7</f>
        <v>45007.192380738503</v>
      </c>
    </row>
    <row r="8" spans="1:12" x14ac:dyDescent="0.2">
      <c r="A8" s="344" t="s">
        <v>7</v>
      </c>
      <c r="B8" s="225">
        <v>194.465</v>
      </c>
      <c r="C8" s="297">
        <v>268.36500000000001</v>
      </c>
      <c r="D8" s="225">
        <v>365.67099999999999</v>
      </c>
      <c r="E8" s="225">
        <v>713</v>
      </c>
      <c r="F8" s="225">
        <v>1346</v>
      </c>
      <c r="G8" s="225">
        <v>1723</v>
      </c>
      <c r="H8" s="253">
        <f>income!H8*$H$60</f>
        <v>30185.08724167203</v>
      </c>
      <c r="I8" s="253">
        <f>income!I8*$H$60</f>
        <v>39592.914496115802</v>
      </c>
      <c r="J8" s="253">
        <f>income!J8*$H$60</f>
        <v>48785.35211472003</v>
      </c>
      <c r="K8" s="253">
        <f>income!K8*$H$60</f>
        <v>50443.335579186751</v>
      </c>
      <c r="L8" s="253">
        <f>income!L8*$H$60</f>
        <v>63881.711860778385</v>
      </c>
    </row>
    <row r="9" spans="1:12" s="196" customFormat="1" ht="14" customHeight="1" x14ac:dyDescent="0.2">
      <c r="A9" s="205" t="s">
        <v>8</v>
      </c>
      <c r="B9" s="223">
        <v>6259.7960000000003</v>
      </c>
      <c r="C9" s="298">
        <v>6570.5199999999995</v>
      </c>
      <c r="D9" s="223">
        <v>8306.3080000000009</v>
      </c>
      <c r="E9" s="223">
        <v>12103</v>
      </c>
      <c r="F9" s="223">
        <v>26717</v>
      </c>
      <c r="G9" s="223">
        <v>27100</v>
      </c>
      <c r="H9" s="204">
        <f>SUM(H3:H8)</f>
        <v>93395.226921968395</v>
      </c>
      <c r="I9" s="204">
        <f t="shared" ref="I9:L9" si="0">SUM(I3:I8)</f>
        <v>103214.68044399898</v>
      </c>
      <c r="J9" s="204">
        <f t="shared" si="0"/>
        <v>144134.36149564432</v>
      </c>
      <c r="K9" s="204">
        <f t="shared" si="0"/>
        <v>128270.0706273292</v>
      </c>
      <c r="L9" s="204">
        <f t="shared" si="0"/>
        <v>192646.3630928059</v>
      </c>
    </row>
    <row r="10" spans="1:12" s="198" customFormat="1" ht="14" customHeight="1" x14ac:dyDescent="0.2">
      <c r="A10" s="209"/>
      <c r="B10" s="224"/>
      <c r="C10" s="296"/>
      <c r="D10" s="224"/>
      <c r="E10" s="224"/>
      <c r="F10" s="224"/>
      <c r="G10" s="224"/>
      <c r="H10" s="203"/>
      <c r="I10" s="199"/>
      <c r="J10" s="199"/>
      <c r="K10" s="199"/>
      <c r="L10" s="203"/>
    </row>
    <row r="11" spans="1:12" s="198" customFormat="1" ht="14" customHeight="1" x14ac:dyDescent="0.2">
      <c r="A11" s="333" t="s">
        <v>293</v>
      </c>
      <c r="B11" s="224"/>
      <c r="C11" s="296"/>
      <c r="D11" s="224"/>
      <c r="E11" s="224"/>
      <c r="F11" s="224"/>
      <c r="G11" s="224"/>
      <c r="H11" s="203"/>
      <c r="I11" s="199"/>
      <c r="J11" s="199"/>
      <c r="K11" s="199"/>
      <c r="L11" s="203"/>
    </row>
    <row r="12" spans="1:12" x14ac:dyDescent="0.2">
      <c r="A12" s="227" t="s">
        <v>9</v>
      </c>
      <c r="B12" s="33">
        <v>3134.08</v>
      </c>
      <c r="C12" s="295">
        <v>4116.6040000000003</v>
      </c>
      <c r="D12" s="33">
        <v>2089.7580000000003</v>
      </c>
      <c r="E12" s="33">
        <v>2447</v>
      </c>
      <c r="F12" s="33">
        <v>3091</v>
      </c>
      <c r="G12" s="33">
        <v>4511</v>
      </c>
      <c r="H12" s="199"/>
      <c r="I12" s="199"/>
      <c r="J12" s="199"/>
      <c r="K12" s="199"/>
      <c r="L12" s="199"/>
    </row>
    <row r="13" spans="1:12" x14ac:dyDescent="0.2">
      <c r="A13" s="227" t="s">
        <v>10</v>
      </c>
      <c r="B13" s="33">
        <v>5919.88</v>
      </c>
      <c r="C13" s="295">
        <v>6347.49</v>
      </c>
      <c r="D13" s="33">
        <v>6271.3959999999997</v>
      </c>
      <c r="E13" s="33">
        <v>6138</v>
      </c>
      <c r="F13" s="33">
        <v>5979</v>
      </c>
      <c r="G13" s="33">
        <v>5765</v>
      </c>
      <c r="H13" s="199"/>
      <c r="I13" s="199"/>
      <c r="J13" s="199"/>
      <c r="K13" s="199"/>
      <c r="L13" s="199"/>
    </row>
    <row r="14" spans="1:12" x14ac:dyDescent="0.2">
      <c r="A14" s="227" t="s">
        <v>11</v>
      </c>
      <c r="B14" s="33">
        <v>5982.9570000000003</v>
      </c>
      <c r="C14" s="295">
        <v>10027.522000000001</v>
      </c>
      <c r="D14" s="33">
        <v>11330.077000000001</v>
      </c>
      <c r="E14" s="33">
        <v>10396</v>
      </c>
      <c r="F14" s="33">
        <v>12747</v>
      </c>
      <c r="G14" s="33">
        <v>18884</v>
      </c>
      <c r="H14" s="199"/>
      <c r="I14" s="199"/>
      <c r="J14" s="199"/>
      <c r="K14" s="199"/>
      <c r="L14" s="199"/>
    </row>
    <row r="15" spans="1:12" x14ac:dyDescent="0.2">
      <c r="A15" s="227" t="s">
        <v>12</v>
      </c>
      <c r="B15" s="33"/>
      <c r="C15" s="295">
        <v>361.50200000000001</v>
      </c>
      <c r="D15" s="33">
        <v>282.49200000000002</v>
      </c>
      <c r="E15" s="33">
        <v>1218</v>
      </c>
      <c r="F15" s="33">
        <v>1558</v>
      </c>
      <c r="G15" s="33">
        <v>2016</v>
      </c>
      <c r="H15" s="199"/>
      <c r="I15" s="199"/>
      <c r="J15" s="199"/>
      <c r="K15" s="199"/>
      <c r="L15" s="199"/>
    </row>
    <row r="16" spans="1:12" x14ac:dyDescent="0.2">
      <c r="A16" s="227" t="s">
        <v>13</v>
      </c>
      <c r="B16" s="33"/>
      <c r="C16" s="295">
        <v>60.237000000000002</v>
      </c>
      <c r="D16" s="33">
        <v>68.159000000000006</v>
      </c>
      <c r="E16" s="33"/>
      <c r="F16" s="33"/>
      <c r="G16" s="33">
        <v>1260</v>
      </c>
      <c r="H16" s="199"/>
      <c r="I16" s="199"/>
      <c r="J16" s="199"/>
      <c r="K16" s="199"/>
      <c r="L16" s="199"/>
    </row>
    <row r="17" spans="1:12" x14ac:dyDescent="0.2">
      <c r="A17" s="227" t="s">
        <v>14</v>
      </c>
      <c r="B17" s="33">
        <v>376.14499999999998</v>
      </c>
      <c r="C17" s="295">
        <v>456.65200000000004</v>
      </c>
      <c r="D17" s="33">
        <v>421.54799999999994</v>
      </c>
      <c r="E17" s="33">
        <v>339</v>
      </c>
      <c r="F17" s="33">
        <v>313</v>
      </c>
      <c r="G17" s="33">
        <v>257</v>
      </c>
      <c r="H17" s="199"/>
      <c r="I17" s="199"/>
      <c r="J17" s="199"/>
      <c r="K17" s="199"/>
      <c r="L17" s="199"/>
    </row>
    <row r="18" spans="1:12" x14ac:dyDescent="0.2">
      <c r="A18" s="227" t="s">
        <v>15</v>
      </c>
      <c r="B18" s="33"/>
      <c r="C18" s="295">
        <v>441.72200000000004</v>
      </c>
      <c r="D18" s="33">
        <v>398.21899999999999</v>
      </c>
      <c r="E18" s="33">
        <v>198</v>
      </c>
      <c r="F18" s="33">
        <v>207</v>
      </c>
      <c r="G18" s="33">
        <v>200</v>
      </c>
      <c r="H18" s="199"/>
      <c r="I18" s="199"/>
      <c r="J18" s="199"/>
      <c r="K18" s="199"/>
      <c r="L18" s="199"/>
    </row>
    <row r="19" spans="1:12" x14ac:dyDescent="0.2">
      <c r="A19" s="227" t="s">
        <v>16</v>
      </c>
      <c r="B19" s="33">
        <v>506.30200000000002</v>
      </c>
      <c r="C19" s="295"/>
      <c r="D19" s="33"/>
      <c r="E19" s="33">
        <v>393</v>
      </c>
      <c r="F19" s="33"/>
      <c r="G19" s="33"/>
      <c r="H19" s="199"/>
      <c r="I19" s="199"/>
      <c r="J19" s="199"/>
      <c r="K19" s="199"/>
      <c r="L19" s="199"/>
    </row>
    <row r="20" spans="1:12" x14ac:dyDescent="0.2">
      <c r="A20" s="227" t="s">
        <v>17</v>
      </c>
      <c r="B20" s="33">
        <v>268.16500000000002</v>
      </c>
      <c r="C20" s="295"/>
      <c r="D20" s="33"/>
      <c r="E20" s="33">
        <v>269</v>
      </c>
      <c r="F20" s="33"/>
      <c r="G20" s="33"/>
      <c r="H20" s="199"/>
      <c r="I20" s="199"/>
      <c r="J20" s="199"/>
      <c r="K20" s="199"/>
      <c r="L20" s="199"/>
    </row>
    <row r="21" spans="1:12" x14ac:dyDescent="0.2">
      <c r="A21" s="227" t="s">
        <v>18</v>
      </c>
      <c r="B21" s="334">
        <v>216.75100000000003</v>
      </c>
      <c r="C21" s="295">
        <v>273.12299999999999</v>
      </c>
      <c r="D21" s="334">
        <v>571.65699999999993</v>
      </c>
      <c r="E21" s="334">
        <v>808</v>
      </c>
      <c r="F21" s="334">
        <v>1536</v>
      </c>
      <c r="G21" s="334">
        <v>2138</v>
      </c>
      <c r="H21" s="199"/>
      <c r="I21" s="199"/>
      <c r="J21" s="199"/>
      <c r="K21" s="199"/>
      <c r="L21" s="199"/>
    </row>
    <row r="22" spans="1:12" x14ac:dyDescent="0.2">
      <c r="A22" s="206" t="s">
        <v>294</v>
      </c>
      <c r="B22" s="225"/>
      <c r="C22" s="297"/>
      <c r="D22" s="225"/>
      <c r="E22" s="225"/>
      <c r="F22" s="225"/>
      <c r="G22" s="225"/>
      <c r="H22" s="199"/>
      <c r="I22" s="199"/>
      <c r="J22" s="199"/>
      <c r="K22" s="199"/>
      <c r="L22" s="199"/>
    </row>
    <row r="23" spans="1:12" s="196" customFormat="1" x14ac:dyDescent="0.2">
      <c r="A23" s="205" t="s">
        <v>19</v>
      </c>
      <c r="B23" s="223">
        <v>22664.076000000001</v>
      </c>
      <c r="C23" s="298">
        <v>28655.371999999996</v>
      </c>
      <c r="D23" s="223">
        <v>29739.614000000001</v>
      </c>
      <c r="E23" s="223">
        <v>34309</v>
      </c>
      <c r="F23" s="223">
        <v>52148</v>
      </c>
      <c r="G23" s="223">
        <v>62131</v>
      </c>
      <c r="H23" s="204"/>
      <c r="I23" s="199"/>
      <c r="J23" s="199"/>
      <c r="K23" s="199"/>
      <c r="L23" s="204"/>
    </row>
    <row r="24" spans="1:12" s="196" customFormat="1" x14ac:dyDescent="0.2">
      <c r="A24" s="205"/>
      <c r="B24" s="223"/>
      <c r="C24" s="298"/>
      <c r="D24" s="223"/>
      <c r="E24" s="223"/>
      <c r="F24" s="223"/>
      <c r="G24" s="223"/>
      <c r="H24" s="204"/>
      <c r="I24" s="199"/>
      <c r="J24" s="199"/>
      <c r="K24" s="199"/>
      <c r="L24" s="204"/>
    </row>
    <row r="25" spans="1:12" x14ac:dyDescent="0.2">
      <c r="A25" s="209" t="s">
        <v>21</v>
      </c>
      <c r="B25" s="33"/>
      <c r="C25" s="295"/>
      <c r="D25" s="33"/>
      <c r="E25" s="33"/>
      <c r="F25" s="33"/>
      <c r="G25" s="33"/>
      <c r="H25" s="199"/>
      <c r="I25" s="199"/>
      <c r="J25" s="199"/>
      <c r="K25" s="199"/>
      <c r="L25" s="199"/>
    </row>
    <row r="26" spans="1:12" x14ac:dyDescent="0.2">
      <c r="A26" s="227" t="s">
        <v>22</v>
      </c>
      <c r="B26" s="33">
        <v>1860.3409999999999</v>
      </c>
      <c r="C26" s="295">
        <v>2390.25</v>
      </c>
      <c r="D26" s="33">
        <v>3404.451</v>
      </c>
      <c r="E26" s="33">
        <v>3771</v>
      </c>
      <c r="F26" s="33">
        <v>6051</v>
      </c>
      <c r="G26" s="33">
        <v>10025</v>
      </c>
      <c r="H26" s="199">
        <f>income!H8/$H$63*2-G26</f>
        <v>18908.80610899047</v>
      </c>
      <c r="I26" s="199">
        <f>income!I8/$H$63*2-H26</f>
        <v>19042.838759503753</v>
      </c>
      <c r="J26" s="199">
        <f>income!J8/$H$63*2-I26</f>
        <v>27720.183912745724</v>
      </c>
      <c r="K26" s="199">
        <f>income!K8/$H$63*2-J26</f>
        <v>20632.092807660509</v>
      </c>
      <c r="L26" s="199">
        <f>income!L8/$H$63*2-K26</f>
        <v>40601.490852102143</v>
      </c>
    </row>
    <row r="27" spans="1:12" x14ac:dyDescent="0.2">
      <c r="A27" s="227" t="s">
        <v>23</v>
      </c>
      <c r="B27" s="33">
        <v>1210.028</v>
      </c>
      <c r="C27" s="295">
        <v>1731.366</v>
      </c>
      <c r="D27" s="33">
        <v>2094.2529999999997</v>
      </c>
      <c r="E27" s="33">
        <v>2905</v>
      </c>
      <c r="F27" s="33">
        <v>3855</v>
      </c>
      <c r="G27" s="33">
        <v>5719</v>
      </c>
      <c r="H27" s="199">
        <f>income!H8*$H$64</f>
        <v>10996.82264593211</v>
      </c>
      <c r="I27" s="199">
        <f>income!I8*$H$64</f>
        <v>14424.217338297225</v>
      </c>
      <c r="J27" s="199">
        <f>income!J8*$H$64</f>
        <v>17773.142765155979</v>
      </c>
      <c r="K27" s="199">
        <f>income!K8*$H$64</f>
        <v>18377.167857502161</v>
      </c>
      <c r="L27" s="199">
        <f>income!L8*$H$64</f>
        <v>23272.944352524079</v>
      </c>
    </row>
    <row r="28" spans="1:12" x14ac:dyDescent="0.2">
      <c r="A28" s="227" t="s">
        <v>24</v>
      </c>
      <c r="B28" s="33">
        <v>763.12599999999998</v>
      </c>
      <c r="C28" s="295">
        <v>1015.253</v>
      </c>
      <c r="D28" s="33">
        <v>630.29200000000003</v>
      </c>
      <c r="E28" s="33">
        <v>1163</v>
      </c>
      <c r="F28" s="33">
        <v>1458</v>
      </c>
      <c r="G28" s="33">
        <v>1447</v>
      </c>
      <c r="H28" s="199">
        <f>income!H8*$H$65</f>
        <v>3708.0128766024759</v>
      </c>
      <c r="I28" s="199">
        <f>income!I8*$H$65</f>
        <v>4863.6943003808256</v>
      </c>
      <c r="J28" s="199">
        <f>income!J8*$H$65</f>
        <v>5992.9167135628049</v>
      </c>
      <c r="K28" s="199">
        <f>income!K8*$H$65</f>
        <v>6196.5876185436327</v>
      </c>
      <c r="L28" s="199">
        <f>income!L8*$H$65</f>
        <v>7847.3919343906555</v>
      </c>
    </row>
    <row r="29" spans="1:12" x14ac:dyDescent="0.2">
      <c r="A29" s="227" t="s">
        <v>25</v>
      </c>
      <c r="B29" s="33">
        <v>179.50399999999999</v>
      </c>
      <c r="C29" s="295">
        <v>787.33299999999997</v>
      </c>
      <c r="D29" s="33">
        <v>502.84</v>
      </c>
      <c r="E29" s="33">
        <v>317</v>
      </c>
      <c r="F29" s="33"/>
      <c r="G29" s="33"/>
      <c r="H29" s="199"/>
      <c r="I29" s="199"/>
      <c r="J29" s="199"/>
      <c r="K29" s="199"/>
      <c r="L29" s="199"/>
    </row>
    <row r="30" spans="1:12" x14ac:dyDescent="0.2">
      <c r="A30" s="227" t="s">
        <v>26</v>
      </c>
      <c r="B30" s="33">
        <v>663.85900000000004</v>
      </c>
      <c r="C30" s="295">
        <v>853.9190000000001</v>
      </c>
      <c r="D30" s="33">
        <v>792.601</v>
      </c>
      <c r="E30" s="33">
        <v>726</v>
      </c>
      <c r="F30" s="33">
        <v>752</v>
      </c>
      <c r="G30" s="33">
        <v>925</v>
      </c>
      <c r="H30" s="199">
        <f>income!H8*$H$67</f>
        <v>2660.9213236322767</v>
      </c>
      <c r="I30" s="199">
        <f>income!I8*$H$67</f>
        <v>3490.2542968972452</v>
      </c>
      <c r="J30" s="199">
        <f>income!J8*$H$67</f>
        <v>4300.5999182189798</v>
      </c>
      <c r="K30" s="199">
        <f>income!K8*$H$67</f>
        <v>4446.756976487758</v>
      </c>
      <c r="L30" s="199">
        <f>income!L8*$H$67</f>
        <v>5631.3969848596753</v>
      </c>
    </row>
    <row r="31" spans="1:12" x14ac:dyDescent="0.2">
      <c r="A31" s="227" t="s">
        <v>27</v>
      </c>
      <c r="B31" s="33">
        <v>984.21100000000001</v>
      </c>
      <c r="C31" s="295">
        <v>796.54899999999998</v>
      </c>
      <c r="D31" s="33">
        <v>2567.6990000000001</v>
      </c>
      <c r="E31" s="33">
        <v>1785</v>
      </c>
      <c r="F31" s="33">
        <v>2132</v>
      </c>
      <c r="G31" s="33">
        <v>1589</v>
      </c>
      <c r="H31" s="199">
        <f>income!H8*$H$68</f>
        <v>7163.245367244328</v>
      </c>
      <c r="I31" s="199">
        <f>income!I8*$H$68</f>
        <v>9395.8238076071975</v>
      </c>
      <c r="J31" s="199">
        <f>income!J8*$H$68</f>
        <v>11577.287974265069</v>
      </c>
      <c r="K31" s="199">
        <f>income!K8*$H$68</f>
        <v>11970.745255859827</v>
      </c>
      <c r="L31" s="199">
        <f>income!L8*$H$68</f>
        <v>15159.816265384765</v>
      </c>
    </row>
    <row r="32" spans="1:12" x14ac:dyDescent="0.2">
      <c r="A32" s="344" t="s">
        <v>28</v>
      </c>
      <c r="B32" s="225">
        <v>165.93599999999998</v>
      </c>
      <c r="C32" s="297">
        <v>100</v>
      </c>
      <c r="D32" s="225"/>
      <c r="E32" s="225"/>
      <c r="F32" s="225"/>
      <c r="G32" s="225"/>
      <c r="H32" s="253"/>
      <c r="I32" s="253"/>
      <c r="J32" s="253"/>
      <c r="K32" s="253"/>
      <c r="L32" s="253"/>
    </row>
    <row r="33" spans="1:12" s="196" customFormat="1" x14ac:dyDescent="0.2">
      <c r="A33" s="205" t="s">
        <v>29</v>
      </c>
      <c r="B33" s="223">
        <v>5827.0050000000001</v>
      </c>
      <c r="C33" s="298">
        <v>7674.67</v>
      </c>
      <c r="D33" s="223">
        <v>9992.1360000000004</v>
      </c>
      <c r="E33" s="223">
        <v>10667</v>
      </c>
      <c r="F33" s="223">
        <v>14248</v>
      </c>
      <c r="G33" s="223">
        <v>19705</v>
      </c>
      <c r="H33" s="204">
        <f>SUM(H26:H32)</f>
        <v>43437.808322401666</v>
      </c>
      <c r="I33" s="204">
        <f t="shared" ref="I33:L33" si="1">SUM(I26:I32)</f>
        <v>51216.828502686243</v>
      </c>
      <c r="J33" s="204">
        <f t="shared" si="1"/>
        <v>67364.131283948547</v>
      </c>
      <c r="K33" s="204">
        <f t="shared" si="1"/>
        <v>61623.350516053892</v>
      </c>
      <c r="L33" s="204">
        <f t="shared" si="1"/>
        <v>92513.040389261325</v>
      </c>
    </row>
    <row r="34" spans="1:12" s="196" customFormat="1" x14ac:dyDescent="0.2">
      <c r="A34" s="209" t="s">
        <v>325</v>
      </c>
      <c r="B34" s="347">
        <f>SUM(balance!B6:B8)-SUM(balance!B26:B30)</f>
        <v>-1915.797</v>
      </c>
      <c r="C34" s="298">
        <f>SUM(balance!C6:C8)-SUM(balance!C26:C30)</f>
        <v>-3730.8379999999997</v>
      </c>
      <c r="D34" s="223">
        <f>SUM(balance!D6:D8)-SUM(balance!D26:D30)</f>
        <v>-2996.2979999999998</v>
      </c>
      <c r="E34" s="223">
        <f>SUM(balance!E6:E8)-SUM(balance!E26:E30)</f>
        <v>-3293</v>
      </c>
      <c r="F34" s="223">
        <f>SUM(balance!F6:F8)-SUM(balance!F26:F30)</f>
        <v>-4783</v>
      </c>
      <c r="G34" s="223">
        <f>SUM(balance!G6:G8)-SUM(balance!G26:G30)</f>
        <v>-8723</v>
      </c>
      <c r="H34" s="223">
        <f>SUM(balance!H6:H8)-SUM(balance!H26:H30)</f>
        <v>23260.207695929057</v>
      </c>
      <c r="I34" s="223">
        <f>SUM(balance!I6:I8)-SUM(balance!I26:I30)</f>
        <v>16979.884952195418</v>
      </c>
      <c r="J34" s="223">
        <f>SUM(balance!J6:J8)-SUM(balance!J26:J30)</f>
        <v>33622.00857538946</v>
      </c>
      <c r="K34" s="223">
        <f>SUM(balance!K6:K8)-SUM(balance!K26:K30)</f>
        <v>22032.09442348413</v>
      </c>
      <c r="L34" s="223">
        <f>SUM(balance!L6:L8)-SUM(balance!L26:L30)</f>
        <v>43633.120442139989</v>
      </c>
    </row>
    <row r="35" spans="1:12" s="196" customFormat="1" x14ac:dyDescent="0.2">
      <c r="A35" s="205"/>
      <c r="B35" s="223"/>
      <c r="C35" s="298"/>
      <c r="D35" s="223"/>
      <c r="E35" s="223"/>
      <c r="F35" s="223"/>
      <c r="G35" s="223"/>
      <c r="H35" s="204"/>
      <c r="I35" s="204"/>
      <c r="J35" s="204"/>
      <c r="K35" s="204"/>
      <c r="L35" s="204"/>
    </row>
    <row r="36" spans="1:12" s="196" customFormat="1" x14ac:dyDescent="0.2">
      <c r="A36" s="209" t="s">
        <v>319</v>
      </c>
      <c r="B36" s="223"/>
      <c r="C36" s="298"/>
      <c r="D36" s="223"/>
      <c r="E36" s="223"/>
      <c r="F36" s="223"/>
      <c r="G36" s="223"/>
      <c r="H36" s="204"/>
      <c r="I36" s="204"/>
      <c r="J36" s="204"/>
      <c r="K36" s="204"/>
      <c r="L36" s="204"/>
    </row>
    <row r="37" spans="1:12" x14ac:dyDescent="0.2">
      <c r="A37" s="227" t="s">
        <v>30</v>
      </c>
      <c r="B37" s="33">
        <v>5860.049</v>
      </c>
      <c r="C37" s="295">
        <v>9418.3189999999995</v>
      </c>
      <c r="D37" s="33">
        <v>9403.6720000000005</v>
      </c>
      <c r="E37" s="33">
        <v>11634</v>
      </c>
      <c r="F37" s="33">
        <v>9556</v>
      </c>
      <c r="G37" s="33">
        <v>5245</v>
      </c>
      <c r="H37" s="199"/>
      <c r="I37" s="199"/>
      <c r="J37" s="199"/>
      <c r="K37" s="199"/>
      <c r="L37" s="199"/>
    </row>
    <row r="38" spans="1:12" x14ac:dyDescent="0.2">
      <c r="A38" s="227" t="s">
        <v>31</v>
      </c>
      <c r="B38" s="33">
        <v>99.164000000000001</v>
      </c>
      <c r="C38" s="295"/>
      <c r="D38" s="33"/>
      <c r="E38" s="33"/>
      <c r="F38" s="33"/>
      <c r="G38" s="33"/>
      <c r="H38" s="199"/>
      <c r="I38" s="199"/>
      <c r="J38" s="199"/>
      <c r="K38" s="199"/>
      <c r="L38" s="199"/>
    </row>
    <row r="39" spans="1:12" x14ac:dyDescent="0.2">
      <c r="A39" s="227" t="s">
        <v>32</v>
      </c>
      <c r="B39" s="33">
        <v>10.287000000000001</v>
      </c>
      <c r="C39" s="295"/>
      <c r="D39" s="33"/>
      <c r="E39" s="33"/>
      <c r="F39" s="33"/>
      <c r="G39" s="33"/>
      <c r="H39" s="199"/>
      <c r="I39" s="199"/>
      <c r="J39" s="199"/>
      <c r="K39" s="199"/>
      <c r="L39" s="199"/>
    </row>
    <row r="40" spans="1:12" x14ac:dyDescent="0.2">
      <c r="A40" s="227" t="s">
        <v>33</v>
      </c>
      <c r="B40" s="33">
        <v>851.79</v>
      </c>
      <c r="C40" s="295">
        <v>1177.799</v>
      </c>
      <c r="D40" s="33">
        <v>990.87299999999993</v>
      </c>
      <c r="E40" s="33">
        <v>1207</v>
      </c>
      <c r="F40" s="33">
        <v>1284</v>
      </c>
      <c r="G40" s="33">
        <v>2052</v>
      </c>
      <c r="H40" s="199"/>
      <c r="I40" s="199"/>
      <c r="J40" s="199"/>
      <c r="K40" s="199"/>
      <c r="L40" s="199"/>
    </row>
    <row r="41" spans="1:12" x14ac:dyDescent="0.2">
      <c r="A41" s="227" t="s">
        <v>34</v>
      </c>
      <c r="B41" s="33">
        <v>2210.4229999999998</v>
      </c>
      <c r="C41" s="295">
        <v>2309.2220000000002</v>
      </c>
      <c r="D41" s="33">
        <v>328.92600000000004</v>
      </c>
      <c r="E41" s="33">
        <v>36</v>
      </c>
      <c r="F41" s="33"/>
      <c r="G41" s="33"/>
      <c r="H41" s="199"/>
      <c r="I41" s="199"/>
      <c r="J41" s="199"/>
      <c r="K41" s="199"/>
      <c r="L41" s="199"/>
    </row>
    <row r="42" spans="1:12" x14ac:dyDescent="0.2">
      <c r="A42" s="227" t="s">
        <v>35</v>
      </c>
      <c r="B42" s="225">
        <v>1891.4490000000001</v>
      </c>
      <c r="C42" s="297">
        <v>2442.9700000000003</v>
      </c>
      <c r="D42" s="225">
        <v>2710.4029999999998</v>
      </c>
      <c r="E42" s="225">
        <v>2655</v>
      </c>
      <c r="F42" s="225">
        <v>3330</v>
      </c>
      <c r="G42" s="225">
        <v>3546</v>
      </c>
      <c r="H42" s="199"/>
      <c r="I42" s="199"/>
      <c r="J42" s="199"/>
      <c r="K42" s="199"/>
      <c r="L42" s="199"/>
    </row>
    <row r="43" spans="1:12" s="196" customFormat="1" x14ac:dyDescent="0.2">
      <c r="A43" s="205" t="s">
        <v>36</v>
      </c>
      <c r="B43" s="223">
        <v>16750.167000000001</v>
      </c>
      <c r="C43" s="298">
        <v>23022.98</v>
      </c>
      <c r="D43" s="223">
        <v>23426.010000000002</v>
      </c>
      <c r="E43" s="223">
        <v>26199</v>
      </c>
      <c r="F43" s="223">
        <v>28418</v>
      </c>
      <c r="G43" s="223">
        <v>30548</v>
      </c>
      <c r="H43" s="204"/>
      <c r="I43" s="199"/>
      <c r="J43" s="199"/>
      <c r="K43" s="199"/>
      <c r="L43" s="204"/>
    </row>
    <row r="44" spans="1:12" s="196" customFormat="1" x14ac:dyDescent="0.2">
      <c r="A44" s="205"/>
      <c r="B44" s="223"/>
      <c r="C44" s="298"/>
      <c r="D44" s="223"/>
      <c r="E44" s="223"/>
      <c r="F44" s="223"/>
      <c r="G44" s="223"/>
      <c r="H44" s="204"/>
      <c r="I44" s="199"/>
      <c r="J44" s="199"/>
      <c r="K44" s="199"/>
      <c r="L44" s="204"/>
    </row>
    <row r="45" spans="1:12" s="196" customFormat="1" x14ac:dyDescent="0.2">
      <c r="A45" s="333" t="s">
        <v>320</v>
      </c>
      <c r="B45" s="223"/>
      <c r="C45" s="298"/>
      <c r="D45" s="223"/>
      <c r="E45" s="223"/>
      <c r="F45" s="223"/>
      <c r="G45" s="223"/>
      <c r="H45" s="204"/>
      <c r="I45" s="199"/>
      <c r="J45" s="199"/>
      <c r="K45" s="199"/>
      <c r="L45" s="204"/>
    </row>
    <row r="46" spans="1:12" x14ac:dyDescent="0.2">
      <c r="A46" s="227" t="s">
        <v>204</v>
      </c>
      <c r="B46" s="33">
        <v>0.161</v>
      </c>
      <c r="C46" s="295">
        <v>0.16899999999999998</v>
      </c>
      <c r="D46" s="33">
        <v>0.17299999999999999</v>
      </c>
      <c r="E46" s="33"/>
      <c r="F46" s="33">
        <v>1</v>
      </c>
      <c r="G46" s="33">
        <v>1</v>
      </c>
      <c r="H46" s="199"/>
      <c r="I46" s="199"/>
      <c r="J46" s="199"/>
      <c r="K46" s="199"/>
      <c r="L46" s="199"/>
    </row>
    <row r="47" spans="1:12" x14ac:dyDescent="0.2">
      <c r="A47" s="227" t="s">
        <v>39</v>
      </c>
      <c r="B47" s="195">
        <v>-7773.7270000000008</v>
      </c>
      <c r="C47" s="262">
        <v>9178.0240000000013</v>
      </c>
      <c r="D47" s="195">
        <v>10249.119999999999</v>
      </c>
      <c r="E47" s="195">
        <v>12737</v>
      </c>
      <c r="F47" s="195">
        <v>27260</v>
      </c>
      <c r="G47" s="195">
        <v>29803</v>
      </c>
      <c r="H47" s="199"/>
      <c r="I47" s="199"/>
      <c r="J47" s="199"/>
      <c r="K47" s="199"/>
      <c r="L47" s="199"/>
    </row>
    <row r="48" spans="1:12" x14ac:dyDescent="0.2">
      <c r="A48" s="227" t="s">
        <v>40</v>
      </c>
      <c r="B48" s="195">
        <v>-23.740000000000002</v>
      </c>
      <c r="C48" s="262">
        <v>33.347999999999999</v>
      </c>
      <c r="D48" s="195">
        <v>-8.218</v>
      </c>
      <c r="E48" s="195">
        <v>-36</v>
      </c>
      <c r="F48" s="195">
        <v>363</v>
      </c>
      <c r="G48" s="195">
        <v>54</v>
      </c>
      <c r="H48" s="199"/>
      <c r="I48" s="199"/>
      <c r="J48" s="199"/>
      <c r="K48" s="199"/>
      <c r="L48" s="199"/>
    </row>
    <row r="49" spans="1:13" x14ac:dyDescent="0.2">
      <c r="A49" s="227" t="s">
        <v>41</v>
      </c>
      <c r="B49" s="208">
        <v>-2997.2370000000001</v>
      </c>
      <c r="C49" s="263">
        <v>-4974.299</v>
      </c>
      <c r="D49" s="208">
        <v>-5317.8320000000003</v>
      </c>
      <c r="E49" s="208">
        <v>-6083</v>
      </c>
      <c r="F49" s="208">
        <v>-5399</v>
      </c>
      <c r="G49" s="208">
        <v>331</v>
      </c>
      <c r="H49" s="199"/>
      <c r="I49" s="199"/>
      <c r="J49" s="199"/>
      <c r="K49" s="199"/>
      <c r="L49" s="199"/>
    </row>
    <row r="50" spans="1:13" x14ac:dyDescent="0.2">
      <c r="A50" s="205" t="s">
        <v>42</v>
      </c>
      <c r="B50" s="207">
        <v>4752.9110000000001</v>
      </c>
      <c r="C50" s="264">
        <v>4237.2420000000002</v>
      </c>
      <c r="D50" s="207">
        <v>4923.2430000000004</v>
      </c>
      <c r="E50" s="207">
        <v>6618</v>
      </c>
      <c r="F50" s="207">
        <v>22225</v>
      </c>
      <c r="G50" s="207">
        <v>30189</v>
      </c>
      <c r="H50" s="199"/>
      <c r="I50" s="199"/>
      <c r="J50" s="199"/>
      <c r="K50" s="199"/>
      <c r="L50" s="199"/>
    </row>
    <row r="51" spans="1:13" x14ac:dyDescent="0.2">
      <c r="A51" s="205" t="s">
        <v>43</v>
      </c>
      <c r="B51" s="207">
        <v>22664.076000000001</v>
      </c>
      <c r="C51" s="264">
        <v>28655.371999999996</v>
      </c>
      <c r="D51" s="207">
        <v>29739.614000000001</v>
      </c>
      <c r="E51" s="207">
        <v>34309</v>
      </c>
      <c r="F51" s="207">
        <v>52148</v>
      </c>
      <c r="G51" s="207">
        <v>62131</v>
      </c>
      <c r="H51" s="199"/>
      <c r="I51" s="199"/>
      <c r="J51" s="199"/>
      <c r="K51" s="199"/>
      <c r="L51" s="199"/>
    </row>
    <row r="54" spans="1:13" x14ac:dyDescent="0.2">
      <c r="A54" s="235"/>
      <c r="B54" s="286"/>
      <c r="C54" s="287"/>
      <c r="D54" s="314"/>
      <c r="E54" s="314"/>
      <c r="F54" s="314"/>
      <c r="G54" s="314"/>
      <c r="H54" s="314"/>
      <c r="I54" s="314"/>
      <c r="J54" s="314"/>
      <c r="K54" s="256"/>
      <c r="L54" s="256"/>
      <c r="M54" s="242"/>
    </row>
    <row r="55" spans="1:13" s="206" customFormat="1" x14ac:dyDescent="0.2">
      <c r="A55" s="300" t="s">
        <v>1</v>
      </c>
      <c r="B55" s="300" t="s">
        <v>1</v>
      </c>
      <c r="C55" s="300" t="s">
        <v>1</v>
      </c>
      <c r="D55" s="314"/>
      <c r="E55" s="314"/>
      <c r="F55" s="314"/>
      <c r="G55" s="314"/>
      <c r="H55" s="340" t="s">
        <v>300</v>
      </c>
      <c r="I55" s="314"/>
      <c r="J55" s="314"/>
      <c r="K55" s="300"/>
      <c r="L55" s="300"/>
      <c r="M55" s="300"/>
    </row>
    <row r="56" spans="1:13" s="227" customFormat="1" x14ac:dyDescent="0.2">
      <c r="A56" s="315" t="s">
        <v>295</v>
      </c>
      <c r="B56" s="315" t="s">
        <v>2</v>
      </c>
      <c r="C56" s="315" t="s">
        <v>2</v>
      </c>
      <c r="D56" s="306">
        <f>D3/income!D8</f>
        <v>0.17173346887052526</v>
      </c>
      <c r="E56" s="306">
        <f>E3/income!E8</f>
        <v>0.25502481894377083</v>
      </c>
      <c r="F56" s="306">
        <f>F3/income!F8</f>
        <v>0.61466260781329274</v>
      </c>
      <c r="G56" s="306">
        <f>G3/income!G8</f>
        <v>0.32655184586515057</v>
      </c>
      <c r="H56" s="338">
        <f>AVERAGE(D56:G56)</f>
        <v>0.34199318537318485</v>
      </c>
      <c r="I56" s="255"/>
      <c r="J56" s="255"/>
      <c r="K56" s="255"/>
      <c r="L56" s="315"/>
      <c r="M56" s="315"/>
    </row>
    <row r="57" spans="1:13" s="227" customFormat="1" x14ac:dyDescent="0.2">
      <c r="A57" s="315" t="s">
        <v>296</v>
      </c>
      <c r="B57" s="315" t="s">
        <v>4</v>
      </c>
      <c r="C57" s="315" t="s">
        <v>4</v>
      </c>
      <c r="D57" s="306">
        <f>D5/income!D$8</f>
        <v>8.9720234610555158E-3</v>
      </c>
      <c r="E57" s="306"/>
      <c r="F57" s="306"/>
      <c r="G57" s="306">
        <f>G5/income!G10</f>
        <v>0.13394683026584867</v>
      </c>
      <c r="H57" s="338">
        <f>AVERAGE(D57:G57)</f>
        <v>7.1459426863452094E-2</v>
      </c>
      <c r="I57" s="255"/>
      <c r="J57" s="255"/>
      <c r="K57" s="255"/>
      <c r="L57" s="315"/>
      <c r="M57" s="315"/>
    </row>
    <row r="58" spans="1:13" s="227" customFormat="1" x14ac:dyDescent="0.2">
      <c r="A58" s="315" t="s">
        <v>297</v>
      </c>
      <c r="B58" s="315" t="s">
        <v>5</v>
      </c>
      <c r="C58" s="315" t="s">
        <v>5</v>
      </c>
      <c r="D58" s="335">
        <f>income!D8/((C6+D6)/2)</f>
        <v>29.310603706766511</v>
      </c>
      <c r="E58" s="335">
        <f>income!E8/((D6+E6)/2)</f>
        <v>21.625835561644365</v>
      </c>
      <c r="F58" s="335">
        <f>income!F8/((E6+F6)/2)</f>
        <v>19.648598130841123</v>
      </c>
      <c r="G58" s="335">
        <f>income!G8/((F6+G6)/2)</f>
        <v>28.335351408265332</v>
      </c>
      <c r="H58" s="342">
        <f>AVERAGE(D58:G58)</f>
        <v>24.730097201879332</v>
      </c>
      <c r="I58" s="336"/>
      <c r="J58" s="336"/>
      <c r="K58" s="336"/>
      <c r="L58" s="337"/>
      <c r="M58" s="315"/>
    </row>
    <row r="59" spans="1:13" s="227" customFormat="1" x14ac:dyDescent="0.2">
      <c r="A59" s="315" t="s">
        <v>298</v>
      </c>
      <c r="B59" s="315" t="s">
        <v>6</v>
      </c>
      <c r="C59" s="315" t="s">
        <v>6</v>
      </c>
      <c r="D59" s="335">
        <f>income!D14/((C7+D7)/2)</f>
        <v>6.4791899100294712</v>
      </c>
      <c r="E59" s="335">
        <f>income!E14/((D7+E7)/2)</f>
        <v>6.1538267656807966</v>
      </c>
      <c r="F59" s="335">
        <f>income!F14/((E7+F7)/2)</f>
        <v>6.5088200705605646</v>
      </c>
      <c r="G59" s="335">
        <f>income!G14/((F7+G7)/2)</f>
        <v>8.1592615134915807</v>
      </c>
      <c r="H59" s="342">
        <f t="shared" ref="H58:H60" si="2">AVERAGE(D59:G59)</f>
        <v>6.825274564940603</v>
      </c>
      <c r="I59" s="336"/>
      <c r="J59" s="336"/>
      <c r="K59" s="336"/>
      <c r="L59" s="337"/>
      <c r="M59" s="315"/>
    </row>
    <row r="60" spans="1:13" s="227" customFormat="1" x14ac:dyDescent="0.2">
      <c r="A60" s="315" t="s">
        <v>301</v>
      </c>
      <c r="B60" s="315" t="s">
        <v>7</v>
      </c>
      <c r="C60" s="315" t="s">
        <v>7</v>
      </c>
      <c r="D60" s="306">
        <f>D8/income!D$8</f>
        <v>1.7038648415368559E-2</v>
      </c>
      <c r="E60" s="306">
        <f>E8/income!E13</f>
        <v>0.25740072202166064</v>
      </c>
      <c r="F60" s="306">
        <f>F8/income!F13</f>
        <v>0.50393111194309248</v>
      </c>
      <c r="G60" s="306">
        <f>G8/income!G13</f>
        <v>0.44111623143881207</v>
      </c>
      <c r="H60" s="338">
        <f t="shared" si="2"/>
        <v>0.3048716784547334</v>
      </c>
      <c r="I60" s="255"/>
      <c r="J60" s="255"/>
      <c r="K60" s="255"/>
      <c r="L60" s="315"/>
      <c r="M60" s="315"/>
    </row>
    <row r="61" spans="1:13" x14ac:dyDescent="0.2">
      <c r="A61" s="237"/>
      <c r="B61" s="286"/>
      <c r="C61" s="287"/>
      <c r="D61" s="222"/>
      <c r="E61" s="222"/>
      <c r="F61" s="222"/>
      <c r="G61" s="222"/>
      <c r="H61" s="255"/>
      <c r="I61" s="256"/>
      <c r="J61" s="256"/>
      <c r="K61" s="256"/>
      <c r="L61" s="256"/>
      <c r="M61" s="242"/>
    </row>
    <row r="62" spans="1:13" x14ac:dyDescent="0.2">
      <c r="A62" s="300" t="s">
        <v>21</v>
      </c>
      <c r="B62" s="286"/>
      <c r="C62" s="287"/>
      <c r="D62" s="222"/>
      <c r="E62" s="222"/>
      <c r="F62" s="222"/>
      <c r="G62" s="222"/>
      <c r="H62" s="255"/>
      <c r="I62" s="256"/>
      <c r="J62" s="256"/>
      <c r="K62" s="256"/>
      <c r="L62" s="256"/>
      <c r="M62" s="242"/>
    </row>
    <row r="63" spans="1:13" x14ac:dyDescent="0.2">
      <c r="A63" s="315" t="s">
        <v>304</v>
      </c>
      <c r="B63" s="314">
        <v>1860.3409999999999</v>
      </c>
      <c r="C63" s="316">
        <v>2390.25</v>
      </c>
      <c r="D63" s="335">
        <f>income!D8/((C26+D26)/2)</f>
        <v>7.4072046167697003</v>
      </c>
      <c r="E63" s="335">
        <f>income!E8/((D26+E26)/2)</f>
        <v>6.8505798450856954</v>
      </c>
      <c r="F63" s="335">
        <f>income!F8/((E26+F26)/2)</f>
        <v>6.4215027489309717</v>
      </c>
      <c r="G63" s="335">
        <f>income!G8/((F26+G26)/2)</f>
        <v>6.696068673799453</v>
      </c>
      <c r="H63" s="342">
        <f>AVERAGE(D63:G63)</f>
        <v>6.8438389711464547</v>
      </c>
      <c r="I63" s="317"/>
      <c r="J63" s="317"/>
      <c r="K63" s="317"/>
      <c r="L63" s="242"/>
      <c r="M63" s="242"/>
    </row>
    <row r="64" spans="1:13" x14ac:dyDescent="0.2">
      <c r="A64" s="315" t="s">
        <v>317</v>
      </c>
      <c r="B64" s="314">
        <v>1210.028</v>
      </c>
      <c r="C64" s="316">
        <v>1731.366</v>
      </c>
      <c r="D64" s="306">
        <f>D27/income!D8</f>
        <v>9.7582910758115496E-2</v>
      </c>
      <c r="E64" s="306">
        <f>E27/income!E8</f>
        <v>0.11819513385954919</v>
      </c>
      <c r="F64" s="306">
        <f>F27/income!F8</f>
        <v>0.12224124809741248</v>
      </c>
      <c r="G64" s="306">
        <f>G27/income!G8</f>
        <v>0.10625568994667707</v>
      </c>
      <c r="H64" s="338">
        <f>AVERAGE(D64:G64)</f>
        <v>0.11106874566543856</v>
      </c>
      <c r="I64" s="317"/>
      <c r="J64" s="317"/>
      <c r="K64" s="317"/>
      <c r="L64" s="242"/>
      <c r="M64" s="242"/>
    </row>
    <row r="65" spans="1:13" x14ac:dyDescent="0.2">
      <c r="A65" s="315" t="s">
        <v>302</v>
      </c>
      <c r="B65" s="314">
        <v>763.12599999999998</v>
      </c>
      <c r="C65" s="316">
        <v>1015.253</v>
      </c>
      <c r="D65" s="306">
        <f>D28/income!D8</f>
        <v>2.9368814554666577E-2</v>
      </c>
      <c r="E65" s="306">
        <f>E28/income!E8</f>
        <v>4.7318740336886649E-2</v>
      </c>
      <c r="F65" s="306">
        <f>F28/income!F8</f>
        <v>4.6232876712328765E-2</v>
      </c>
      <c r="G65" s="306">
        <f>G28/income!G8</f>
        <v>2.6884417442357356E-2</v>
      </c>
      <c r="H65" s="338">
        <f>AVERAGE(D65:G65)</f>
        <v>3.7451212261559841E-2</v>
      </c>
      <c r="I65" s="317"/>
      <c r="J65" s="317"/>
      <c r="K65" s="317"/>
      <c r="L65" s="242"/>
      <c r="M65" s="242"/>
    </row>
    <row r="66" spans="1:13" x14ac:dyDescent="0.2">
      <c r="A66" s="315" t="s">
        <v>318</v>
      </c>
      <c r="B66" s="314">
        <v>179.50399999999999</v>
      </c>
      <c r="C66" s="316">
        <v>787.33299999999997</v>
      </c>
      <c r="D66" s="306">
        <f>D29/income!D8</f>
        <v>2.3430116058380145E-2</v>
      </c>
      <c r="E66" s="306">
        <f>E29/income!E8</f>
        <v>1.2897713402229637E-2</v>
      </c>
      <c r="F66" s="306"/>
      <c r="G66" s="306"/>
      <c r="H66" s="338">
        <f>AVERAGE(D66:G66)</f>
        <v>1.8163914730304889E-2</v>
      </c>
      <c r="I66" s="317"/>
      <c r="J66" s="317"/>
      <c r="K66" s="317"/>
      <c r="L66" s="242"/>
      <c r="M66" s="242"/>
    </row>
    <row r="67" spans="1:13" x14ac:dyDescent="0.2">
      <c r="A67" s="315" t="s">
        <v>303</v>
      </c>
      <c r="B67" s="314">
        <v>663.85900000000004</v>
      </c>
      <c r="C67" s="316">
        <v>853.9190000000001</v>
      </c>
      <c r="D67" s="306">
        <f>D30/income!D8</f>
        <v>3.6931694809458605E-2</v>
      </c>
      <c r="E67" s="306">
        <f>E30/income!E8</f>
        <v>2.9538611766620555E-2</v>
      </c>
      <c r="F67" s="306">
        <f>F30/income!F8</f>
        <v>2.3845763571790968E-2</v>
      </c>
      <c r="G67" s="306">
        <f>G30/income!G8</f>
        <v>1.7185961391969977E-2</v>
      </c>
      <c r="H67" s="338">
        <f>AVERAGE(D67:G67)</f>
        <v>2.6875507884960029E-2</v>
      </c>
      <c r="I67" s="317"/>
      <c r="J67" s="317"/>
      <c r="K67" s="317"/>
      <c r="L67" s="242"/>
      <c r="M67" s="242"/>
    </row>
    <row r="68" spans="1:13" x14ac:dyDescent="0.2">
      <c r="A68" s="315" t="s">
        <v>27</v>
      </c>
      <c r="B68" s="314">
        <v>984.21100000000001</v>
      </c>
      <c r="C68" s="316">
        <v>796.54899999999998</v>
      </c>
      <c r="D68" s="306">
        <f>D31/income!D8</f>
        <v>0.11964339665298435</v>
      </c>
      <c r="E68" s="306">
        <f>E31/income!E8</f>
        <v>7.2625925624542273E-2</v>
      </c>
      <c r="F68" s="306">
        <f>F31/income!F8</f>
        <v>6.7605276509386095E-2</v>
      </c>
      <c r="G68" s="306">
        <f>G31/income!G8</f>
        <v>2.9522694758746262E-2</v>
      </c>
      <c r="H68" s="338">
        <f>AVERAGE(D68:G68)</f>
        <v>7.2349323386414741E-2</v>
      </c>
      <c r="I68" s="317"/>
      <c r="J68" s="317"/>
      <c r="K68" s="317"/>
      <c r="L68" s="242"/>
      <c r="M68" s="242"/>
    </row>
    <row r="69" spans="1:13" x14ac:dyDescent="0.2">
      <c r="A69" s="315"/>
      <c r="B69" s="314"/>
      <c r="C69" s="316"/>
      <c r="D69" s="314"/>
      <c r="E69" s="314"/>
      <c r="F69" s="314"/>
      <c r="G69" s="314"/>
      <c r="H69" s="242"/>
      <c r="I69" s="317"/>
      <c r="J69" s="317"/>
      <c r="K69" s="317"/>
      <c r="L69" s="242"/>
      <c r="M69" s="242"/>
    </row>
    <row r="70" spans="1:13" x14ac:dyDescent="0.2">
      <c r="A70" s="300"/>
      <c r="B70" s="242"/>
      <c r="C70" s="299"/>
      <c r="D70" s="242"/>
      <c r="E70" s="242"/>
      <c r="F70" s="242"/>
      <c r="G70" s="242"/>
      <c r="H70" s="242"/>
      <c r="I70" s="242"/>
      <c r="J70" s="242"/>
      <c r="K70" s="242"/>
      <c r="L70" s="242"/>
      <c r="M70" s="242"/>
    </row>
    <row r="71" spans="1:13" x14ac:dyDescent="0.2">
      <c r="A71" s="300"/>
      <c r="B71" s="242"/>
      <c r="C71" s="299"/>
      <c r="D71" s="242"/>
      <c r="E71" s="242"/>
      <c r="F71" s="242"/>
      <c r="G71" s="242"/>
      <c r="H71" s="242"/>
      <c r="I71" s="242"/>
      <c r="J71" s="242"/>
      <c r="K71" s="242"/>
      <c r="L71" s="242"/>
      <c r="M71" s="242"/>
    </row>
    <row r="72" spans="1:13" x14ac:dyDescent="0.2">
      <c r="A72" s="236"/>
      <c r="B72" s="286"/>
      <c r="C72" s="287"/>
      <c r="D72" s="222"/>
      <c r="E72" s="222"/>
      <c r="F72" s="222"/>
      <c r="G72" s="222"/>
      <c r="H72" s="255"/>
      <c r="I72" s="255"/>
      <c r="J72" s="255"/>
      <c r="K72" s="255"/>
      <c r="L72" s="255"/>
      <c r="M72" s="242"/>
    </row>
  </sheetData>
  <pageMargins left="0.7" right="0.7" top="0.75" bottom="0.75" header="0.3" footer="0.3"/>
  <pageSetup orientation="portrait" horizontalDpi="0" verticalDpi="0"/>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E01ED-67E6-FA48-A901-380656C9A536}">
  <dimension ref="A1:P92"/>
  <sheetViews>
    <sheetView zoomScale="130" zoomScaleNormal="130" workbookViewId="0">
      <selection activeCell="J46" sqref="J46"/>
    </sheetView>
  </sheetViews>
  <sheetFormatPr baseColWidth="10" defaultColWidth="8.83203125" defaultRowHeight="15" x14ac:dyDescent="0.2"/>
  <cols>
    <col min="1" max="1" width="65" style="206" customWidth="1"/>
    <col min="2" max="2" width="10.6640625" style="277" hidden="1" customWidth="1"/>
    <col min="3" max="3" width="10.6640625" style="272" hidden="1" customWidth="1"/>
    <col min="4" max="7" width="10.6640625" style="195" customWidth="1"/>
    <col min="8" max="12" width="10.6640625" style="7" customWidth="1"/>
    <col min="13" max="17" width="8.83203125" style="7"/>
    <col min="18" max="18" width="8.5" style="7" customWidth="1"/>
    <col min="19" max="16384" width="8.83203125" style="7"/>
  </cols>
  <sheetData>
    <row r="1" spans="1:13" x14ac:dyDescent="0.2">
      <c r="A1" s="213" t="s">
        <v>250</v>
      </c>
      <c r="B1" s="269">
        <v>2016</v>
      </c>
      <c r="C1" s="270">
        <v>2017</v>
      </c>
      <c r="D1" s="250">
        <v>2018</v>
      </c>
      <c r="E1" s="250">
        <v>2019</v>
      </c>
      <c r="F1" s="250">
        <v>2020</v>
      </c>
      <c r="G1" s="250">
        <v>2021</v>
      </c>
      <c r="H1" s="251">
        <v>2022</v>
      </c>
      <c r="I1" s="251">
        <v>2023</v>
      </c>
      <c r="J1" s="251">
        <v>2024</v>
      </c>
      <c r="K1" s="251">
        <v>2025</v>
      </c>
      <c r="L1" s="251">
        <v>2025</v>
      </c>
    </row>
    <row r="2" spans="1:13" x14ac:dyDescent="0.2">
      <c r="A2" s="206" t="s">
        <v>100</v>
      </c>
      <c r="H2" s="199"/>
      <c r="I2" s="199"/>
      <c r="J2" s="199"/>
      <c r="K2" s="199"/>
      <c r="L2" s="199"/>
    </row>
    <row r="3" spans="1:13" x14ac:dyDescent="0.2">
      <c r="A3" s="239" t="s">
        <v>99</v>
      </c>
      <c r="B3" s="277">
        <v>-773.04600000000005</v>
      </c>
      <c r="C3" s="272">
        <v>-2240.578</v>
      </c>
      <c r="D3" s="195">
        <v>-1062.5819999999999</v>
      </c>
      <c r="E3" s="195">
        <v>-775</v>
      </c>
      <c r="F3" s="195">
        <v>862</v>
      </c>
      <c r="G3" s="195">
        <v>5644</v>
      </c>
      <c r="H3" s="199"/>
      <c r="I3" s="199"/>
      <c r="J3" s="199"/>
      <c r="K3" s="199"/>
      <c r="L3" s="199"/>
    </row>
    <row r="4" spans="1:13" x14ac:dyDescent="0.2">
      <c r="A4" s="239" t="s">
        <v>98</v>
      </c>
      <c r="H4" s="199"/>
      <c r="I4" s="199"/>
      <c r="J4" s="199"/>
      <c r="K4" s="199"/>
      <c r="L4" s="199"/>
    </row>
    <row r="5" spans="1:13" x14ac:dyDescent="0.2">
      <c r="A5" s="240" t="s">
        <v>97</v>
      </c>
      <c r="B5" s="277">
        <v>947.09899999999993</v>
      </c>
      <c r="C5" s="272">
        <v>1636.0030000000002</v>
      </c>
      <c r="D5" s="195">
        <v>1901.05</v>
      </c>
      <c r="E5" s="195">
        <v>2154</v>
      </c>
      <c r="F5" s="195">
        <v>2322</v>
      </c>
      <c r="G5" s="195">
        <v>2911</v>
      </c>
      <c r="H5" s="199">
        <f>income!H8*H76</f>
        <v>7523.0789844348719</v>
      </c>
      <c r="I5" s="199">
        <f>income!I8*I76</f>
        <v>9867.8072583816829</v>
      </c>
      <c r="J5" s="199">
        <f>income!J8*J76</f>
        <v>12158.853618810203</v>
      </c>
      <c r="K5" s="199">
        <f>income!K8*K76</f>
        <v>12572.075567059212</v>
      </c>
      <c r="L5" s="199">
        <f>income!L8*L76</f>
        <v>15921.344210198969</v>
      </c>
    </row>
    <row r="6" spans="1:13" x14ac:dyDescent="0.2">
      <c r="A6" s="240" t="s">
        <v>96</v>
      </c>
      <c r="B6" s="277">
        <v>334.22500000000002</v>
      </c>
      <c r="C6" s="272">
        <v>466.76000000000005</v>
      </c>
      <c r="D6" s="195">
        <v>749.024</v>
      </c>
      <c r="E6" s="195">
        <v>898</v>
      </c>
      <c r="F6" s="195">
        <v>1734</v>
      </c>
      <c r="G6" s="195">
        <v>2121</v>
      </c>
      <c r="H6" s="199"/>
      <c r="I6" s="199"/>
      <c r="J6" s="199"/>
      <c r="K6" s="199"/>
      <c r="L6" s="199"/>
    </row>
    <row r="7" spans="1:13" x14ac:dyDescent="0.2">
      <c r="A7" s="240" t="s">
        <v>95</v>
      </c>
      <c r="B7" s="277">
        <v>94.69</v>
      </c>
      <c r="C7" s="272">
        <v>91.037000000000006</v>
      </c>
      <c r="D7" s="195">
        <v>158.72999999999999</v>
      </c>
      <c r="H7" s="199"/>
      <c r="I7" s="199"/>
      <c r="J7" s="199"/>
      <c r="K7" s="199"/>
      <c r="L7" s="199"/>
    </row>
    <row r="8" spans="1:13" x14ac:dyDescent="0.2">
      <c r="A8" s="240" t="s">
        <v>94</v>
      </c>
      <c r="B8" s="277">
        <v>65.52000000000001</v>
      </c>
      <c r="C8" s="272">
        <v>131.66500000000002</v>
      </c>
      <c r="D8" s="195">
        <v>85.272000000000006</v>
      </c>
      <c r="E8" s="195">
        <v>193</v>
      </c>
      <c r="F8" s="195">
        <v>202</v>
      </c>
      <c r="G8" s="195">
        <v>140</v>
      </c>
      <c r="H8" s="199"/>
      <c r="I8" s="199"/>
      <c r="J8" s="199"/>
      <c r="K8" s="199"/>
      <c r="L8" s="199"/>
    </row>
    <row r="9" spans="1:13" x14ac:dyDescent="0.2">
      <c r="A9" s="240" t="s">
        <v>93</v>
      </c>
      <c r="B9" s="277">
        <v>34.632999999999996</v>
      </c>
      <c r="C9" s="272">
        <v>105.77000000000001</v>
      </c>
      <c r="D9" s="195">
        <v>161.36099999999999</v>
      </c>
      <c r="H9" s="199"/>
      <c r="I9" s="199"/>
      <c r="J9" s="199"/>
      <c r="K9" s="199"/>
      <c r="L9" s="199"/>
    </row>
    <row r="10" spans="1:13" x14ac:dyDescent="0.2">
      <c r="A10" s="240" t="s">
        <v>92</v>
      </c>
      <c r="B10" s="277">
        <v>-29.183</v>
      </c>
      <c r="C10" s="272">
        <v>52.309000000000005</v>
      </c>
      <c r="D10" s="195">
        <v>-1.5109999999999999</v>
      </c>
      <c r="E10" s="195">
        <v>-48</v>
      </c>
      <c r="F10" s="195">
        <v>114</v>
      </c>
      <c r="G10" s="195">
        <v>-55</v>
      </c>
      <c r="H10" s="199"/>
      <c r="I10" s="199"/>
      <c r="J10" s="199"/>
      <c r="K10" s="199"/>
      <c r="L10" s="199"/>
    </row>
    <row r="11" spans="1:13" x14ac:dyDescent="0.2">
      <c r="A11" s="240" t="s">
        <v>91</v>
      </c>
      <c r="B11" s="277">
        <v>-88.727000000000004</v>
      </c>
      <c r="C11" s="272">
        <v>57.746000000000002</v>
      </c>
      <c r="D11" s="195">
        <v>0</v>
      </c>
      <c r="H11" s="199"/>
      <c r="I11" s="199"/>
      <c r="J11" s="199"/>
      <c r="K11" s="199"/>
      <c r="L11" s="199"/>
    </row>
    <row r="12" spans="1:13" x14ac:dyDescent="0.2">
      <c r="A12" s="240" t="s">
        <v>90</v>
      </c>
      <c r="B12" s="277">
        <v>-15.178999999999998</v>
      </c>
      <c r="C12" s="272">
        <v>135.23699999999999</v>
      </c>
      <c r="D12" s="195">
        <v>48.506999999999998</v>
      </c>
      <c r="E12" s="195">
        <v>520</v>
      </c>
      <c r="F12" s="195">
        <v>525</v>
      </c>
      <c r="G12" s="195">
        <v>245</v>
      </c>
      <c r="H12" s="199"/>
      <c r="I12" s="199"/>
      <c r="J12" s="199"/>
      <c r="K12" s="199"/>
      <c r="L12" s="199"/>
    </row>
    <row r="13" spans="1:13" x14ac:dyDescent="0.2">
      <c r="A13" s="240" t="s">
        <v>89</v>
      </c>
      <c r="B13" s="277">
        <v>-216.565</v>
      </c>
      <c r="G13" s="195">
        <v>-27</v>
      </c>
      <c r="H13" s="199"/>
      <c r="I13" s="199"/>
      <c r="J13" s="199"/>
      <c r="K13" s="199"/>
      <c r="L13" s="199"/>
    </row>
    <row r="14" spans="1:13" x14ac:dyDescent="0.2">
      <c r="A14" s="240" t="s">
        <v>88</v>
      </c>
      <c r="B14" s="277">
        <v>-632.86699999999996</v>
      </c>
      <c r="E14" s="195">
        <v>-188</v>
      </c>
      <c r="H14" s="199"/>
      <c r="I14" s="199"/>
      <c r="J14" s="199"/>
      <c r="K14" s="199"/>
      <c r="L14" s="199"/>
    </row>
    <row r="15" spans="1:13" x14ac:dyDescent="0.2">
      <c r="A15" s="239" t="s">
        <v>87</v>
      </c>
      <c r="G15" s="199">
        <f>balance!C6-balance!D6</f>
        <v>-433.64099999999985</v>
      </c>
      <c r="H15" s="199"/>
      <c r="I15" s="199"/>
      <c r="J15" s="199"/>
      <c r="K15" s="199"/>
      <c r="L15" s="199"/>
    </row>
    <row r="16" spans="1:13" x14ac:dyDescent="0.2">
      <c r="A16" s="240" t="s">
        <v>86</v>
      </c>
      <c r="B16" s="277">
        <v>-1832.836</v>
      </c>
      <c r="C16" s="272">
        <v>-24.634999999999998</v>
      </c>
      <c r="D16" s="195">
        <v>-496.73199999999997</v>
      </c>
      <c r="E16" s="195">
        <v>-367</v>
      </c>
      <c r="F16" s="195">
        <v>-652</v>
      </c>
      <c r="G16" s="195">
        <v>-130</v>
      </c>
      <c r="H16" s="199">
        <f>balance!G6-balance!H6</f>
        <v>-4181.178791729787</v>
      </c>
      <c r="I16" s="199">
        <f>balance!H6-balance!I6</f>
        <v>1685.5704714714775</v>
      </c>
      <c r="J16" s="199">
        <f>balance!I6-balance!J6</f>
        <v>-4124.0425207545022</v>
      </c>
      <c r="K16" s="199">
        <f>balance!J6-balance!K6</f>
        <v>3684.2303072788145</v>
      </c>
      <c r="L16" s="199">
        <f>balance!K6-balance!L6</f>
        <v>-7249.0197907656511</v>
      </c>
      <c r="M16" s="199"/>
    </row>
    <row r="17" spans="1:12" x14ac:dyDescent="0.2">
      <c r="A17" s="240" t="s">
        <v>6</v>
      </c>
      <c r="B17" s="277">
        <v>56.805999999999997</v>
      </c>
      <c r="C17" s="272">
        <v>-178.85</v>
      </c>
      <c r="D17" s="195">
        <v>-1023.2639999999999</v>
      </c>
      <c r="E17" s="195">
        <v>-429</v>
      </c>
      <c r="F17" s="195">
        <v>-422</v>
      </c>
      <c r="G17" s="195">
        <v>-1709</v>
      </c>
      <c r="H17" s="199">
        <f>balance!G7-balance!H7</f>
        <v>-17498.504617684575</v>
      </c>
      <c r="I17" s="199">
        <f>balance!H7-balance!I7</f>
        <v>8456.1377867842166</v>
      </c>
      <c r="J17" s="199">
        <f>balance!I7-balance!J7</f>
        <v>-17291.482098439737</v>
      </c>
      <c r="K17" s="199">
        <f>balance!J7-balance!K7</f>
        <v>15697.905358582655</v>
      </c>
      <c r="L17" s="199">
        <f>balance!K7-balance!L7</f>
        <v>-28614.248809981062</v>
      </c>
    </row>
    <row r="18" spans="1:12" x14ac:dyDescent="0.2">
      <c r="A18" s="240" t="s">
        <v>85</v>
      </c>
      <c r="B18" s="277">
        <v>-49.352999999999994</v>
      </c>
      <c r="C18" s="272">
        <v>-1522.5729999999999</v>
      </c>
      <c r="D18" s="195">
        <v>-214.74699999999999</v>
      </c>
      <c r="E18" s="195">
        <v>-764</v>
      </c>
      <c r="F18" s="195">
        <v>-1072</v>
      </c>
      <c r="G18" s="195">
        <v>-2114</v>
      </c>
      <c r="H18" s="199"/>
      <c r="I18" s="199"/>
      <c r="J18" s="199"/>
      <c r="K18" s="199"/>
      <c r="L18" s="199"/>
    </row>
    <row r="19" spans="1:12" x14ac:dyDescent="0.2">
      <c r="A19" s="240" t="s">
        <v>7</v>
      </c>
      <c r="B19" s="277">
        <v>750.64</v>
      </c>
      <c r="C19" s="272">
        <v>-72.084000000000003</v>
      </c>
      <c r="D19" s="195">
        <v>-82.125</v>
      </c>
      <c r="E19" s="195">
        <v>-288</v>
      </c>
      <c r="F19" s="195">
        <v>-251</v>
      </c>
      <c r="G19" s="195">
        <v>-271</v>
      </c>
      <c r="H19" s="199">
        <f>balance!G8-balance!H8</f>
        <v>-28462.08724167203</v>
      </c>
      <c r="I19" s="199">
        <f>balance!H8-balance!I8</f>
        <v>-9407.8272544437714</v>
      </c>
      <c r="J19" s="199">
        <f>balance!I8-balance!J8</f>
        <v>-9192.4376186042282</v>
      </c>
      <c r="K19" s="199">
        <f>balance!J8-balance!K8</f>
        <v>-1657.9834644667208</v>
      </c>
      <c r="L19" s="199">
        <f>balance!K8-balance!L8</f>
        <v>-13438.376281591634</v>
      </c>
    </row>
    <row r="20" spans="1:12" x14ac:dyDescent="0.2">
      <c r="A20" s="239" t="s">
        <v>18</v>
      </c>
      <c r="B20" s="277">
        <v>382.96199999999999</v>
      </c>
      <c r="C20" s="272">
        <v>-15.452999999999999</v>
      </c>
      <c r="D20" s="195">
        <v>-207.40900000000002</v>
      </c>
      <c r="E20" s="195">
        <v>115</v>
      </c>
      <c r="F20" s="195">
        <v>-344</v>
      </c>
      <c r="G20" s="195">
        <v>-1291</v>
      </c>
      <c r="H20" s="199"/>
      <c r="I20" s="199"/>
      <c r="J20" s="199"/>
      <c r="K20" s="199"/>
      <c r="L20" s="199"/>
    </row>
    <row r="21" spans="1:12" x14ac:dyDescent="0.2">
      <c r="A21" s="240" t="s">
        <v>84</v>
      </c>
      <c r="B21" s="277">
        <v>388.36099999999999</v>
      </c>
      <c r="C21" s="272">
        <v>388.20600000000002</v>
      </c>
      <c r="D21" s="195">
        <v>1722.85</v>
      </c>
      <c r="E21" s="195">
        <v>646</v>
      </c>
      <c r="F21" s="195">
        <v>2102</v>
      </c>
      <c r="G21" s="195">
        <v>4578</v>
      </c>
      <c r="H21" s="199"/>
      <c r="I21" s="199"/>
      <c r="J21" s="199"/>
      <c r="K21" s="199"/>
      <c r="L21" s="199"/>
    </row>
    <row r="22" spans="1:12" x14ac:dyDescent="0.2">
      <c r="A22" s="240" t="s">
        <v>24</v>
      </c>
      <c r="B22" s="277">
        <v>326.93400000000003</v>
      </c>
      <c r="C22" s="272">
        <v>468.90200000000004</v>
      </c>
      <c r="D22" s="195">
        <v>406.661</v>
      </c>
      <c r="E22" s="195">
        <v>801</v>
      </c>
      <c r="F22" s="195">
        <v>321</v>
      </c>
      <c r="G22" s="195">
        <v>793</v>
      </c>
      <c r="H22" s="199"/>
      <c r="I22" s="199"/>
      <c r="J22" s="199"/>
      <c r="K22" s="199"/>
      <c r="L22" s="199"/>
    </row>
    <row r="23" spans="1:12" x14ac:dyDescent="0.2">
      <c r="A23" s="240" t="s">
        <v>26</v>
      </c>
      <c r="B23" s="277">
        <v>132.05699999999999</v>
      </c>
      <c r="C23" s="272">
        <v>170.02699999999999</v>
      </c>
      <c r="D23" s="195">
        <v>-96.685000000000002</v>
      </c>
      <c r="E23" s="195">
        <v>-58</v>
      </c>
      <c r="F23" s="195">
        <v>7</v>
      </c>
      <c r="G23" s="195">
        <v>186</v>
      </c>
      <c r="H23" s="199"/>
      <c r="I23" s="199"/>
      <c r="J23" s="199"/>
      <c r="K23" s="199"/>
      <c r="L23" s="199"/>
    </row>
    <row r="24" spans="1:12" x14ac:dyDescent="0.2">
      <c r="A24" s="240" t="s">
        <v>83</v>
      </c>
      <c r="B24" s="277">
        <v>-123.82899999999999</v>
      </c>
      <c r="C24" s="272">
        <v>208.71799999999999</v>
      </c>
      <c r="D24" s="195">
        <v>-110.56400000000001</v>
      </c>
      <c r="H24" s="199"/>
      <c r="I24" s="199"/>
      <c r="J24" s="199"/>
      <c r="K24" s="199"/>
      <c r="L24" s="199"/>
    </row>
    <row r="25" spans="1:12" x14ac:dyDescent="0.2">
      <c r="A25" s="239" t="s">
        <v>35</v>
      </c>
      <c r="B25" s="273">
        <v>0</v>
      </c>
      <c r="C25" s="274">
        <v>81.138999999999996</v>
      </c>
      <c r="D25" s="208">
        <v>159.96600000000001</v>
      </c>
      <c r="E25" s="208">
        <v>-5</v>
      </c>
      <c r="F25" s="208">
        <v>495</v>
      </c>
      <c r="G25" s="208">
        <v>476</v>
      </c>
      <c r="H25" s="253"/>
      <c r="I25" s="253"/>
      <c r="J25" s="253"/>
      <c r="K25" s="253"/>
      <c r="L25" s="253"/>
    </row>
    <row r="26" spans="1:12" x14ac:dyDescent="0.2">
      <c r="A26" s="241" t="s">
        <v>82</v>
      </c>
      <c r="B26" s="291">
        <v>-1280.8020000000001</v>
      </c>
      <c r="C26" s="276">
        <v>-60.653999999999996</v>
      </c>
      <c r="D26" s="207">
        <v>2097.8020000000001</v>
      </c>
      <c r="E26" s="207">
        <v>2405</v>
      </c>
      <c r="F26" s="207">
        <v>5943</v>
      </c>
      <c r="G26" s="207">
        <v>11497</v>
      </c>
      <c r="H26" s="199"/>
      <c r="I26" s="199"/>
      <c r="J26" s="199"/>
      <c r="K26" s="199"/>
      <c r="L26" s="199"/>
    </row>
    <row r="27" spans="1:12" x14ac:dyDescent="0.2">
      <c r="A27" s="241"/>
      <c r="B27" s="291"/>
      <c r="C27" s="276"/>
      <c r="D27" s="207"/>
      <c r="E27" s="207"/>
      <c r="F27" s="207"/>
      <c r="G27" s="207"/>
      <c r="H27" s="199"/>
      <c r="I27" s="199"/>
      <c r="J27" s="199"/>
      <c r="K27" s="199"/>
      <c r="L27" s="199"/>
    </row>
    <row r="28" spans="1:12" x14ac:dyDescent="0.2">
      <c r="A28" s="206" t="s">
        <v>81</v>
      </c>
      <c r="H28" s="199"/>
      <c r="I28" s="199"/>
      <c r="J28" s="199"/>
      <c r="K28" s="199"/>
      <c r="L28" s="199"/>
    </row>
    <row r="29" spans="1:12" x14ac:dyDescent="0.2">
      <c r="A29" s="239" t="s">
        <v>80</v>
      </c>
      <c r="C29" s="272">
        <v>-3414.8139999999999</v>
      </c>
      <c r="D29" s="195">
        <v>-2100.7240000000002</v>
      </c>
      <c r="E29" s="195">
        <v>-1327</v>
      </c>
      <c r="F29" s="195">
        <v>-3157</v>
      </c>
      <c r="G29" s="195">
        <v>-6482</v>
      </c>
      <c r="H29" s="199">
        <f>income!H8*H88</f>
        <v>-2236.1379030816256</v>
      </c>
      <c r="I29" s="199">
        <f>income!I8*I88</f>
        <v>-2933.0780490840248</v>
      </c>
      <c r="J29" s="199">
        <f>income!J8*J88</f>
        <v>-3614.0619407686686</v>
      </c>
      <c r="K29" s="199">
        <f>income!K8*K88</f>
        <v>-3736.8868190899825</v>
      </c>
      <c r="L29" s="199">
        <f>income!L8*L88</f>
        <v>-4732.4135942339199</v>
      </c>
    </row>
    <row r="30" spans="1:12" x14ac:dyDescent="0.2">
      <c r="A30" s="239" t="s">
        <v>79</v>
      </c>
      <c r="B30" s="277">
        <v>16.666999999999998</v>
      </c>
      <c r="H30" s="199"/>
      <c r="I30" s="199"/>
      <c r="J30" s="199"/>
      <c r="K30" s="199"/>
      <c r="L30" s="199"/>
    </row>
    <row r="31" spans="1:12" x14ac:dyDescent="0.2">
      <c r="A31" s="239" t="s">
        <v>78</v>
      </c>
      <c r="B31" s="277">
        <v>-159.66900000000001</v>
      </c>
      <c r="C31" s="272">
        <v>-666.54</v>
      </c>
      <c r="D31" s="195">
        <v>-218.792</v>
      </c>
      <c r="E31" s="195">
        <v>-105</v>
      </c>
      <c r="F31" s="195">
        <v>-75</v>
      </c>
      <c r="G31" s="195">
        <v>-32</v>
      </c>
      <c r="H31" s="199"/>
      <c r="I31" s="199"/>
      <c r="J31" s="199"/>
      <c r="K31" s="199"/>
      <c r="L31" s="199"/>
    </row>
    <row r="32" spans="1:12" x14ac:dyDescent="0.2">
      <c r="A32" s="239" t="s">
        <v>77</v>
      </c>
      <c r="G32" s="195">
        <v>-1500</v>
      </c>
      <c r="H32" s="199"/>
      <c r="I32" s="199"/>
      <c r="J32" s="199"/>
      <c r="K32" s="199"/>
      <c r="L32" s="199"/>
    </row>
    <row r="33" spans="1:12" x14ac:dyDescent="0.2">
      <c r="A33" s="239" t="s">
        <v>76</v>
      </c>
      <c r="G33" s="195">
        <v>272</v>
      </c>
      <c r="H33" s="199"/>
      <c r="I33" s="199"/>
      <c r="J33" s="199"/>
      <c r="K33" s="199"/>
      <c r="L33" s="199"/>
    </row>
    <row r="34" spans="1:12" x14ac:dyDescent="0.2">
      <c r="A34" s="239" t="s">
        <v>75</v>
      </c>
      <c r="G34" s="195">
        <v>-132</v>
      </c>
      <c r="H34" s="199"/>
      <c r="I34" s="199"/>
      <c r="J34" s="199"/>
      <c r="K34" s="199"/>
      <c r="L34" s="199"/>
    </row>
    <row r="35" spans="1:12" x14ac:dyDescent="0.2">
      <c r="A35" s="239" t="s">
        <v>74</v>
      </c>
      <c r="E35" s="195">
        <v>46</v>
      </c>
      <c r="F35" s="195">
        <v>123</v>
      </c>
      <c r="G35" s="195">
        <v>6</v>
      </c>
      <c r="H35" s="199"/>
      <c r="I35" s="199"/>
      <c r="J35" s="199"/>
      <c r="K35" s="199"/>
      <c r="L35" s="199"/>
    </row>
    <row r="36" spans="1:12" x14ac:dyDescent="0.2">
      <c r="A36" s="239" t="s">
        <v>73</v>
      </c>
      <c r="E36" s="195">
        <v>-5</v>
      </c>
      <c r="F36" s="195">
        <v>-10</v>
      </c>
      <c r="H36" s="199"/>
      <c r="I36" s="199"/>
      <c r="J36" s="199"/>
      <c r="K36" s="199"/>
      <c r="L36" s="199"/>
    </row>
    <row r="37" spans="1:12" x14ac:dyDescent="0.2">
      <c r="A37" s="239" t="s">
        <v>72</v>
      </c>
      <c r="B37" s="273">
        <v>342.71899999999999</v>
      </c>
      <c r="C37" s="274">
        <v>-114.523</v>
      </c>
      <c r="D37" s="208">
        <v>-17.911999999999999</v>
      </c>
      <c r="E37" s="208">
        <v>-45</v>
      </c>
      <c r="F37" s="208">
        <v>-13</v>
      </c>
      <c r="G37" s="208"/>
      <c r="H37" s="199"/>
      <c r="I37" s="199"/>
      <c r="J37" s="199"/>
      <c r="K37" s="199"/>
      <c r="L37" s="199"/>
    </row>
    <row r="38" spans="1:12" x14ac:dyDescent="0.2">
      <c r="A38" s="241" t="s">
        <v>71</v>
      </c>
      <c r="B38" s="291">
        <v>-1081.085</v>
      </c>
      <c r="C38" s="276">
        <v>-4195.8769999999995</v>
      </c>
      <c r="D38" s="207">
        <v>-2337.4279999999999</v>
      </c>
      <c r="E38" s="207">
        <v>-1436</v>
      </c>
      <c r="F38" s="207">
        <v>-3132</v>
      </c>
      <c r="G38" s="207">
        <v>-7868</v>
      </c>
      <c r="H38" s="199"/>
      <c r="I38" s="199"/>
      <c r="J38" s="199"/>
      <c r="K38" s="199"/>
      <c r="L38" s="199"/>
    </row>
    <row r="39" spans="1:12" x14ac:dyDescent="0.2">
      <c r="A39" s="241"/>
      <c r="B39" s="291"/>
      <c r="C39" s="276"/>
      <c r="D39" s="207"/>
      <c r="E39" s="207"/>
      <c r="F39" s="207"/>
      <c r="G39" s="207"/>
      <c r="H39" s="199"/>
      <c r="I39" s="199"/>
      <c r="J39" s="199"/>
      <c r="K39" s="199"/>
      <c r="L39" s="199"/>
    </row>
    <row r="40" spans="1:12" x14ac:dyDescent="0.2">
      <c r="A40" s="206" t="s">
        <v>70</v>
      </c>
      <c r="H40" s="199"/>
      <c r="I40" s="199"/>
      <c r="J40" s="199"/>
      <c r="K40" s="199"/>
      <c r="L40" s="199"/>
    </row>
    <row r="41" spans="1:12" x14ac:dyDescent="0.2">
      <c r="A41" s="239" t="s">
        <v>69</v>
      </c>
      <c r="B41" s="277">
        <v>1701.7339999999999</v>
      </c>
      <c r="C41" s="272">
        <v>400.17500000000001</v>
      </c>
      <c r="E41" s="195">
        <v>848</v>
      </c>
      <c r="F41" s="195">
        <v>12269</v>
      </c>
      <c r="H41" s="199"/>
      <c r="I41" s="199"/>
      <c r="J41" s="199"/>
      <c r="K41" s="199"/>
      <c r="L41" s="199"/>
    </row>
    <row r="42" spans="1:12" x14ac:dyDescent="0.2">
      <c r="A42" s="239" t="s">
        <v>68</v>
      </c>
      <c r="B42" s="277">
        <v>2852.9639999999999</v>
      </c>
      <c r="C42" s="272">
        <v>7138.0550000000003</v>
      </c>
      <c r="D42" s="195">
        <v>6176.1730000000007</v>
      </c>
      <c r="E42" s="195">
        <v>10669</v>
      </c>
      <c r="F42" s="195">
        <v>9713</v>
      </c>
      <c r="G42" s="195">
        <v>8883</v>
      </c>
      <c r="H42" s="199"/>
      <c r="I42" s="199"/>
      <c r="J42" s="199"/>
      <c r="K42" s="199"/>
      <c r="L42" s="199"/>
    </row>
    <row r="43" spans="1:12" x14ac:dyDescent="0.2">
      <c r="A43" s="239" t="s">
        <v>67</v>
      </c>
      <c r="B43" s="277">
        <v>-1857.5939999999998</v>
      </c>
      <c r="C43" s="272">
        <v>-3995.4839999999995</v>
      </c>
      <c r="D43" s="195">
        <v>-5247.0569999999998</v>
      </c>
      <c r="E43" s="195">
        <v>-9161</v>
      </c>
      <c r="F43" s="195">
        <v>-11623</v>
      </c>
      <c r="G43" s="195">
        <v>-14167</v>
      </c>
      <c r="H43" s="199"/>
      <c r="I43" s="199"/>
      <c r="J43" s="199"/>
      <c r="K43" s="199"/>
      <c r="L43" s="199"/>
    </row>
    <row r="44" spans="1:12" x14ac:dyDescent="0.2">
      <c r="A44" s="239" t="s">
        <v>66</v>
      </c>
      <c r="C44" s="272">
        <v>-165</v>
      </c>
      <c r="D44" s="195">
        <v>-100</v>
      </c>
      <c r="H44" s="199"/>
      <c r="I44" s="199"/>
      <c r="J44" s="199"/>
      <c r="K44" s="199"/>
      <c r="L44" s="199"/>
    </row>
    <row r="45" spans="1:12" x14ac:dyDescent="0.2">
      <c r="A45" s="239" t="s">
        <v>65</v>
      </c>
      <c r="B45" s="277">
        <v>769.70900000000006</v>
      </c>
      <c r="C45" s="272">
        <v>511.32100000000003</v>
      </c>
      <c r="D45" s="195">
        <v>-559.16700000000003</v>
      </c>
      <c r="E45" s="195">
        <v>-389</v>
      </c>
      <c r="F45" s="195">
        <v>-240</v>
      </c>
      <c r="G45" s="195">
        <v>-9</v>
      </c>
      <c r="H45" s="199"/>
      <c r="I45" s="199"/>
      <c r="J45" s="199"/>
      <c r="K45" s="199"/>
      <c r="L45" s="199"/>
    </row>
    <row r="46" spans="1:12" x14ac:dyDescent="0.2">
      <c r="A46" s="239" t="s">
        <v>64</v>
      </c>
      <c r="B46" s="277">
        <v>163.81700000000001</v>
      </c>
      <c r="C46" s="272">
        <v>259.11599999999999</v>
      </c>
      <c r="D46" s="195">
        <v>295.72199999999998</v>
      </c>
      <c r="E46" s="195">
        <v>263</v>
      </c>
      <c r="F46" s="195">
        <v>417</v>
      </c>
      <c r="G46" s="195">
        <v>707</v>
      </c>
      <c r="H46" s="199"/>
      <c r="I46" s="199"/>
      <c r="J46" s="199"/>
      <c r="K46" s="199"/>
      <c r="L46" s="199"/>
    </row>
    <row r="47" spans="1:12" x14ac:dyDescent="0.2">
      <c r="A47" s="239" t="s">
        <v>63</v>
      </c>
      <c r="B47" s="277">
        <v>-46.888999999999996</v>
      </c>
      <c r="C47" s="272">
        <v>-103.304</v>
      </c>
      <c r="D47" s="195">
        <v>-180.80500000000001</v>
      </c>
      <c r="E47" s="195">
        <v>-321</v>
      </c>
      <c r="F47" s="195">
        <v>-338</v>
      </c>
      <c r="G47" s="195">
        <v>-439</v>
      </c>
      <c r="H47" s="199"/>
      <c r="I47" s="199"/>
      <c r="J47" s="199"/>
      <c r="K47" s="199"/>
      <c r="L47" s="199"/>
    </row>
    <row r="48" spans="1:12" x14ac:dyDescent="0.2">
      <c r="A48" s="239" t="s">
        <v>62</v>
      </c>
      <c r="B48" s="277">
        <v>-20.041999999999998</v>
      </c>
      <c r="C48" s="272">
        <v>-63.111000000000004</v>
      </c>
      <c r="D48" s="195">
        <v>-14.972999999999999</v>
      </c>
      <c r="E48" s="195">
        <v>-37</v>
      </c>
      <c r="F48" s="195">
        <v>-6</v>
      </c>
      <c r="G48" s="195">
        <v>-9</v>
      </c>
      <c r="H48" s="199"/>
      <c r="I48" s="199"/>
      <c r="J48" s="199"/>
      <c r="K48" s="199"/>
      <c r="L48" s="199"/>
    </row>
    <row r="49" spans="1:12" x14ac:dyDescent="0.2">
      <c r="A49" s="239" t="s">
        <v>61</v>
      </c>
      <c r="C49" s="272">
        <v>-204.102</v>
      </c>
      <c r="E49" s="195">
        <v>-476</v>
      </c>
      <c r="H49" s="199"/>
      <c r="I49" s="199"/>
      <c r="J49" s="199"/>
      <c r="K49" s="199"/>
      <c r="L49" s="199"/>
    </row>
    <row r="50" spans="1:12" x14ac:dyDescent="0.2">
      <c r="A50" s="239" t="s">
        <v>60</v>
      </c>
      <c r="C50" s="272">
        <v>287.21300000000002</v>
      </c>
      <c r="E50" s="195">
        <v>174</v>
      </c>
      <c r="H50" s="199"/>
      <c r="I50" s="199"/>
      <c r="J50" s="199"/>
      <c r="K50" s="199"/>
      <c r="L50" s="199"/>
    </row>
    <row r="51" spans="1:12" x14ac:dyDescent="0.2">
      <c r="A51" s="239" t="s">
        <v>58</v>
      </c>
      <c r="C51" s="272">
        <v>52.883000000000003</v>
      </c>
      <c r="E51" s="195">
        <v>279</v>
      </c>
      <c r="F51" s="195">
        <v>24</v>
      </c>
      <c r="G51" s="195">
        <v>2</v>
      </c>
      <c r="H51" s="199"/>
      <c r="I51" s="199"/>
      <c r="J51" s="199"/>
      <c r="K51" s="199"/>
      <c r="L51" s="199"/>
    </row>
    <row r="52" spans="1:12" x14ac:dyDescent="0.2">
      <c r="A52" s="239" t="s">
        <v>59</v>
      </c>
      <c r="C52" s="272">
        <v>-230.38499999999999</v>
      </c>
      <c r="H52" s="199"/>
      <c r="I52" s="199"/>
      <c r="J52" s="199"/>
      <c r="K52" s="199"/>
      <c r="L52" s="199"/>
    </row>
    <row r="53" spans="1:12" x14ac:dyDescent="0.2">
      <c r="A53" s="239" t="s">
        <v>58</v>
      </c>
      <c r="B53" s="277">
        <v>201.52699999999999</v>
      </c>
      <c r="C53" s="272">
        <v>789.70399999999995</v>
      </c>
      <c r="D53" s="195">
        <v>437.13400000000001</v>
      </c>
      <c r="H53" s="199"/>
      <c r="I53" s="199"/>
      <c r="J53" s="199"/>
      <c r="K53" s="199"/>
      <c r="L53" s="199"/>
    </row>
    <row r="54" spans="1:12" x14ac:dyDescent="0.2">
      <c r="A54" s="239" t="s">
        <v>57</v>
      </c>
      <c r="B54" s="277">
        <v>-21.25</v>
      </c>
      <c r="C54" s="272">
        <v>-261.84399999999999</v>
      </c>
      <c r="D54" s="195">
        <v>-227.304</v>
      </c>
      <c r="E54" s="195">
        <v>-311</v>
      </c>
      <c r="F54" s="195">
        <v>-208</v>
      </c>
      <c r="G54" s="195">
        <v>-161</v>
      </c>
      <c r="H54" s="199"/>
      <c r="I54" s="199"/>
      <c r="J54" s="199"/>
      <c r="K54" s="199"/>
      <c r="L54" s="199"/>
    </row>
    <row r="55" spans="1:12" x14ac:dyDescent="0.2">
      <c r="A55" s="239" t="s">
        <v>56</v>
      </c>
      <c r="D55" s="195">
        <v>-5.9569999999999999</v>
      </c>
      <c r="E55" s="195">
        <v>-9</v>
      </c>
      <c r="F55" s="195">
        <v>-35</v>
      </c>
      <c r="G55" s="195">
        <v>-10</v>
      </c>
      <c r="H55" s="199"/>
      <c r="I55" s="199"/>
      <c r="J55" s="199"/>
      <c r="K55" s="199"/>
      <c r="L55" s="199"/>
    </row>
    <row r="56" spans="1:12" x14ac:dyDescent="0.2">
      <c r="A56" s="210" t="s">
        <v>55</v>
      </c>
      <c r="B56" s="292">
        <v>3743.9760000000001</v>
      </c>
      <c r="C56" s="293">
        <v>4414.8639999999996</v>
      </c>
      <c r="D56" s="211">
        <v>573.755</v>
      </c>
      <c r="E56" s="211">
        <v>1529</v>
      </c>
      <c r="F56" s="211">
        <v>9973</v>
      </c>
      <c r="G56" s="211">
        <v>-5203</v>
      </c>
      <c r="H56" s="199"/>
      <c r="I56" s="199"/>
      <c r="J56" s="199"/>
      <c r="K56" s="199"/>
      <c r="L56" s="199"/>
    </row>
    <row r="57" spans="1:12" x14ac:dyDescent="0.2">
      <c r="A57" s="239" t="s">
        <v>54</v>
      </c>
      <c r="B57" s="277">
        <v>-6.5529999999999999</v>
      </c>
      <c r="C57" s="272">
        <v>39.725999999999999</v>
      </c>
      <c r="D57" s="195">
        <v>-22.7</v>
      </c>
      <c r="E57" s="195">
        <v>8</v>
      </c>
      <c r="F57" s="195">
        <v>334</v>
      </c>
      <c r="G57" s="195">
        <v>-183</v>
      </c>
      <c r="H57" s="199"/>
      <c r="I57" s="199"/>
      <c r="J57" s="199"/>
      <c r="K57" s="199"/>
      <c r="L57" s="199"/>
    </row>
    <row r="58" spans="1:12" x14ac:dyDescent="0.2">
      <c r="A58" s="239" t="s">
        <v>53</v>
      </c>
      <c r="B58" s="277">
        <v>2532.509</v>
      </c>
      <c r="C58" s="272">
        <v>198.059</v>
      </c>
      <c r="D58" s="195">
        <v>311.42899999999997</v>
      </c>
      <c r="E58" s="195">
        <v>2506</v>
      </c>
      <c r="F58" s="195">
        <v>13118</v>
      </c>
      <c r="G58" s="195">
        <v>-1757</v>
      </c>
      <c r="H58" s="199"/>
      <c r="I58" s="199"/>
      <c r="J58" s="199"/>
      <c r="K58" s="199"/>
      <c r="L58" s="199"/>
    </row>
    <row r="59" spans="1:12" x14ac:dyDescent="0.2">
      <c r="A59" s="239" t="s">
        <v>52</v>
      </c>
      <c r="B59" s="277">
        <v>1234.3910000000001</v>
      </c>
      <c r="C59" s="272">
        <v>3766.9</v>
      </c>
      <c r="D59" s="195">
        <v>3964.9589999999998</v>
      </c>
      <c r="E59" s="195">
        <v>4277</v>
      </c>
      <c r="F59" s="195">
        <v>6783</v>
      </c>
      <c r="G59" s="195">
        <v>19901</v>
      </c>
      <c r="H59" s="199"/>
      <c r="I59" s="199"/>
      <c r="J59" s="199"/>
      <c r="K59" s="199"/>
      <c r="L59" s="199"/>
    </row>
    <row r="60" spans="1:12" x14ac:dyDescent="0.2">
      <c r="A60" s="239" t="s">
        <v>51</v>
      </c>
      <c r="B60" s="277">
        <v>3766.9</v>
      </c>
      <c r="C60" s="272">
        <v>3964.9589999999998</v>
      </c>
      <c r="D60" s="195">
        <v>4276.3879999999999</v>
      </c>
      <c r="E60" s="195">
        <v>6783</v>
      </c>
      <c r="F60" s="195">
        <v>19901</v>
      </c>
      <c r="G60" s="195">
        <v>18144</v>
      </c>
      <c r="H60" s="199"/>
      <c r="I60" s="199"/>
      <c r="J60" s="199"/>
      <c r="K60" s="199"/>
      <c r="L60" s="199"/>
    </row>
    <row r="61" spans="1:12" x14ac:dyDescent="0.2">
      <c r="A61" s="239"/>
      <c r="H61" s="199"/>
      <c r="I61" s="199"/>
      <c r="J61" s="199"/>
      <c r="K61" s="199"/>
      <c r="L61" s="199"/>
    </row>
    <row r="62" spans="1:12" x14ac:dyDescent="0.2">
      <c r="A62" s="206" t="s">
        <v>50</v>
      </c>
      <c r="H62" s="199"/>
      <c r="I62" s="199"/>
      <c r="J62" s="199"/>
      <c r="K62" s="199"/>
      <c r="L62" s="199"/>
    </row>
    <row r="63" spans="1:12" x14ac:dyDescent="0.2">
      <c r="A63" s="239" t="s">
        <v>49</v>
      </c>
      <c r="B63" s="277">
        <v>2145.9769999999999</v>
      </c>
      <c r="C63" s="272">
        <v>10.528</v>
      </c>
      <c r="E63" s="195">
        <v>207</v>
      </c>
      <c r="H63" s="199"/>
      <c r="I63" s="199"/>
      <c r="J63" s="199"/>
      <c r="K63" s="199"/>
      <c r="L63" s="199"/>
    </row>
    <row r="64" spans="1:12" x14ac:dyDescent="0.2">
      <c r="A64" s="239" t="s">
        <v>48</v>
      </c>
      <c r="B64" s="277">
        <v>663.77099999999996</v>
      </c>
      <c r="C64" s="272">
        <v>914.10799999999995</v>
      </c>
      <c r="D64" s="195">
        <v>249.14099999999999</v>
      </c>
      <c r="E64" s="195">
        <v>562</v>
      </c>
      <c r="F64" s="195">
        <v>1088</v>
      </c>
      <c r="G64" s="195">
        <v>2251</v>
      </c>
      <c r="H64" s="199"/>
      <c r="I64" s="199"/>
      <c r="J64" s="199"/>
      <c r="K64" s="199"/>
      <c r="L64" s="199"/>
    </row>
    <row r="65" spans="1:16" x14ac:dyDescent="0.2">
      <c r="A65" s="239" t="s">
        <v>47</v>
      </c>
      <c r="B65" s="277">
        <v>307.87900000000002</v>
      </c>
      <c r="C65" s="272">
        <v>313.483</v>
      </c>
      <c r="D65" s="195">
        <v>94.445000000000007</v>
      </c>
      <c r="H65" s="199"/>
      <c r="I65" s="199"/>
      <c r="J65" s="199"/>
      <c r="K65" s="199"/>
      <c r="L65" s="199"/>
    </row>
    <row r="66" spans="1:16" x14ac:dyDescent="0.2">
      <c r="A66" s="239"/>
      <c r="H66" s="199"/>
      <c r="I66" s="199"/>
      <c r="J66" s="199"/>
      <c r="K66" s="199"/>
      <c r="L66" s="199"/>
    </row>
    <row r="67" spans="1:16" x14ac:dyDescent="0.2">
      <c r="A67" s="206" t="s">
        <v>46</v>
      </c>
      <c r="H67" s="199"/>
      <c r="I67" s="199"/>
      <c r="J67" s="199"/>
      <c r="K67" s="199"/>
      <c r="L67" s="199"/>
    </row>
    <row r="68" spans="1:16" x14ac:dyDescent="0.2">
      <c r="A68" s="239" t="s">
        <v>45</v>
      </c>
      <c r="B68" s="277">
        <v>38.692999999999998</v>
      </c>
      <c r="C68" s="272">
        <v>182.571</v>
      </c>
      <c r="D68" s="195">
        <v>380.83600000000001</v>
      </c>
      <c r="E68" s="195">
        <v>455</v>
      </c>
      <c r="F68" s="195">
        <v>444</v>
      </c>
      <c r="G68" s="195">
        <v>266</v>
      </c>
      <c r="H68" s="199"/>
      <c r="I68" s="199"/>
      <c r="J68" s="199"/>
      <c r="K68" s="199"/>
      <c r="L68" s="199"/>
    </row>
    <row r="69" spans="1:16" x14ac:dyDescent="0.2">
      <c r="A69" s="239" t="s">
        <v>44</v>
      </c>
      <c r="B69" s="277">
        <v>16.384999999999998</v>
      </c>
      <c r="C69" s="272">
        <v>65.695000000000007</v>
      </c>
      <c r="D69" s="195">
        <v>35.408999999999999</v>
      </c>
      <c r="E69" s="195">
        <v>54</v>
      </c>
      <c r="F69" s="195">
        <v>115</v>
      </c>
      <c r="G69" s="195">
        <v>561</v>
      </c>
      <c r="H69" s="199"/>
      <c r="I69" s="199"/>
      <c r="J69" s="199"/>
      <c r="K69" s="199"/>
      <c r="L69" s="199"/>
    </row>
    <row r="72" spans="1:16" x14ac:dyDescent="0.2">
      <c r="A72" s="237" t="s">
        <v>264</v>
      </c>
      <c r="B72" s="286"/>
      <c r="C72" s="287"/>
      <c r="D72" s="222"/>
      <c r="E72" s="222"/>
      <c r="F72" s="222"/>
      <c r="G72" s="222"/>
      <c r="H72" s="255"/>
      <c r="I72" s="256"/>
      <c r="J72" s="256"/>
      <c r="K72" s="256"/>
      <c r="L72" s="256" t="s">
        <v>263</v>
      </c>
      <c r="P72" s="7" t="e">
        <f>P71/P70</f>
        <v>#DIV/0!</v>
      </c>
    </row>
    <row r="73" spans="1:16" x14ac:dyDescent="0.2">
      <c r="A73" s="237"/>
      <c r="B73" s="286"/>
      <c r="C73" s="287"/>
      <c r="D73" s="222"/>
      <c r="E73" s="222"/>
      <c r="F73" s="222"/>
      <c r="G73" s="222"/>
      <c r="H73" s="255"/>
      <c r="I73" s="256"/>
      <c r="J73" s="256"/>
      <c r="K73" s="256"/>
      <c r="L73" s="256"/>
    </row>
    <row r="74" spans="1:16" s="242" customFormat="1" x14ac:dyDescent="0.2">
      <c r="A74" s="235" t="s">
        <v>241</v>
      </c>
      <c r="C74" s="299"/>
    </row>
    <row r="75" spans="1:16" s="242" customFormat="1" x14ac:dyDescent="0.2">
      <c r="A75" s="300" t="s">
        <v>100</v>
      </c>
      <c r="C75" s="299"/>
    </row>
    <row r="76" spans="1:16" s="242" customFormat="1" x14ac:dyDescent="0.2">
      <c r="A76" s="301" t="s">
        <v>97</v>
      </c>
      <c r="B76" s="286">
        <f>B37/B$8</f>
        <v>5.2307539682539677</v>
      </c>
      <c r="C76" s="287">
        <f t="shared" ref="C76" si="0">C37/C$8</f>
        <v>-0.86980594691072022</v>
      </c>
      <c r="D76" s="222">
        <f>D5/income!D8</f>
        <v>8.858050698588732E-2</v>
      </c>
      <c r="E76" s="222">
        <f>E5/income!E8</f>
        <v>8.7639352266254369E-2</v>
      </c>
      <c r="F76" s="222">
        <f>F5/income!F8</f>
        <v>7.3630136986301373E-2</v>
      </c>
      <c r="G76" s="222">
        <f>G5/income!G8</f>
        <v>5.4084684985972541E-2</v>
      </c>
      <c r="H76" s="338">
        <f>AVERAGE(D76:G76)</f>
        <v>7.5983670306103895E-2</v>
      </c>
      <c r="I76" s="338">
        <f t="shared" ref="I76:L76" si="1">H76</f>
        <v>7.5983670306103895E-2</v>
      </c>
      <c r="J76" s="338">
        <f t="shared" si="1"/>
        <v>7.5983670306103895E-2</v>
      </c>
      <c r="K76" s="338">
        <f t="shared" si="1"/>
        <v>7.5983670306103895E-2</v>
      </c>
      <c r="L76" s="338">
        <f t="shared" si="1"/>
        <v>7.5983670306103895E-2</v>
      </c>
    </row>
    <row r="77" spans="1:16" s="242" customFormat="1" x14ac:dyDescent="0.2">
      <c r="A77" s="301" t="s">
        <v>265</v>
      </c>
      <c r="B77" s="302"/>
      <c r="C77" s="303"/>
      <c r="D77" s="304"/>
      <c r="E77" s="304"/>
      <c r="F77" s="304"/>
      <c r="G77" s="304"/>
      <c r="H77" s="338"/>
      <c r="I77" s="338"/>
      <c r="J77" s="338"/>
      <c r="K77" s="338"/>
      <c r="L77" s="341"/>
    </row>
    <row r="78" spans="1:16" s="242" customFormat="1" x14ac:dyDescent="0.2">
      <c r="A78" s="305" t="s">
        <v>86</v>
      </c>
      <c r="B78" s="302"/>
      <c r="C78" s="303"/>
      <c r="D78" s="307">
        <f>income!D$8/((D16+C16)/2)</f>
        <v>-82.326913671175973</v>
      </c>
      <c r="E78" s="307">
        <f>income!E$8/((E16+D16)/2)</f>
        <v>-56.911171520795804</v>
      </c>
      <c r="F78" s="307">
        <f>income!F$8/((F16+E16)/2)</f>
        <v>-61.895976447497546</v>
      </c>
      <c r="G78" s="307">
        <f>income!G$8/((G16+F16)/2)</f>
        <v>-137.65473145780052</v>
      </c>
      <c r="H78" s="348">
        <f>AVERAGE(D78:G78)</f>
        <v>-84.697198274317458</v>
      </c>
      <c r="I78" s="348">
        <f t="shared" ref="I78:I86" si="2">H78</f>
        <v>-84.697198274317458</v>
      </c>
      <c r="J78" s="348">
        <f t="shared" ref="J78:J86" si="3">I78</f>
        <v>-84.697198274317458</v>
      </c>
      <c r="K78" s="348">
        <f t="shared" ref="K78:L86" si="4">J78</f>
        <v>-84.697198274317458</v>
      </c>
      <c r="L78" s="348">
        <f t="shared" si="4"/>
        <v>-84.697198274317458</v>
      </c>
    </row>
    <row r="79" spans="1:16" s="242" customFormat="1" x14ac:dyDescent="0.2">
      <c r="A79" s="305" t="s">
        <v>6</v>
      </c>
      <c r="B79" s="302"/>
      <c r="C79" s="303"/>
      <c r="D79" s="307">
        <f>income!D$8/(D17+C17)/2</f>
        <v>-8.9264695361671205</v>
      </c>
      <c r="E79" s="307">
        <f>income!E$8/(E17+D17)/2</f>
        <v>-8.4619600843923699</v>
      </c>
      <c r="F79" s="307">
        <f>income!F$8/(F17+E17)/2</f>
        <v>-18.52878965922444</v>
      </c>
      <c r="G79" s="307">
        <f>income!G$8/(G17+F17)/2</f>
        <v>-12.628578132332239</v>
      </c>
      <c r="H79" s="348">
        <f t="shared" ref="H79:H86" si="5">AVERAGE(D79:G79)</f>
        <v>-12.136449353029043</v>
      </c>
      <c r="I79" s="348">
        <f t="shared" si="2"/>
        <v>-12.136449353029043</v>
      </c>
      <c r="J79" s="348">
        <f t="shared" si="3"/>
        <v>-12.136449353029043</v>
      </c>
      <c r="K79" s="348">
        <f t="shared" si="4"/>
        <v>-12.136449353029043</v>
      </c>
      <c r="L79" s="348">
        <f t="shared" si="4"/>
        <v>-12.136449353029043</v>
      </c>
    </row>
    <row r="80" spans="1:16" s="242" customFormat="1" x14ac:dyDescent="0.2">
      <c r="A80" s="305" t="s">
        <v>85</v>
      </c>
      <c r="B80" s="302"/>
      <c r="C80" s="303"/>
      <c r="D80" s="307">
        <f>income!D$8/(D18+C18)/2</f>
        <v>-6.1765443326502893</v>
      </c>
      <c r="E80" s="307">
        <f>income!E$8/(E18+D18)/2</f>
        <v>-12.555849468759547</v>
      </c>
      <c r="F80" s="307">
        <f>income!F$8/(F18+E18)/2</f>
        <v>-8.5882352941176467</v>
      </c>
      <c r="G80" s="307">
        <f>income!G$8/(G18+F18)/2</f>
        <v>-8.4467984934086626</v>
      </c>
      <c r="H80" s="348">
        <f t="shared" si="5"/>
        <v>-8.941856897234036</v>
      </c>
      <c r="I80" s="348">
        <f t="shared" si="2"/>
        <v>-8.941856897234036</v>
      </c>
      <c r="J80" s="348">
        <f t="shared" si="3"/>
        <v>-8.941856897234036</v>
      </c>
      <c r="K80" s="348">
        <f t="shared" si="4"/>
        <v>-8.941856897234036</v>
      </c>
      <c r="L80" s="348">
        <f t="shared" si="4"/>
        <v>-8.941856897234036</v>
      </c>
    </row>
    <row r="81" spans="1:12" s="242" customFormat="1" x14ac:dyDescent="0.2">
      <c r="A81" s="305" t="s">
        <v>7</v>
      </c>
      <c r="B81" s="302"/>
      <c r="C81" s="303"/>
      <c r="D81" s="307">
        <f>income!D$8/(D19+C19)/2</f>
        <v>-69.585004766258777</v>
      </c>
      <c r="E81" s="307">
        <f>income!E$8/(E19+D19)/2</f>
        <v>-33.202296521445454</v>
      </c>
      <c r="F81" s="307">
        <f>income!F$8/(F19+E19)/2</f>
        <v>-29.254174397031541</v>
      </c>
      <c r="G81" s="307">
        <f>income!G$8/(G19+F19)/2</f>
        <v>-51.554597701149426</v>
      </c>
      <c r="H81" s="348">
        <f t="shared" si="5"/>
        <v>-45.899018346471294</v>
      </c>
      <c r="I81" s="348">
        <f t="shared" si="2"/>
        <v>-45.899018346471294</v>
      </c>
      <c r="J81" s="348">
        <f t="shared" si="3"/>
        <v>-45.899018346471294</v>
      </c>
      <c r="K81" s="348">
        <f t="shared" si="4"/>
        <v>-45.899018346471294</v>
      </c>
      <c r="L81" s="348">
        <f t="shared" si="4"/>
        <v>-45.899018346471294</v>
      </c>
    </row>
    <row r="82" spans="1:12" s="242" customFormat="1" x14ac:dyDescent="0.2">
      <c r="A82" s="305" t="s">
        <v>18</v>
      </c>
      <c r="B82" s="302"/>
      <c r="C82" s="303"/>
      <c r="D82" s="307">
        <f>income!D$8/(D20+C20)/2</f>
        <v>-48.149231362906185</v>
      </c>
      <c r="E82" s="307">
        <f>income!E$8/(E20+D20)/2</f>
        <v>-132.98488242487201</v>
      </c>
      <c r="F82" s="307">
        <f>income!F$8/(F20+E20)/2</f>
        <v>-68.855895196506552</v>
      </c>
      <c r="G82" s="307">
        <f>income!G$8/(G20+F20)/2</f>
        <v>-16.459633027522937</v>
      </c>
      <c r="H82" s="348">
        <f t="shared" si="5"/>
        <v>-66.612410502951931</v>
      </c>
      <c r="I82" s="348">
        <f t="shared" si="2"/>
        <v>-66.612410502951931</v>
      </c>
      <c r="J82" s="348">
        <f t="shared" si="3"/>
        <v>-66.612410502951931</v>
      </c>
      <c r="K82" s="348">
        <f t="shared" si="4"/>
        <v>-66.612410502951931</v>
      </c>
      <c r="L82" s="348">
        <f t="shared" si="4"/>
        <v>-66.612410502951931</v>
      </c>
    </row>
    <row r="83" spans="1:12" s="242" customFormat="1" x14ac:dyDescent="0.2">
      <c r="A83" s="305" t="s">
        <v>84</v>
      </c>
      <c r="B83" s="302"/>
      <c r="C83" s="303"/>
      <c r="D83" s="307">
        <f>income!D$8/(D21+C21)/2</f>
        <v>5.0830645894755992</v>
      </c>
      <c r="E83" s="307">
        <f>income!E$8/(E21+D21)/2</f>
        <v>5.1877493298435953</v>
      </c>
      <c r="F83" s="307">
        <f>income!F$8/(F21+E21)/2</f>
        <v>5.7379912663755457</v>
      </c>
      <c r="G83" s="307">
        <f>income!G$8/(G21+F21)/2</f>
        <v>4.0286676646706585</v>
      </c>
      <c r="H83" s="348">
        <f t="shared" si="5"/>
        <v>5.0093682125913492</v>
      </c>
      <c r="I83" s="348">
        <f t="shared" si="2"/>
        <v>5.0093682125913492</v>
      </c>
      <c r="J83" s="348">
        <f t="shared" si="3"/>
        <v>5.0093682125913492</v>
      </c>
      <c r="K83" s="348">
        <f t="shared" si="4"/>
        <v>5.0093682125913492</v>
      </c>
      <c r="L83" s="348">
        <f t="shared" si="4"/>
        <v>5.0093682125913492</v>
      </c>
    </row>
    <row r="84" spans="1:12" s="242" customFormat="1" x14ac:dyDescent="0.2">
      <c r="A84" s="305" t="s">
        <v>24</v>
      </c>
      <c r="B84" s="302"/>
      <c r="C84" s="303"/>
      <c r="D84" s="307">
        <f>income!D$8/(D22+C22)/2</f>
        <v>12.255696049284859</v>
      </c>
      <c r="E84" s="307">
        <f>income!E$8/(E22+D22)/2</f>
        <v>10.175868890359132</v>
      </c>
      <c r="F84" s="307">
        <f>income!F$8/(F22+E22)/2</f>
        <v>14.053475935828876</v>
      </c>
      <c r="G84" s="307">
        <f>income!G$8/(G22+F22)/2</f>
        <v>24.157540394973068</v>
      </c>
      <c r="H84" s="348">
        <f t="shared" si="5"/>
        <v>15.160645317611484</v>
      </c>
      <c r="I84" s="348">
        <f t="shared" si="2"/>
        <v>15.160645317611484</v>
      </c>
      <c r="J84" s="348">
        <f t="shared" si="3"/>
        <v>15.160645317611484</v>
      </c>
      <c r="K84" s="348">
        <f t="shared" si="4"/>
        <v>15.160645317611484</v>
      </c>
      <c r="L84" s="348">
        <f t="shared" si="4"/>
        <v>15.160645317611484</v>
      </c>
    </row>
    <row r="85" spans="1:12" s="242" customFormat="1" x14ac:dyDescent="0.2">
      <c r="A85" s="305" t="s">
        <v>26</v>
      </c>
      <c r="B85" s="302"/>
      <c r="C85" s="303"/>
      <c r="D85" s="307">
        <f>income!D$8/(D23+C23)/2</f>
        <v>146.30953614572826</v>
      </c>
      <c r="E85" s="307">
        <f>income!E$8/(E23+D23)/2</f>
        <v>-79.445324368878687</v>
      </c>
      <c r="F85" s="307">
        <f>income!F$8/(F23+E23)/2</f>
        <v>-309.1764705882353</v>
      </c>
      <c r="G85" s="307">
        <f>income!G$8/(G23+F23)/2</f>
        <v>139.43782383419691</v>
      </c>
      <c r="H85" s="348">
        <f t="shared" si="5"/>
        <v>-25.718608744297207</v>
      </c>
      <c r="I85" s="348">
        <f t="shared" si="2"/>
        <v>-25.718608744297207</v>
      </c>
      <c r="J85" s="348">
        <f t="shared" si="3"/>
        <v>-25.718608744297207</v>
      </c>
      <c r="K85" s="348">
        <f t="shared" si="4"/>
        <v>-25.718608744297207</v>
      </c>
      <c r="L85" s="348">
        <f t="shared" si="4"/>
        <v>-25.718608744297207</v>
      </c>
    </row>
    <row r="86" spans="1:12" s="242" customFormat="1" x14ac:dyDescent="0.2">
      <c r="A86" s="305" t="s">
        <v>83</v>
      </c>
      <c r="B86" s="302"/>
      <c r="C86" s="303"/>
      <c r="D86" s="307">
        <f>income!D$8/(D24+C24)/2</f>
        <v>109.32446971086254</v>
      </c>
      <c r="E86" s="307">
        <f>income!E$8/(E24+D24)/2</f>
        <v>-111.14829420064396</v>
      </c>
      <c r="F86" s="307"/>
      <c r="G86" s="307"/>
      <c r="H86" s="348">
        <f t="shared" si="5"/>
        <v>-0.91191224489070777</v>
      </c>
      <c r="I86" s="348">
        <f t="shared" si="2"/>
        <v>-0.91191224489070777</v>
      </c>
      <c r="J86" s="348">
        <f t="shared" si="3"/>
        <v>-0.91191224489070777</v>
      </c>
      <c r="K86" s="348">
        <f t="shared" si="4"/>
        <v>-0.91191224489070777</v>
      </c>
      <c r="L86" s="348">
        <f t="shared" si="4"/>
        <v>-0.91191224489070777</v>
      </c>
    </row>
    <row r="87" spans="1:12" s="242" customFormat="1" x14ac:dyDescent="0.2">
      <c r="A87" s="300" t="s">
        <v>81</v>
      </c>
      <c r="B87" s="302"/>
      <c r="C87" s="303"/>
      <c r="D87" s="304"/>
      <c r="E87" s="304"/>
      <c r="F87" s="304"/>
      <c r="G87" s="304"/>
      <c r="H87" s="341"/>
      <c r="I87" s="341"/>
      <c r="J87" s="341"/>
      <c r="K87" s="341"/>
      <c r="L87" s="341"/>
    </row>
    <row r="88" spans="1:12" s="242" customFormat="1" x14ac:dyDescent="0.2">
      <c r="A88" s="236" t="s">
        <v>244</v>
      </c>
      <c r="B88" s="286">
        <f>cashflow!B45/B$8</f>
        <v>11.74769536019536</v>
      </c>
      <c r="C88" s="287">
        <f>cashflow!C45/C$8</f>
        <v>3.8834997911365963</v>
      </c>
      <c r="D88" s="222">
        <f>cashflow!D29/income!H8</f>
        <v>-2.1217472281013196E-2</v>
      </c>
      <c r="E88" s="222">
        <f>cashflow!E29/income!I8</f>
        <v>-1.0218109034360689E-2</v>
      </c>
      <c r="F88" s="222">
        <f>cashflow!F29/income!J8</f>
        <v>-1.9728870391635109E-2</v>
      </c>
      <c r="G88" s="222">
        <f>cashflow!G29/income!K8</f>
        <v>-3.9176200325637588E-2</v>
      </c>
      <c r="H88" s="338">
        <f>AVERAGE(D88:G88)</f>
        <v>-2.2585163008161643E-2</v>
      </c>
      <c r="I88" s="338">
        <f>H88</f>
        <v>-2.2585163008161643E-2</v>
      </c>
      <c r="J88" s="338">
        <f t="shared" ref="J88:L88" si="6">I88</f>
        <v>-2.2585163008161643E-2</v>
      </c>
      <c r="K88" s="338">
        <f t="shared" si="6"/>
        <v>-2.2585163008161643E-2</v>
      </c>
      <c r="L88" s="338">
        <f t="shared" si="6"/>
        <v>-2.2585163008161643E-2</v>
      </c>
    </row>
    <row r="89" spans="1:12" s="242" customFormat="1" x14ac:dyDescent="0.2">
      <c r="A89" s="300"/>
      <c r="B89" s="302"/>
      <c r="C89" s="303"/>
      <c r="D89" s="304"/>
      <c r="E89" s="304"/>
      <c r="F89" s="304"/>
      <c r="G89" s="304"/>
    </row>
    <row r="90" spans="1:12" s="242" customFormat="1" x14ac:dyDescent="0.2">
      <c r="A90" s="300"/>
      <c r="B90" s="302"/>
      <c r="C90" s="303"/>
      <c r="D90" s="304"/>
      <c r="E90" s="304"/>
      <c r="F90" s="304"/>
      <c r="G90" s="304"/>
    </row>
    <row r="91" spans="1:12" s="242" customFormat="1" x14ac:dyDescent="0.2">
      <c r="A91" s="300"/>
      <c r="B91" s="302"/>
      <c r="C91" s="303"/>
      <c r="D91" s="304"/>
      <c r="E91" s="304"/>
      <c r="F91" s="304"/>
      <c r="G91" s="304"/>
    </row>
    <row r="92" spans="1:12" s="242" customFormat="1" x14ac:dyDescent="0.2">
      <c r="A92" s="300"/>
      <c r="B92" s="302"/>
      <c r="C92" s="303"/>
      <c r="D92" s="304"/>
      <c r="E92" s="304"/>
      <c r="F92" s="304"/>
      <c r="G92" s="304"/>
    </row>
  </sheetData>
  <pageMargins left="0.7" right="0.7" top="0.75" bottom="0.75" header="0.3" footer="0.3"/>
  <pageSetup orientation="portrait" horizontalDpi="0" verticalDpi="0"/>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3E3E9-7938-5B41-AAD6-45D5BBDA482E}">
  <dimension ref="A1:L21"/>
  <sheetViews>
    <sheetView zoomScale="190" zoomScaleNormal="190" workbookViewId="0">
      <selection activeCell="E27" sqref="E27"/>
    </sheetView>
  </sheetViews>
  <sheetFormatPr baseColWidth="10" defaultRowHeight="15" x14ac:dyDescent="0.2"/>
  <cols>
    <col min="1" max="1" width="25.33203125" bestFit="1" customWidth="1"/>
    <col min="2" max="12" width="10.83203125" customWidth="1"/>
  </cols>
  <sheetData>
    <row r="1" spans="1:12" s="7" customFormat="1" x14ac:dyDescent="0.2">
      <c r="A1" s="213" t="s">
        <v>181</v>
      </c>
      <c r="B1" s="269">
        <v>2016</v>
      </c>
      <c r="C1" s="270">
        <v>2017</v>
      </c>
      <c r="D1" s="250">
        <v>2018</v>
      </c>
      <c r="E1" s="250">
        <v>2019</v>
      </c>
      <c r="F1" s="250">
        <v>2020</v>
      </c>
      <c r="G1" s="250">
        <v>2021</v>
      </c>
      <c r="H1" s="251">
        <v>2022</v>
      </c>
      <c r="I1" s="251">
        <v>2023</v>
      </c>
      <c r="J1" s="251">
        <v>2024</v>
      </c>
      <c r="K1" s="251">
        <v>2025</v>
      </c>
      <c r="L1" s="251">
        <v>2025</v>
      </c>
    </row>
    <row r="2" spans="1:12" x14ac:dyDescent="0.2">
      <c r="A2" s="343" t="s">
        <v>305</v>
      </c>
    </row>
    <row r="3" spans="1:12" x14ac:dyDescent="0.2">
      <c r="A3" t="s">
        <v>310</v>
      </c>
    </row>
    <row r="4" spans="1:12" x14ac:dyDescent="0.2">
      <c r="A4" t="s">
        <v>306</v>
      </c>
    </row>
    <row r="5" spans="1:12" x14ac:dyDescent="0.2">
      <c r="A5" t="s">
        <v>311</v>
      </c>
    </row>
    <row r="6" spans="1:12" x14ac:dyDescent="0.2">
      <c r="A6" s="158" t="s">
        <v>312</v>
      </c>
    </row>
    <row r="8" spans="1:12" x14ac:dyDescent="0.2">
      <c r="A8" s="343" t="s">
        <v>313</v>
      </c>
    </row>
    <row r="9" spans="1:12" x14ac:dyDescent="0.2">
      <c r="A9" t="s">
        <v>310</v>
      </c>
    </row>
    <row r="10" spans="1:12" x14ac:dyDescent="0.2">
      <c r="A10" t="s">
        <v>306</v>
      </c>
    </row>
    <row r="11" spans="1:12" x14ac:dyDescent="0.2">
      <c r="A11" t="s">
        <v>315</v>
      </c>
    </row>
    <row r="12" spans="1:12" x14ac:dyDescent="0.2">
      <c r="A12" s="158" t="s">
        <v>312</v>
      </c>
    </row>
    <row r="14" spans="1:12" x14ac:dyDescent="0.2">
      <c r="A14" s="343" t="s">
        <v>314</v>
      </c>
    </row>
    <row r="15" spans="1:12" x14ac:dyDescent="0.2">
      <c r="A15" t="s">
        <v>305</v>
      </c>
    </row>
    <row r="16" spans="1:12" x14ac:dyDescent="0.2">
      <c r="A16" t="s">
        <v>307</v>
      </c>
    </row>
    <row r="17" spans="1:5" x14ac:dyDescent="0.2">
      <c r="A17" t="s">
        <v>308</v>
      </c>
      <c r="E17" s="218"/>
    </row>
    <row r="18" spans="1:5" x14ac:dyDescent="0.2">
      <c r="A18" s="158" t="s">
        <v>309</v>
      </c>
    </row>
    <row r="20" spans="1:5" x14ac:dyDescent="0.2">
      <c r="A20" s="343" t="s">
        <v>136</v>
      </c>
    </row>
    <row r="21" spans="1:5" x14ac:dyDescent="0.2">
      <c r="A21" t="s">
        <v>316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EDAE4-17BA-8949-93C8-A7CDED419B71}">
  <dimension ref="A1:B12"/>
  <sheetViews>
    <sheetView zoomScale="210" zoomScaleNormal="210" workbookViewId="0">
      <selection activeCell="E30" sqref="E30"/>
    </sheetView>
  </sheetViews>
  <sheetFormatPr baseColWidth="10" defaultRowHeight="15" x14ac:dyDescent="0.2"/>
  <sheetData>
    <row r="1" spans="1:2" ht="20" x14ac:dyDescent="0.2">
      <c r="A1" t="s">
        <v>280</v>
      </c>
      <c r="B1" t="s">
        <v>282</v>
      </c>
    </row>
    <row r="2" spans="1:2" x14ac:dyDescent="0.2">
      <c r="A2" t="s">
        <v>283</v>
      </c>
      <c r="B2" t="s">
        <v>284</v>
      </c>
    </row>
    <row r="3" spans="1:2" x14ac:dyDescent="0.2">
      <c r="A3" t="s">
        <v>281</v>
      </c>
    </row>
    <row r="5" spans="1:2" x14ac:dyDescent="0.2">
      <c r="A5" t="s">
        <v>290</v>
      </c>
    </row>
    <row r="6" spans="1:2" x14ac:dyDescent="0.2">
      <c r="A6" t="s">
        <v>291</v>
      </c>
    </row>
    <row r="7" spans="1:2" x14ac:dyDescent="0.2">
      <c r="A7" t="s">
        <v>285</v>
      </c>
    </row>
    <row r="8" spans="1:2" x14ac:dyDescent="0.2">
      <c r="A8" t="s">
        <v>286</v>
      </c>
    </row>
    <row r="9" spans="1:2" x14ac:dyDescent="0.2">
      <c r="A9" t="s">
        <v>287</v>
      </c>
    </row>
    <row r="10" spans="1:2" x14ac:dyDescent="0.2">
      <c r="A10" t="s">
        <v>288</v>
      </c>
    </row>
    <row r="11" spans="1:2" x14ac:dyDescent="0.2">
      <c r="A11" t="s">
        <v>289</v>
      </c>
    </row>
    <row r="12" spans="1:2" x14ac:dyDescent="0.2">
      <c r="A12" t="s">
        <v>292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6BC6C-217A-E343-94EC-0889F478B824}">
  <dimension ref="A32:N60"/>
  <sheetViews>
    <sheetView workbookViewId="0">
      <selection activeCell="Q66" sqref="Q66"/>
    </sheetView>
  </sheetViews>
  <sheetFormatPr baseColWidth="10" defaultRowHeight="15" x14ac:dyDescent="0.2"/>
  <sheetData>
    <row r="32" spans="1:14" x14ac:dyDescent="0.2">
      <c r="A32" s="8" t="s">
        <v>139</v>
      </c>
      <c r="B32" s="35"/>
      <c r="C32" s="35"/>
      <c r="D32" s="3">
        <f>income!B13-income!B15</f>
        <v>-1126.7950000000001</v>
      </c>
      <c r="E32" s="3">
        <f>income!C13-income!C15</f>
        <v>-993.46500000000015</v>
      </c>
      <c r="F32" s="3">
        <f>income!D13-income!D15</f>
        <v>-2161.6669999999995</v>
      </c>
      <c r="G32" s="3">
        <f>income!E13-income!E15</f>
        <v>-1299</v>
      </c>
      <c r="H32" s="3">
        <f>income!F13-income!F15</f>
        <v>-3959</v>
      </c>
      <c r="I32" s="3">
        <f>income!G13-income!G15</f>
        <v>-9700</v>
      </c>
      <c r="J32" s="5">
        <f>J18*$J$45</f>
        <v>0</v>
      </c>
      <c r="K32" s="5">
        <f>K18*$J$45</f>
        <v>0</v>
      </c>
      <c r="L32" s="5">
        <f>L18*$J$45</f>
        <v>0</v>
      </c>
      <c r="M32" s="5">
        <f>M18*$J$45</f>
        <v>0</v>
      </c>
      <c r="N32" s="5">
        <f>N18*$J$45</f>
        <v>0</v>
      </c>
    </row>
    <row r="33" spans="1:14" x14ac:dyDescent="0.2">
      <c r="A33" s="8" t="s">
        <v>140</v>
      </c>
      <c r="B33" s="36"/>
      <c r="C33" s="36"/>
      <c r="D33" s="4">
        <f>ABS((income!B13-income!B15)/income!B15)</f>
        <v>0.70457406157984614</v>
      </c>
      <c r="E33" s="4">
        <f>ABS((income!C13-income!C15)/income!C15)</f>
        <v>0.44700598923638252</v>
      </c>
      <c r="F33" s="4">
        <f>ABS((income!D13-income!D15)/income!D15)</f>
        <v>0.53479855745430305</v>
      </c>
      <c r="G33" s="4">
        <f>ABS((income!E13-income!E15)/income!E15)</f>
        <v>0.31924305726222657</v>
      </c>
      <c r="H33" s="4">
        <f>ABS((income!F13-income!F15)/income!F15)</f>
        <v>0.59713423831070889</v>
      </c>
      <c r="I33" s="4">
        <f>ABS((income!G13-income!G15)/income!G15)</f>
        <v>0.71292077024841982</v>
      </c>
      <c r="J33" s="4">
        <f>AVERAGE(D33:I33)</f>
        <v>0.55261277901531447</v>
      </c>
    </row>
    <row r="34" spans="1:14" x14ac:dyDescent="0.2">
      <c r="A34" s="8"/>
      <c r="B34" s="34"/>
      <c r="C34" s="34"/>
    </row>
    <row r="35" spans="1:14" x14ac:dyDescent="0.2">
      <c r="A35" s="28" t="s">
        <v>141</v>
      </c>
      <c r="B35" s="37"/>
      <c r="C35" s="37"/>
      <c r="D35" s="6">
        <f t="shared" ref="D35:I35" si="0">D23-D32</f>
        <v>1126.7950000000001</v>
      </c>
      <c r="E35" s="6">
        <f t="shared" si="0"/>
        <v>993.46500000000015</v>
      </c>
      <c r="F35" s="6">
        <f t="shared" si="0"/>
        <v>2161.6669999999995</v>
      </c>
      <c r="G35" s="6">
        <f t="shared" si="0"/>
        <v>1299</v>
      </c>
      <c r="H35" s="6">
        <f t="shared" si="0"/>
        <v>3959</v>
      </c>
      <c r="I35" s="6">
        <f t="shared" si="0"/>
        <v>9700</v>
      </c>
      <c r="J35" s="6">
        <f>J18-J32</f>
        <v>0</v>
      </c>
      <c r="K35" s="6">
        <f>K18-K32</f>
        <v>0</v>
      </c>
      <c r="L35" s="6">
        <f>L18-L32</f>
        <v>0</v>
      </c>
      <c r="M35" s="6">
        <f>M18-M32</f>
        <v>0</v>
      </c>
      <c r="N35" s="6">
        <f>N18-N32</f>
        <v>0</v>
      </c>
    </row>
    <row r="36" spans="1:14" x14ac:dyDescent="0.2">
      <c r="A36" s="8"/>
      <c r="B36" s="34"/>
      <c r="C36" s="34"/>
    </row>
    <row r="37" spans="1:14" x14ac:dyDescent="0.2">
      <c r="A37" s="8" t="s">
        <v>142</v>
      </c>
      <c r="B37" s="35"/>
      <c r="C37" s="35"/>
      <c r="D37" s="3" t="e">
        <f>cashflow!#REF!</f>
        <v>#REF!</v>
      </c>
      <c r="E37" s="3" t="e">
        <f>cashflow!#REF!</f>
        <v>#REF!</v>
      </c>
      <c r="F37" s="3" t="e">
        <f>cashflow!#REF!</f>
        <v>#REF!</v>
      </c>
      <c r="G37" s="3" t="e">
        <f>cashflow!#REF!</f>
        <v>#REF!</v>
      </c>
      <c r="H37" s="3" t="e">
        <f>cashflow!#REF!</f>
        <v>#REF!</v>
      </c>
      <c r="I37" s="3" t="e">
        <f>cashflow!#REF!</f>
        <v>#REF!</v>
      </c>
      <c r="J37" s="3" t="e">
        <f>#REF!*$J$50</f>
        <v>#REF!</v>
      </c>
      <c r="K37" s="3" t="e">
        <f>#REF!*$J$50</f>
        <v>#REF!</v>
      </c>
      <c r="L37" s="3" t="e">
        <f>#REF!*$J$50</f>
        <v>#REF!</v>
      </c>
      <c r="M37" s="3" t="e">
        <f>#REF!*$J$50</f>
        <v>#REF!</v>
      </c>
      <c r="N37" s="3" t="e">
        <f>#REF!*$J$50</f>
        <v>#REF!</v>
      </c>
    </row>
    <row r="38" spans="1:14" x14ac:dyDescent="0.2">
      <c r="A38" s="8" t="s">
        <v>156</v>
      </c>
      <c r="B38" s="36"/>
      <c r="C38" s="36"/>
      <c r="D38" s="4" t="e">
        <f t="shared" ref="D38:I38" si="1">ABS(D37/D2)</f>
        <v>#REF!</v>
      </c>
      <c r="E38" s="4" t="e">
        <f t="shared" si="1"/>
        <v>#REF!</v>
      </c>
      <c r="F38" s="4" t="e">
        <f t="shared" si="1"/>
        <v>#REF!</v>
      </c>
      <c r="G38" s="4" t="e">
        <f t="shared" si="1"/>
        <v>#REF!</v>
      </c>
      <c r="H38" s="4" t="e">
        <f t="shared" si="1"/>
        <v>#REF!</v>
      </c>
      <c r="I38" s="4" t="e">
        <f t="shared" si="1"/>
        <v>#REF!</v>
      </c>
      <c r="J38" s="4" t="e">
        <f>AVERAGE(D38:I38)</f>
        <v>#REF!</v>
      </c>
      <c r="K38" s="4"/>
      <c r="L38" s="4"/>
      <c r="M38" s="4"/>
      <c r="N38" s="4"/>
    </row>
    <row r="39" spans="1:14" x14ac:dyDescent="0.2">
      <c r="A39" s="8"/>
      <c r="B39" s="35"/>
      <c r="C39" s="35"/>
      <c r="D39" s="3"/>
      <c r="E39" s="3"/>
      <c r="F39" s="3"/>
      <c r="G39" s="3"/>
      <c r="H39" s="3"/>
      <c r="I39" s="3"/>
      <c r="J39" s="3"/>
      <c r="K39" s="3"/>
      <c r="L39" s="3"/>
      <c r="M39" s="3"/>
      <c r="N39" s="3"/>
    </row>
    <row r="40" spans="1:14" x14ac:dyDescent="0.2">
      <c r="A40" s="8" t="s">
        <v>143</v>
      </c>
      <c r="B40" s="35"/>
      <c r="C40" s="35"/>
      <c r="D40" s="3"/>
      <c r="E40" s="3"/>
      <c r="F40" s="3"/>
      <c r="G40" s="3"/>
      <c r="H40" s="3"/>
      <c r="I40" s="3"/>
      <c r="J40" s="3"/>
      <c r="K40" s="3"/>
      <c r="L40" s="3"/>
      <c r="M40" s="3"/>
      <c r="N40" s="3"/>
    </row>
    <row r="41" spans="1:14" x14ac:dyDescent="0.2">
      <c r="A41" s="8"/>
      <c r="B41" s="35"/>
      <c r="C41" s="35"/>
      <c r="D41" s="3"/>
      <c r="E41" s="3"/>
      <c r="F41" s="3"/>
      <c r="G41" s="3"/>
      <c r="H41" s="3"/>
      <c r="I41" s="3"/>
      <c r="J41" s="3"/>
      <c r="K41" s="3"/>
      <c r="L41" s="3"/>
      <c r="M41" s="3"/>
      <c r="N41" s="3"/>
    </row>
    <row r="42" spans="1:14" x14ac:dyDescent="0.2">
      <c r="A42" s="8" t="s">
        <v>144</v>
      </c>
      <c r="B42" s="35"/>
      <c r="C42" s="35"/>
      <c r="D42" s="3"/>
      <c r="E42" s="3"/>
      <c r="F42" s="3"/>
      <c r="G42" s="3"/>
      <c r="H42" s="3"/>
      <c r="I42" s="3"/>
      <c r="J42" s="3"/>
      <c r="K42" s="3"/>
      <c r="L42" s="3"/>
      <c r="M42" s="3"/>
      <c r="N42" s="3"/>
    </row>
    <row r="43" spans="1:14" x14ac:dyDescent="0.2">
      <c r="A43" s="8" t="s">
        <v>145</v>
      </c>
      <c r="B43" s="36"/>
      <c r="C43" s="36"/>
      <c r="D43" s="4"/>
      <c r="E43" s="4"/>
      <c r="F43" s="4"/>
      <c r="G43" s="4"/>
      <c r="H43" s="4"/>
      <c r="I43" s="4"/>
      <c r="J43" s="4"/>
      <c r="K43" s="4"/>
      <c r="L43" s="4"/>
      <c r="M43" s="4"/>
      <c r="N43" s="4"/>
    </row>
    <row r="44" spans="1:14" x14ac:dyDescent="0.2">
      <c r="A44" s="8"/>
      <c r="B44" s="35"/>
      <c r="C44" s="35"/>
      <c r="D44" s="3"/>
      <c r="E44" s="3"/>
      <c r="F44" s="3"/>
      <c r="G44" s="3"/>
      <c r="H44" s="3"/>
      <c r="I44" s="3"/>
      <c r="J44" s="3"/>
      <c r="K44" s="3"/>
      <c r="L44" s="3"/>
      <c r="M44" s="3"/>
      <c r="N44" s="3"/>
    </row>
    <row r="45" spans="1:14" x14ac:dyDescent="0.2">
      <c r="A45" s="29" t="s">
        <v>146</v>
      </c>
      <c r="B45" s="38"/>
      <c r="C45" s="38"/>
      <c r="D45" s="9"/>
      <c r="E45" s="9"/>
      <c r="F45" s="9"/>
      <c r="G45" s="9"/>
      <c r="H45" s="9"/>
      <c r="I45" s="9"/>
      <c r="J45" s="9"/>
      <c r="K45" s="9"/>
      <c r="L45" s="9"/>
      <c r="M45" s="9"/>
      <c r="N45" s="10"/>
    </row>
    <row r="46" spans="1:14" x14ac:dyDescent="0.2">
      <c r="A46" s="30" t="s">
        <v>147</v>
      </c>
      <c r="B46" s="39"/>
      <c r="C46" s="39"/>
      <c r="D46" s="11"/>
      <c r="E46" s="11"/>
      <c r="F46" s="11"/>
      <c r="G46" s="11"/>
      <c r="H46" s="11"/>
      <c r="I46" s="11"/>
      <c r="J46" s="11"/>
      <c r="K46" s="11"/>
      <c r="L46" s="11"/>
      <c r="M46" s="11"/>
      <c r="N46" s="12"/>
    </row>
    <row r="47" spans="1:14" x14ac:dyDescent="0.2">
      <c r="A47" s="8"/>
      <c r="B47" s="35"/>
      <c r="C47" s="35"/>
      <c r="D47" s="3"/>
      <c r="E47" s="3"/>
      <c r="F47" s="3"/>
      <c r="G47" s="3"/>
      <c r="H47" s="3"/>
      <c r="I47" s="3"/>
      <c r="J47" s="3"/>
      <c r="K47" s="3"/>
      <c r="L47" s="3"/>
      <c r="M47" s="3"/>
      <c r="N47" s="3"/>
    </row>
    <row r="48" spans="1:14" x14ac:dyDescent="0.2">
      <c r="A48" s="8" t="s">
        <v>148</v>
      </c>
      <c r="B48" s="35"/>
      <c r="C48" s="35"/>
      <c r="D48" s="3"/>
      <c r="E48" s="3"/>
      <c r="F48" s="3"/>
      <c r="G48" s="3"/>
      <c r="H48" s="3"/>
      <c r="I48" s="3"/>
      <c r="J48" s="3"/>
      <c r="K48" s="3"/>
      <c r="L48" s="3"/>
      <c r="M48" s="3"/>
      <c r="N48" s="3"/>
    </row>
    <row r="49" spans="1:14" x14ac:dyDescent="0.2">
      <c r="A49" s="8" t="s">
        <v>149</v>
      </c>
      <c r="B49" s="35"/>
      <c r="C49" s="35"/>
      <c r="D49" s="3"/>
      <c r="E49" s="3"/>
      <c r="F49" s="3"/>
      <c r="G49" s="3"/>
      <c r="H49" s="3"/>
      <c r="I49" s="3"/>
      <c r="J49" s="3"/>
      <c r="K49" s="3"/>
      <c r="L49" s="3"/>
      <c r="M49" s="3"/>
      <c r="N49" s="3"/>
    </row>
    <row r="50" spans="1:14" x14ac:dyDescent="0.2">
      <c r="A50" s="8"/>
      <c r="B50" s="35"/>
      <c r="C50" s="35"/>
      <c r="D50" s="3"/>
      <c r="E50" s="3"/>
      <c r="F50" s="3"/>
      <c r="G50" s="3"/>
      <c r="H50" s="3"/>
      <c r="I50" s="3"/>
      <c r="J50" s="3"/>
      <c r="K50" s="3"/>
      <c r="L50" s="3"/>
      <c r="M50" s="3"/>
      <c r="N50" s="3"/>
    </row>
    <row r="51" spans="1:14" x14ac:dyDescent="0.2">
      <c r="A51" s="31" t="s">
        <v>150</v>
      </c>
      <c r="B51" s="39"/>
      <c r="C51" s="39"/>
      <c r="D51" s="11"/>
      <c r="E51" s="11"/>
      <c r="F51" s="11"/>
      <c r="G51" s="11"/>
      <c r="H51" s="11"/>
      <c r="I51" s="11"/>
      <c r="J51" s="11"/>
      <c r="K51" s="11"/>
      <c r="L51" s="11"/>
      <c r="M51" s="11"/>
      <c r="N51" s="11"/>
    </row>
    <row r="52" spans="1:14" x14ac:dyDescent="0.2">
      <c r="A52" s="8" t="s">
        <v>151</v>
      </c>
      <c r="B52" s="35"/>
      <c r="C52" s="35"/>
      <c r="D52" s="3"/>
      <c r="E52" s="3"/>
      <c r="F52" s="3"/>
      <c r="G52" s="3"/>
      <c r="H52" s="3"/>
      <c r="I52" s="3"/>
      <c r="J52" s="3"/>
      <c r="K52" s="3"/>
      <c r="L52" s="3"/>
      <c r="M52" s="3"/>
      <c r="N52" s="3"/>
    </row>
    <row r="53" spans="1:14" x14ac:dyDescent="0.2">
      <c r="A53" s="31" t="s">
        <v>152</v>
      </c>
      <c r="B53" s="39"/>
      <c r="C53" s="39"/>
      <c r="D53" s="11"/>
      <c r="E53" s="11"/>
      <c r="F53" s="11"/>
      <c r="G53" s="11"/>
      <c r="H53" s="11"/>
      <c r="I53" s="11"/>
      <c r="J53" s="11"/>
      <c r="K53" s="11"/>
      <c r="L53" s="11"/>
      <c r="M53" s="11"/>
      <c r="N53" s="11"/>
    </row>
    <row r="54" spans="1:14" x14ac:dyDescent="0.2">
      <c r="A54" s="8" t="s">
        <v>153</v>
      </c>
      <c r="B54" s="35"/>
      <c r="C54" s="35"/>
      <c r="D54" s="3"/>
      <c r="E54" s="3"/>
      <c r="F54" s="3"/>
      <c r="G54" s="3"/>
      <c r="H54" s="3"/>
      <c r="I54" s="3"/>
      <c r="J54" s="3"/>
      <c r="K54" s="3"/>
      <c r="L54" s="3"/>
      <c r="M54" s="3"/>
      <c r="N54" s="3"/>
    </row>
    <row r="55" spans="1:14" x14ac:dyDescent="0.2">
      <c r="A55" s="31" t="s">
        <v>154</v>
      </c>
      <c r="B55" s="39"/>
      <c r="C55" s="39"/>
      <c r="D55" s="11"/>
      <c r="E55" s="11"/>
      <c r="F55" s="11"/>
      <c r="G55" s="11"/>
      <c r="H55" s="11"/>
      <c r="I55" s="11"/>
      <c r="J55" s="11"/>
      <c r="K55" s="11"/>
      <c r="L55" s="11"/>
      <c r="M55" s="11"/>
      <c r="N55" s="11"/>
    </row>
    <row r="56" spans="1:14" x14ac:dyDescent="0.2">
      <c r="A56" s="8" t="s">
        <v>155</v>
      </c>
      <c r="B56" s="34"/>
      <c r="C56" s="34"/>
    </row>
    <row r="57" spans="1:14" x14ac:dyDescent="0.2">
      <c r="A57" s="8"/>
      <c r="B57" s="34"/>
      <c r="C57" s="34"/>
    </row>
    <row r="58" spans="1:14" x14ac:dyDescent="0.2">
      <c r="A58" s="8"/>
      <c r="B58" s="34"/>
      <c r="C58" s="34"/>
    </row>
    <row r="59" spans="1:14" x14ac:dyDescent="0.2">
      <c r="A59" s="8"/>
      <c r="B59" s="34"/>
      <c r="C59" s="34"/>
    </row>
    <row r="60" spans="1:14" x14ac:dyDescent="0.2">
      <c r="A60" s="8"/>
      <c r="B60" s="34"/>
      <c r="C60" s="34"/>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F353C-7A28-7547-9C6F-057B710BFDD1}">
  <dimension ref="A1:Q151"/>
  <sheetViews>
    <sheetView topLeftCell="A7" zoomScale="120" zoomScaleNormal="120" workbookViewId="0">
      <selection activeCell="G65" sqref="G65"/>
    </sheetView>
  </sheetViews>
  <sheetFormatPr baseColWidth="10" defaultRowHeight="15" outlineLevelCol="1" x14ac:dyDescent="0.2"/>
  <cols>
    <col min="1" max="1" width="41.5" customWidth="1"/>
    <col min="2" max="2" width="10" style="4" customWidth="1"/>
    <col min="3" max="3" width="12.6640625" bestFit="1" customWidth="1"/>
    <col min="4" max="5" width="13.6640625" bestFit="1" customWidth="1"/>
    <col min="6" max="6" width="11.6640625" bestFit="1" customWidth="1"/>
    <col min="7" max="8" width="11.1640625" bestFit="1" customWidth="1"/>
    <col min="10" max="10" width="11.1640625" style="19" bestFit="1" customWidth="1" outlineLevel="1"/>
    <col min="11" max="11" width="11" style="19" bestFit="1" customWidth="1"/>
    <col min="12" max="14" width="11.1640625" style="19" bestFit="1" customWidth="1"/>
    <col min="15" max="16384" width="10.83203125" style="19"/>
  </cols>
  <sheetData>
    <row r="1" spans="1:17" x14ac:dyDescent="0.2">
      <c r="A1" s="322" t="s">
        <v>177</v>
      </c>
      <c r="B1" s="321" t="s">
        <v>162</v>
      </c>
      <c r="C1" s="321"/>
      <c r="D1" s="321"/>
      <c r="E1" s="321"/>
      <c r="F1" s="321"/>
      <c r="G1" s="321"/>
      <c r="H1" s="321"/>
      <c r="I1" s="321"/>
      <c r="J1" s="321"/>
      <c r="K1" s="321"/>
      <c r="L1" s="321"/>
      <c r="M1" s="321"/>
      <c r="N1" s="321"/>
      <c r="O1" s="43"/>
      <c r="P1" s="43"/>
      <c r="Q1" s="43"/>
    </row>
    <row r="2" spans="1:17" x14ac:dyDescent="0.2">
      <c r="A2" s="323"/>
      <c r="B2" s="56" t="s">
        <v>159</v>
      </c>
      <c r="C2" s="318" t="s">
        <v>176</v>
      </c>
      <c r="D2" s="319"/>
      <c r="E2" s="319"/>
      <c r="F2" s="319"/>
      <c r="G2" s="319"/>
      <c r="H2" s="320"/>
      <c r="I2" s="318" t="s">
        <v>173</v>
      </c>
      <c r="J2" s="319"/>
      <c r="K2" s="319"/>
      <c r="L2" s="319"/>
      <c r="M2" s="319"/>
      <c r="N2" s="320"/>
      <c r="O2" s="43"/>
      <c r="P2" s="43"/>
      <c r="Q2" s="43"/>
    </row>
    <row r="3" spans="1:17" x14ac:dyDescent="0.2">
      <c r="A3" s="324"/>
      <c r="B3" s="57" t="s">
        <v>178</v>
      </c>
      <c r="C3" s="32">
        <v>2016</v>
      </c>
      <c r="D3" s="32">
        <v>2017</v>
      </c>
      <c r="E3" s="32">
        <v>2018</v>
      </c>
      <c r="F3" s="32">
        <v>2019</v>
      </c>
      <c r="G3" s="32">
        <v>2020</v>
      </c>
      <c r="H3" s="32">
        <v>2021</v>
      </c>
      <c r="I3" s="32">
        <v>2016</v>
      </c>
      <c r="J3" s="32">
        <v>2017</v>
      </c>
      <c r="K3" s="32">
        <v>2018</v>
      </c>
      <c r="L3" s="32">
        <v>2019</v>
      </c>
      <c r="M3" s="32">
        <v>2020</v>
      </c>
      <c r="N3" s="32">
        <v>2021</v>
      </c>
      <c r="O3" s="43"/>
      <c r="P3" s="43"/>
      <c r="Q3" s="43"/>
    </row>
    <row r="4" spans="1:17" x14ac:dyDescent="0.2">
      <c r="A4" s="61" t="s">
        <v>165</v>
      </c>
      <c r="B4" s="27"/>
      <c r="C4" s="27"/>
      <c r="D4" s="27"/>
      <c r="E4" s="27"/>
      <c r="F4" s="27"/>
      <c r="G4" s="27"/>
      <c r="H4" s="27"/>
      <c r="I4" s="27"/>
      <c r="J4" s="27"/>
      <c r="K4" s="27"/>
      <c r="L4" s="27"/>
      <c r="M4" s="27"/>
      <c r="N4" s="27"/>
      <c r="O4" s="43"/>
      <c r="P4" s="43"/>
      <c r="Q4" s="43"/>
    </row>
    <row r="5" spans="1:17" x14ac:dyDescent="0.2">
      <c r="A5" s="25" t="s">
        <v>172</v>
      </c>
      <c r="B5" s="21"/>
      <c r="C5" s="19"/>
      <c r="D5" s="19"/>
      <c r="E5" s="19"/>
      <c r="F5" s="19"/>
      <c r="G5" s="19"/>
      <c r="H5" s="19"/>
      <c r="I5" s="19"/>
      <c r="J5" s="43"/>
      <c r="K5" s="43"/>
      <c r="L5" s="43"/>
      <c r="M5" s="43"/>
      <c r="N5" s="43"/>
      <c r="O5" s="43"/>
      <c r="P5" s="43"/>
      <c r="Q5" s="43"/>
    </row>
    <row r="6" spans="1:17" x14ac:dyDescent="0.2">
      <c r="A6" s="8" t="s">
        <v>133</v>
      </c>
      <c r="B6" s="4">
        <f>AVERAGE(J6:N6)</f>
        <v>0.55104753568223708</v>
      </c>
      <c r="C6" s="3">
        <f>forcast!D8</f>
        <v>5589.0069999999996</v>
      </c>
      <c r="D6" s="3">
        <f>forcast!E8</f>
        <v>8534.7520000000004</v>
      </c>
      <c r="E6" s="3">
        <f>forcast!F8</f>
        <v>17631.522000000001</v>
      </c>
      <c r="F6" s="3">
        <f>forcast!G8</f>
        <v>19358</v>
      </c>
      <c r="G6" s="3">
        <f>forcast!H8</f>
        <v>24604</v>
      </c>
      <c r="H6" s="3">
        <f>forcast!I8</f>
        <v>44125</v>
      </c>
      <c r="I6" s="19"/>
      <c r="J6" s="4">
        <f>D6/C6-1</f>
        <v>0.52706053150407595</v>
      </c>
      <c r="K6" s="4">
        <f>E6/D6-1</f>
        <v>1.0658505367232696</v>
      </c>
      <c r="L6" s="4">
        <f>F6/E6-1</f>
        <v>9.79199640280628E-2</v>
      </c>
      <c r="M6" s="4">
        <f>G6/F6-1</f>
        <v>0.27099907015187519</v>
      </c>
      <c r="N6" s="4">
        <f>H6/G6-1</f>
        <v>0.79340757600390188</v>
      </c>
      <c r="O6" s="43"/>
      <c r="P6" s="43"/>
      <c r="Q6" s="43"/>
    </row>
    <row r="7" spans="1:17" x14ac:dyDescent="0.2">
      <c r="A7" s="8" t="s">
        <v>135</v>
      </c>
      <c r="B7" s="4">
        <f>AVERAGE(I7:N7)</f>
        <v>0.79357392490303891</v>
      </c>
      <c r="C7" s="3"/>
      <c r="D7" s="3"/>
      <c r="E7" s="3"/>
      <c r="F7" s="3">
        <v>594</v>
      </c>
      <c r="G7" s="3">
        <v>1580</v>
      </c>
      <c r="H7" s="3">
        <v>1465</v>
      </c>
      <c r="I7" s="19"/>
      <c r="J7" s="20"/>
      <c r="K7" s="44"/>
      <c r="M7" s="4">
        <f t="shared" ref="M7:N12" si="0">G7/F7-1</f>
        <v>1.65993265993266</v>
      </c>
      <c r="N7" s="4">
        <f t="shared" si="0"/>
        <v>-7.2784810126582333E-2</v>
      </c>
      <c r="O7" s="43"/>
      <c r="P7" s="43"/>
      <c r="Q7" s="43"/>
    </row>
    <row r="8" spans="1:17" ht="16" thickBot="1" x14ac:dyDescent="0.25">
      <c r="A8" s="26" t="s">
        <v>132</v>
      </c>
      <c r="B8" s="13">
        <f>AVERAGE(I8:N8)</f>
        <v>0.20121414078041858</v>
      </c>
      <c r="C8" s="22">
        <f>forcast!D10</f>
        <v>761.75900000000001</v>
      </c>
      <c r="D8" s="22">
        <f>forcast!E10</f>
        <v>1106.548</v>
      </c>
      <c r="E8" s="22">
        <f>forcast!F10</f>
        <v>883.46100000000001</v>
      </c>
      <c r="F8" s="22">
        <f>forcast!G10</f>
        <v>869</v>
      </c>
      <c r="G8" s="22">
        <f>forcast!H10</f>
        <v>1052</v>
      </c>
      <c r="H8" s="22">
        <f>forcast!I10</f>
        <v>1642</v>
      </c>
      <c r="I8" s="22"/>
      <c r="J8" s="13">
        <f t="shared" ref="J8:L12" si="1">D8/C8-1</f>
        <v>0.45262215477598566</v>
      </c>
      <c r="K8" s="13">
        <f t="shared" si="1"/>
        <v>-0.20160625657450015</v>
      </c>
      <c r="L8" s="13">
        <f t="shared" si="1"/>
        <v>-1.636857767349098E-2</v>
      </c>
      <c r="M8" s="13">
        <f t="shared" si="0"/>
        <v>0.21058688147295745</v>
      </c>
      <c r="N8" s="13">
        <f t="shared" si="0"/>
        <v>0.56083650190114076</v>
      </c>
      <c r="O8" s="43"/>
      <c r="P8" s="43"/>
      <c r="Q8" s="43"/>
    </row>
    <row r="9" spans="1:17" ht="16" thickTop="1" x14ac:dyDescent="0.2">
      <c r="A9" s="46" t="s">
        <v>134</v>
      </c>
      <c r="B9" s="4">
        <f>AVERAGE(I9:N9)</f>
        <v>0.52106813903379723</v>
      </c>
      <c r="C9" s="24">
        <f>forcast!D11</f>
        <v>6350.7660000000005</v>
      </c>
      <c r="D9" s="24">
        <f>forcast!E11</f>
        <v>9641.2999999999993</v>
      </c>
      <c r="E9" s="24">
        <f>forcast!F11</f>
        <v>18514.983</v>
      </c>
      <c r="F9" s="24">
        <f>forcast!G11</f>
        <v>20821</v>
      </c>
      <c r="G9" s="24">
        <f>forcast!H11</f>
        <v>27236</v>
      </c>
      <c r="H9" s="24">
        <f>forcast!I11</f>
        <v>47232</v>
      </c>
      <c r="I9" s="3"/>
      <c r="J9" s="4">
        <f t="shared" si="1"/>
        <v>0.51813182850698625</v>
      </c>
      <c r="K9" s="4">
        <f t="shared" si="1"/>
        <v>0.92038241730886927</v>
      </c>
      <c r="L9" s="4">
        <f t="shared" si="1"/>
        <v>0.12454869658805512</v>
      </c>
      <c r="M9" s="4">
        <f t="shared" si="0"/>
        <v>0.30810239661879835</v>
      </c>
      <c r="N9" s="4">
        <f t="shared" si="0"/>
        <v>0.73417535614627694</v>
      </c>
      <c r="O9" s="43"/>
      <c r="P9" s="43"/>
      <c r="Q9" s="43"/>
    </row>
    <row r="10" spans="1:17" x14ac:dyDescent="0.2">
      <c r="A10" s="27" t="s">
        <v>130</v>
      </c>
      <c r="B10" s="4">
        <f>AVERAGE(I10:N10)</f>
        <v>1.2465199699466534</v>
      </c>
      <c r="C10" s="24">
        <f>forcast!D12</f>
        <v>181.39400000000001</v>
      </c>
      <c r="D10" s="24">
        <f>forcast!E12</f>
        <v>1116.2660000000001</v>
      </c>
      <c r="E10" s="24">
        <f>forcast!F12</f>
        <v>1555.2440000000001</v>
      </c>
      <c r="F10" s="24">
        <f>forcast!G12</f>
        <v>1531</v>
      </c>
      <c r="G10" s="24">
        <f>forcast!H12</f>
        <v>1994</v>
      </c>
      <c r="H10" s="24">
        <f>forcast!I12</f>
        <v>2789</v>
      </c>
      <c r="I10" s="3"/>
      <c r="J10" s="4">
        <f t="shared" si="1"/>
        <v>5.1538198617374338</v>
      </c>
      <c r="K10" s="4">
        <f t="shared" si="1"/>
        <v>0.39325572936916475</v>
      </c>
      <c r="L10" s="4">
        <f t="shared" si="1"/>
        <v>-1.5588550735447404E-2</v>
      </c>
      <c r="M10" s="4">
        <f t="shared" si="0"/>
        <v>0.30241672109732209</v>
      </c>
      <c r="N10" s="4">
        <f t="shared" si="0"/>
        <v>0.3986960882647943</v>
      </c>
      <c r="O10" s="43"/>
      <c r="P10" s="43"/>
      <c r="Q10" s="43"/>
    </row>
    <row r="11" spans="1:17" ht="16" thickBot="1" x14ac:dyDescent="0.25">
      <c r="A11" s="26" t="s">
        <v>129</v>
      </c>
      <c r="B11" s="13">
        <f>AVERAGE(J11:N11)</f>
        <v>0.56274569299175603</v>
      </c>
      <c r="C11" s="22">
        <f>forcast!D13</f>
        <v>467.97200000000004</v>
      </c>
      <c r="D11" s="22">
        <f>forcast!E13</f>
        <v>1001.1850000000001</v>
      </c>
      <c r="E11" s="22">
        <f>forcast!F13</f>
        <v>1391.0409999999999</v>
      </c>
      <c r="F11" s="22">
        <f>forcast!G13</f>
        <v>2226</v>
      </c>
      <c r="G11" s="22">
        <f>forcast!H13</f>
        <v>2306</v>
      </c>
      <c r="H11" s="22">
        <f>forcast!I13</f>
        <v>3802</v>
      </c>
      <c r="I11" s="22"/>
      <c r="J11" s="13">
        <f t="shared" si="1"/>
        <v>1.1394121870539262</v>
      </c>
      <c r="K11" s="13">
        <f t="shared" si="1"/>
        <v>0.38939456743758627</v>
      </c>
      <c r="L11" s="13">
        <f t="shared" si="1"/>
        <v>0.60024039550236119</v>
      </c>
      <c r="M11" s="13">
        <f t="shared" si="0"/>
        <v>3.5938903863432126E-2</v>
      </c>
      <c r="N11" s="13">
        <f t="shared" si="0"/>
        <v>0.64874241110147435</v>
      </c>
      <c r="O11" s="43"/>
      <c r="P11" s="43"/>
      <c r="Q11" s="43"/>
    </row>
    <row r="12" spans="1:17" ht="16" thickTop="1" x14ac:dyDescent="0.2">
      <c r="A12" s="15" t="s">
        <v>158</v>
      </c>
      <c r="B12" s="52">
        <f>AVERAGE(J12:N12)</f>
        <v>0.52799244701422365</v>
      </c>
      <c r="C12" s="51">
        <f>forcast!D14</f>
        <v>7000.1320000000005</v>
      </c>
      <c r="D12" s="51">
        <f>forcast!E14</f>
        <v>11758.751</v>
      </c>
      <c r="E12" s="51">
        <f>forcast!F14</f>
        <v>21461.268</v>
      </c>
      <c r="F12" s="51">
        <f>forcast!G14</f>
        <v>24578</v>
      </c>
      <c r="G12" s="51">
        <f>forcast!H14</f>
        <v>31536</v>
      </c>
      <c r="H12" s="51">
        <f>forcast!I14</f>
        <v>53823</v>
      </c>
      <c r="I12" s="53"/>
      <c r="J12" s="52">
        <f t="shared" si="1"/>
        <v>0.67978989539054391</v>
      </c>
      <c r="K12" s="52">
        <f t="shared" si="1"/>
        <v>0.82513159773516764</v>
      </c>
      <c r="L12" s="52">
        <f t="shared" si="1"/>
        <v>0.14522590184326489</v>
      </c>
      <c r="M12" s="52">
        <f t="shared" si="0"/>
        <v>0.28309870615998056</v>
      </c>
      <c r="N12" s="52">
        <f t="shared" si="0"/>
        <v>0.70671613394216126</v>
      </c>
      <c r="O12" s="43"/>
      <c r="P12" s="43"/>
      <c r="Q12" s="43"/>
    </row>
    <row r="13" spans="1:17" x14ac:dyDescent="0.2">
      <c r="A13" s="15"/>
      <c r="B13" s="14"/>
      <c r="C13" s="3"/>
      <c r="D13" s="3"/>
      <c r="E13" s="3"/>
      <c r="F13" s="3"/>
      <c r="G13" s="3"/>
      <c r="H13" s="3"/>
      <c r="I13" s="24"/>
      <c r="J13" s="14"/>
      <c r="K13" s="14"/>
      <c r="L13" s="14"/>
      <c r="M13" s="14"/>
      <c r="N13" s="14"/>
      <c r="O13" s="43"/>
      <c r="P13" s="43"/>
      <c r="Q13" s="43"/>
    </row>
    <row r="14" spans="1:17" x14ac:dyDescent="0.2">
      <c r="A14" s="48" t="s">
        <v>171</v>
      </c>
      <c r="B14" s="14"/>
      <c r="C14" s="24"/>
      <c r="D14" s="24"/>
      <c r="E14" s="24"/>
      <c r="F14" s="24"/>
      <c r="G14" s="24"/>
      <c r="H14" s="24"/>
      <c r="I14" s="19"/>
      <c r="J14" s="43"/>
      <c r="K14" s="43"/>
      <c r="L14" s="43"/>
      <c r="M14" s="43"/>
      <c r="N14" s="43"/>
      <c r="O14" s="43"/>
      <c r="P14" s="43"/>
      <c r="Q14" s="43"/>
    </row>
    <row r="15" spans="1:17" x14ac:dyDescent="0.2">
      <c r="A15" s="8" t="s">
        <v>133</v>
      </c>
      <c r="B15" s="14">
        <f>AVERAGE(I15:N15)</f>
        <v>2.765194216670928</v>
      </c>
      <c r="C15" s="3">
        <f>forcast!D17</f>
        <v>4268.0870000000004</v>
      </c>
      <c r="D15" s="3">
        <f>forcast!E17</f>
        <v>6724.4800000000005</v>
      </c>
      <c r="E15" s="3">
        <f>forcast!F17</f>
        <v>13685.572</v>
      </c>
      <c r="F15" s="3">
        <f>forcast!G17</f>
        <v>15939</v>
      </c>
      <c r="G15" s="3">
        <f>forcast!H17</f>
        <v>19696</v>
      </c>
      <c r="H15" s="3">
        <f>forcast!I17</f>
        <v>32415</v>
      </c>
      <c r="I15" s="14">
        <f>C15/$C$6</f>
        <v>0.76365747976339993</v>
      </c>
      <c r="J15" s="14">
        <f t="shared" ref="J15:N15" si="2">D15/$C$6</f>
        <v>1.2031618496809899</v>
      </c>
      <c r="K15" s="14">
        <f t="shared" si="2"/>
        <v>2.4486589478238265</v>
      </c>
      <c r="L15" s="14">
        <f t="shared" si="2"/>
        <v>2.8518482800254144</v>
      </c>
      <c r="M15" s="14">
        <f t="shared" si="2"/>
        <v>3.5240607141841118</v>
      </c>
      <c r="N15" s="14">
        <f t="shared" si="2"/>
        <v>5.7997780285478262</v>
      </c>
      <c r="O15" s="43"/>
      <c r="P15" s="43"/>
      <c r="Q15" s="43"/>
    </row>
    <row r="16" spans="1:17" ht="16" thickBot="1" x14ac:dyDescent="0.25">
      <c r="A16" s="26" t="s">
        <v>132</v>
      </c>
      <c r="B16" s="13">
        <f t="shared" ref="B16:B20" si="3">AVERAGE(I16:N16)</f>
        <v>0.59887772615339896</v>
      </c>
      <c r="C16" s="22">
        <f>forcast!D18</f>
        <v>481.99399999999997</v>
      </c>
      <c r="D16" s="22">
        <f>forcast!E18</f>
        <v>708.22399999999993</v>
      </c>
      <c r="E16" s="22">
        <f>forcast!F18</f>
        <v>488.42500000000001</v>
      </c>
      <c r="F16" s="22">
        <f>forcast!G18</f>
        <v>459</v>
      </c>
      <c r="G16" s="22">
        <f>forcast!H18</f>
        <v>563</v>
      </c>
      <c r="H16" s="22">
        <f>forcast!I18</f>
        <v>978</v>
      </c>
      <c r="I16" s="13"/>
      <c r="J16" s="13"/>
      <c r="K16" s="13"/>
      <c r="L16" s="13">
        <f t="shared" ref="L16:N16" si="4">F16/F$7</f>
        <v>0.77272727272727271</v>
      </c>
      <c r="M16" s="13">
        <f t="shared" si="4"/>
        <v>0.35632911392405064</v>
      </c>
      <c r="N16" s="13">
        <f t="shared" si="4"/>
        <v>0.66757679180887375</v>
      </c>
      <c r="O16" s="43"/>
      <c r="P16" s="43"/>
      <c r="Q16" s="43"/>
    </row>
    <row r="17" spans="1:17" ht="16" thickTop="1" x14ac:dyDescent="0.2">
      <c r="A17" s="8" t="s">
        <v>131</v>
      </c>
      <c r="B17" s="4">
        <f>AVERAGE(I17:N17)</f>
        <v>0.75380347834489314</v>
      </c>
      <c r="C17" s="3">
        <f>forcast!D19</f>
        <v>4750.0810000000001</v>
      </c>
      <c r="D17" s="3">
        <f>forcast!E19</f>
        <v>7432.7039999999997</v>
      </c>
      <c r="E17" s="3">
        <f>forcast!F19</f>
        <v>14173.996999999999</v>
      </c>
      <c r="F17" s="3">
        <f>forcast!G19</f>
        <v>16398</v>
      </c>
      <c r="G17" s="3">
        <f>forcast!H19</f>
        <v>20259</v>
      </c>
      <c r="H17" s="3">
        <f>forcast!I19</f>
        <v>33393</v>
      </c>
      <c r="I17" s="4">
        <f>C17/C$9</f>
        <v>0.74795402633320129</v>
      </c>
      <c r="J17" s="4">
        <f>D17/D$9</f>
        <v>0.77092342318981888</v>
      </c>
      <c r="K17" s="4">
        <f t="shared" ref="K17:N17" si="5">E17/E$9</f>
        <v>0.765541993746362</v>
      </c>
      <c r="L17" s="4">
        <f t="shared" si="5"/>
        <v>0.78757024158301714</v>
      </c>
      <c r="M17" s="4">
        <f t="shared" si="5"/>
        <v>0.74383169334704069</v>
      </c>
      <c r="N17" s="4">
        <f t="shared" si="5"/>
        <v>0.70699949186991873</v>
      </c>
      <c r="O17" s="43"/>
      <c r="P17" s="43"/>
      <c r="Q17" s="43"/>
    </row>
    <row r="18" spans="1:17" x14ac:dyDescent="0.2">
      <c r="A18" s="27" t="s">
        <v>130</v>
      </c>
      <c r="B18" s="14">
        <f t="shared" si="3"/>
        <v>5.5813546718182817E-2</v>
      </c>
      <c r="C18" s="24">
        <f>forcast!D20</f>
        <v>178.33199999999999</v>
      </c>
      <c r="D18" s="24">
        <f>forcast!E20</f>
        <v>874.5379999999999</v>
      </c>
      <c r="E18" s="24">
        <f>forcast!F20</f>
        <v>1364.896</v>
      </c>
      <c r="F18" s="24">
        <f>forcast!G20</f>
        <v>1341</v>
      </c>
      <c r="G18" s="24">
        <f>forcast!H20</f>
        <v>1976</v>
      </c>
      <c r="H18" s="24">
        <f>forcast!I20</f>
        <v>2918</v>
      </c>
      <c r="I18" s="14">
        <f t="shared" ref="I18:N18" si="6">C18/C$12</f>
        <v>2.5475519604487455E-2</v>
      </c>
      <c r="J18" s="14">
        <f t="shared" si="6"/>
        <v>7.4373375199457817E-2</v>
      </c>
      <c r="K18" s="14">
        <f t="shared" si="6"/>
        <v>6.3598106132405588E-2</v>
      </c>
      <c r="L18" s="14">
        <f t="shared" si="6"/>
        <v>5.456098950280739E-2</v>
      </c>
      <c r="M18" s="14">
        <f t="shared" si="6"/>
        <v>6.2658548959918819E-2</v>
      </c>
      <c r="N18" s="14">
        <f t="shared" si="6"/>
        <v>5.4214740910019883E-2</v>
      </c>
      <c r="O18" s="43"/>
      <c r="P18" s="43"/>
      <c r="Q18" s="43"/>
    </row>
    <row r="19" spans="1:17" ht="16" thickBot="1" x14ac:dyDescent="0.25">
      <c r="A19" s="26" t="s">
        <v>129</v>
      </c>
      <c r="B19" s="13">
        <f>AVERAGE(I19:N19)</f>
        <v>1.1698239225608504</v>
      </c>
      <c r="C19" s="22">
        <f>forcast!D21</f>
        <v>472.46199999999999</v>
      </c>
      <c r="D19" s="22">
        <f>forcast!E21</f>
        <v>1229.0219999999999</v>
      </c>
      <c r="E19" s="22">
        <f>forcast!F21</f>
        <v>1880.354</v>
      </c>
      <c r="F19" s="22">
        <f>forcast!G21</f>
        <v>2770</v>
      </c>
      <c r="G19" s="22">
        <f>forcast!H21</f>
        <v>2671</v>
      </c>
      <c r="H19" s="22">
        <f>forcast!I21</f>
        <v>3906</v>
      </c>
      <c r="I19" s="13">
        <f>C19/C$11</f>
        <v>1.0095945911293838</v>
      </c>
      <c r="J19" s="13">
        <f t="shared" ref="J19:N19" si="7">D19/D$11</f>
        <v>1.2275673327107377</v>
      </c>
      <c r="K19" s="13">
        <f t="shared" si="7"/>
        <v>1.3517603003793563</v>
      </c>
      <c r="L19" s="13">
        <f t="shared" si="7"/>
        <v>1.2443845462713388</v>
      </c>
      <c r="M19" s="13">
        <f t="shared" si="7"/>
        <v>1.1582827406764962</v>
      </c>
      <c r="N19" s="13">
        <f t="shared" si="7"/>
        <v>1.0273540241977905</v>
      </c>
      <c r="O19" s="43"/>
      <c r="P19" s="43"/>
      <c r="Q19" s="43"/>
    </row>
    <row r="20" spans="1:17" ht="16" thickTop="1" x14ac:dyDescent="0.2">
      <c r="A20" s="46" t="s">
        <v>169</v>
      </c>
      <c r="B20" s="50">
        <f t="shared" si="3"/>
        <v>0.79426827495705865</v>
      </c>
      <c r="C20" s="51">
        <f>forcast!D22</f>
        <v>5400.875</v>
      </c>
      <c r="D20" s="51">
        <f>forcast!E22</f>
        <v>9536.2639999999992</v>
      </c>
      <c r="E20" s="51">
        <f>forcast!F22</f>
        <v>17419.246999999999</v>
      </c>
      <c r="F20" s="51">
        <f>forcast!G22</f>
        <v>20509</v>
      </c>
      <c r="G20" s="51">
        <f>forcast!H22</f>
        <v>24906</v>
      </c>
      <c r="H20" s="51">
        <f>forcast!I22</f>
        <v>40217</v>
      </c>
      <c r="I20" s="50">
        <f>C20/C12</f>
        <v>0.771539022407006</v>
      </c>
      <c r="J20" s="50">
        <f t="shared" ref="J20:N20" si="8">D20/D12</f>
        <v>0.81099293623957158</v>
      </c>
      <c r="K20" s="50">
        <f t="shared" si="8"/>
        <v>0.8116597304502231</v>
      </c>
      <c r="L20" s="50">
        <f t="shared" si="8"/>
        <v>0.83444543901049717</v>
      </c>
      <c r="M20" s="50">
        <f t="shared" si="8"/>
        <v>0.7897640791476408</v>
      </c>
      <c r="N20" s="50">
        <f t="shared" si="8"/>
        <v>0.74720844248741247</v>
      </c>
      <c r="O20" s="43"/>
      <c r="P20" s="43"/>
      <c r="Q20" s="43"/>
    </row>
    <row r="21" spans="1:17" x14ac:dyDescent="0.2">
      <c r="A21" s="8"/>
      <c r="C21" s="19"/>
      <c r="D21" s="19"/>
      <c r="E21" s="19"/>
      <c r="F21" s="19"/>
      <c r="G21" s="19"/>
      <c r="H21" s="19"/>
      <c r="I21" s="19"/>
      <c r="J21" s="43"/>
      <c r="K21" s="43"/>
      <c r="L21" s="43"/>
      <c r="M21" s="43"/>
      <c r="N21" s="43"/>
      <c r="O21" s="43"/>
      <c r="P21" s="43"/>
      <c r="Q21" s="43"/>
    </row>
    <row r="22" spans="1:17" x14ac:dyDescent="0.2">
      <c r="A22" s="8" t="s">
        <v>174</v>
      </c>
      <c r="B22" s="21"/>
      <c r="C22" s="19"/>
      <c r="D22" s="19"/>
      <c r="E22" s="19"/>
      <c r="F22" s="19"/>
      <c r="G22" s="19"/>
      <c r="H22" s="19"/>
      <c r="I22" s="19"/>
      <c r="J22" s="43"/>
      <c r="K22" s="43"/>
      <c r="L22" s="43"/>
      <c r="M22" s="43"/>
      <c r="N22" s="43"/>
      <c r="O22" s="43"/>
      <c r="P22" s="43"/>
      <c r="Q22" s="43"/>
    </row>
    <row r="23" spans="1:17" x14ac:dyDescent="0.2">
      <c r="A23" s="8" t="s">
        <v>127</v>
      </c>
      <c r="B23" s="4">
        <f>AVERAGE(I23:N23)</f>
        <v>7.5756547496860907E-2</v>
      </c>
      <c r="C23" s="3">
        <f>forcast!D26</f>
        <v>834.40800000000002</v>
      </c>
      <c r="D23" s="3">
        <f>forcast!E26</f>
        <v>1378.0729999999999</v>
      </c>
      <c r="E23" s="3">
        <f>forcast!F26</f>
        <v>1460.3700000000001</v>
      </c>
      <c r="F23" s="3">
        <f>forcast!G26</f>
        <v>1343</v>
      </c>
      <c r="G23" s="3">
        <f>forcast!H26</f>
        <v>1491</v>
      </c>
      <c r="H23" s="3">
        <f>forcast!I26</f>
        <v>2593</v>
      </c>
      <c r="I23" s="4">
        <f t="shared" ref="I23:N24" si="9">C23/C$12</f>
        <v>0.11919889510654941</v>
      </c>
      <c r="J23" s="4">
        <f t="shared" si="9"/>
        <v>0.11719552527304981</v>
      </c>
      <c r="K23" s="4">
        <f t="shared" si="9"/>
        <v>6.8046771514152851E-2</v>
      </c>
      <c r="L23" s="4">
        <f t="shared" si="9"/>
        <v>5.4642363088941333E-2</v>
      </c>
      <c r="M23" s="4">
        <f t="shared" si="9"/>
        <v>4.7279299847792999E-2</v>
      </c>
      <c r="N23" s="4">
        <f t="shared" si="9"/>
        <v>4.817643015067908E-2</v>
      </c>
      <c r="O23" s="43"/>
      <c r="P23" s="43"/>
      <c r="Q23" s="43"/>
    </row>
    <row r="24" spans="1:17" x14ac:dyDescent="0.2">
      <c r="A24" s="8" t="s">
        <v>126</v>
      </c>
      <c r="B24" s="4">
        <f>AVERAGE(I24:N24)</f>
        <v>0.13976436255371652</v>
      </c>
      <c r="C24" s="3">
        <f>forcast!D27</f>
        <v>1432.1889999999999</v>
      </c>
      <c r="D24" s="3">
        <f>forcast!E27</f>
        <v>2476.5</v>
      </c>
      <c r="E24" s="3">
        <f>forcast!F27</f>
        <v>2834.491</v>
      </c>
      <c r="F24" s="3">
        <f>forcast!G27</f>
        <v>2646</v>
      </c>
      <c r="G24" s="3">
        <f>forcast!H27</f>
        <v>3145</v>
      </c>
      <c r="H24" s="3">
        <f>forcast!I27</f>
        <v>4517</v>
      </c>
      <c r="I24" s="4">
        <f t="shared" si="9"/>
        <v>0.20459457050238478</v>
      </c>
      <c r="J24" s="4">
        <f t="shared" si="9"/>
        <v>0.21060910295659802</v>
      </c>
      <c r="K24" s="4">
        <f t="shared" si="9"/>
        <v>0.13207472177319626</v>
      </c>
      <c r="L24" s="4">
        <f t="shared" si="9"/>
        <v>0.10765725445520384</v>
      </c>
      <c r="M24" s="4">
        <f t="shared" si="9"/>
        <v>9.9727295788939629E-2</v>
      </c>
      <c r="N24" s="4">
        <f t="shared" si="9"/>
        <v>8.3923229845976624E-2</v>
      </c>
      <c r="O24" s="43"/>
      <c r="P24" s="43"/>
      <c r="Q24" s="43"/>
    </row>
    <row r="25" spans="1:17" ht="16" thickBot="1" x14ac:dyDescent="0.25">
      <c r="A25" s="26" t="s">
        <v>125</v>
      </c>
      <c r="B25" s="13">
        <f>AVERAGE(I25:N25)</f>
        <v>2.9654866273473839E-3</v>
      </c>
      <c r="C25" s="47"/>
      <c r="D25" s="47"/>
      <c r="E25" s="22">
        <f>forcast!F28</f>
        <v>135.233</v>
      </c>
      <c r="F25" s="22">
        <f>forcast!G28</f>
        <v>149</v>
      </c>
      <c r="G25" s="22"/>
      <c r="H25" s="54">
        <f>forcast!I28</f>
        <v>-27</v>
      </c>
      <c r="I25" s="13"/>
      <c r="J25" s="13"/>
      <c r="K25" s="13">
        <f t="shared" ref="K25:N26" si="10">E25/E$12</f>
        <v>6.3012586208792513E-3</v>
      </c>
      <c r="L25" s="13">
        <f t="shared" si="10"/>
        <v>6.0623321669785986E-3</v>
      </c>
      <c r="M25" s="13">
        <f t="shared" si="10"/>
        <v>0</v>
      </c>
      <c r="N25" s="13">
        <f t="shared" si="10"/>
        <v>-5.0164427846831284E-4</v>
      </c>
      <c r="O25" s="43"/>
      <c r="P25" s="43"/>
      <c r="Q25" s="43"/>
    </row>
    <row r="26" spans="1:17" ht="16" thickTop="1" x14ac:dyDescent="0.2">
      <c r="A26" s="15" t="s">
        <v>124</v>
      </c>
      <c r="B26" s="50">
        <f>AVERAGE(I26:N26)</f>
        <v>0.21749790113547571</v>
      </c>
      <c r="C26" s="51">
        <f>income!B19</f>
        <v>2266.5970000000002</v>
      </c>
      <c r="D26" s="51">
        <f>income!C19</f>
        <v>3854.5730000000003</v>
      </c>
      <c r="E26" s="51">
        <f>income!D19</f>
        <v>4430.0940000000001</v>
      </c>
      <c r="F26" s="51">
        <f>income!E19</f>
        <v>4138</v>
      </c>
      <c r="G26" s="51">
        <f>income!F19</f>
        <v>4636</v>
      </c>
      <c r="H26" s="51">
        <f>income!G19</f>
        <v>7083</v>
      </c>
      <c r="I26" s="50">
        <f>C26/C$12</f>
        <v>0.32379346560893424</v>
      </c>
      <c r="J26" s="50">
        <f>D26/D$12</f>
        <v>0.3278046282296479</v>
      </c>
      <c r="K26" s="50">
        <f t="shared" si="10"/>
        <v>0.20642275190822834</v>
      </c>
      <c r="L26" s="50">
        <f t="shared" si="10"/>
        <v>0.16836194971112378</v>
      </c>
      <c r="M26" s="50">
        <f t="shared" si="10"/>
        <v>0.14700659563673263</v>
      </c>
      <c r="N26" s="50">
        <f t="shared" si="10"/>
        <v>0.13159801571818738</v>
      </c>
      <c r="O26" s="43"/>
      <c r="P26" s="43"/>
      <c r="Q26" s="43"/>
    </row>
    <row r="27" spans="1:17" x14ac:dyDescent="0.2">
      <c r="A27" s="8"/>
      <c r="C27" s="3"/>
      <c r="D27" s="3"/>
      <c r="E27" s="3"/>
      <c r="F27" s="43"/>
      <c r="G27" s="43"/>
      <c r="H27" s="43"/>
      <c r="I27" s="43"/>
      <c r="J27" s="43"/>
      <c r="K27" s="43"/>
      <c r="L27" s="43"/>
      <c r="M27" s="43"/>
      <c r="N27" s="43"/>
      <c r="O27" s="43"/>
      <c r="P27" s="43"/>
      <c r="Q27" s="43"/>
    </row>
    <row r="28" spans="1:17" x14ac:dyDescent="0.2">
      <c r="A28" s="25" t="s">
        <v>170</v>
      </c>
      <c r="C28" s="3"/>
      <c r="D28" s="3"/>
      <c r="E28" s="3"/>
      <c r="F28" s="43"/>
      <c r="G28" s="43"/>
      <c r="H28" s="43"/>
      <c r="I28" s="43"/>
      <c r="J28" s="43"/>
      <c r="K28" s="43"/>
      <c r="L28" s="43"/>
      <c r="M28" s="43"/>
      <c r="N28" s="43"/>
      <c r="O28" s="43"/>
      <c r="P28" s="43"/>
      <c r="Q28" s="43"/>
    </row>
    <row r="29" spans="1:17" x14ac:dyDescent="0.2">
      <c r="A29" s="15" t="str">
        <f>income!A20</f>
        <v>EBIT</v>
      </c>
      <c r="B29" s="50">
        <f>AVERAGE(M29:N29)</f>
        <v>9.2211433505013374E-2</v>
      </c>
      <c r="C29" s="72">
        <f>income!B20</f>
        <v>-667.34</v>
      </c>
      <c r="D29" s="72">
        <f>income!C20</f>
        <v>-1632.086</v>
      </c>
      <c r="E29" s="72">
        <f>income!D20</f>
        <v>-388.07299999999998</v>
      </c>
      <c r="F29" s="72">
        <f>income!E20</f>
        <v>-69</v>
      </c>
      <c r="G29" s="72">
        <f>income!F20</f>
        <v>1994</v>
      </c>
      <c r="H29" s="72">
        <f>income!G20</f>
        <v>6523</v>
      </c>
      <c r="I29" s="50">
        <f t="shared" ref="I29:N29" si="11">C29/C$12</f>
        <v>-9.533248801594027E-2</v>
      </c>
      <c r="J29" s="50">
        <f t="shared" si="11"/>
        <v>-0.13879756446921956</v>
      </c>
      <c r="K29" s="50">
        <f t="shared" si="11"/>
        <v>-1.8082482358451512E-2</v>
      </c>
      <c r="L29" s="113">
        <f>F29/F$12</f>
        <v>-2.8073887216209618E-3</v>
      </c>
      <c r="M29" s="50">
        <f t="shared" si="11"/>
        <v>6.3229325215626589E-2</v>
      </c>
      <c r="N29" s="50">
        <f t="shared" si="11"/>
        <v>0.12119354179440016</v>
      </c>
      <c r="O29" s="43"/>
      <c r="P29" s="43"/>
      <c r="Q29" s="43"/>
    </row>
    <row r="30" spans="1:17" x14ac:dyDescent="0.2">
      <c r="A30" s="8"/>
      <c r="B30" s="19"/>
      <c r="C30" s="43"/>
      <c r="D30" s="43"/>
      <c r="E30" s="43"/>
      <c r="F30" s="43"/>
      <c r="G30" s="43"/>
      <c r="H30" s="43"/>
      <c r="I30" s="43"/>
      <c r="J30" s="43"/>
      <c r="K30" s="43"/>
      <c r="L30" s="43"/>
      <c r="M30" s="43"/>
      <c r="N30" s="43"/>
      <c r="O30" s="43"/>
      <c r="P30" s="43"/>
      <c r="Q30" s="43"/>
    </row>
    <row r="31" spans="1:17" x14ac:dyDescent="0.2">
      <c r="A31" s="8" t="s">
        <v>175</v>
      </c>
      <c r="B31" s="19"/>
      <c r="C31" s="43"/>
      <c r="D31" s="43"/>
      <c r="E31" s="43"/>
      <c r="F31" s="43"/>
      <c r="G31" s="43"/>
      <c r="H31" s="43"/>
      <c r="I31" s="43"/>
      <c r="J31" s="43"/>
      <c r="K31" s="43"/>
      <c r="L31" s="43"/>
      <c r="M31" s="43"/>
      <c r="N31" s="43"/>
      <c r="O31" s="43"/>
      <c r="P31" s="43"/>
      <c r="Q31" s="43"/>
    </row>
    <row r="32" spans="1:17" x14ac:dyDescent="0.2">
      <c r="A32" s="8" t="str">
        <f>income!A23</f>
        <v>Interest income</v>
      </c>
      <c r="B32" s="19"/>
      <c r="C32" s="68">
        <f>income!B23</f>
        <v>8.5299999999999994</v>
      </c>
      <c r="D32" s="68">
        <f>income!C23</f>
        <v>19.686</v>
      </c>
      <c r="E32" s="68">
        <f>income!D23</f>
        <v>24.533000000000001</v>
      </c>
      <c r="F32" s="68">
        <f>income!E23</f>
        <v>44</v>
      </c>
      <c r="G32" s="68">
        <f>income!F23</f>
        <v>30</v>
      </c>
      <c r="H32" s="68">
        <f>income!G23</f>
        <v>56</v>
      </c>
      <c r="I32" s="43"/>
      <c r="J32" s="43"/>
      <c r="K32" s="43"/>
      <c r="L32" s="43"/>
      <c r="M32" s="43"/>
      <c r="N32" s="43"/>
      <c r="O32" s="43"/>
      <c r="P32" s="43"/>
      <c r="Q32" s="43"/>
    </row>
    <row r="33" spans="1:17" x14ac:dyDescent="0.2">
      <c r="A33" s="121" t="s">
        <v>200</v>
      </c>
      <c r="B33" s="123">
        <f>AVERAGE(I33:N33)</f>
        <v>4.1810108533748496</v>
      </c>
      <c r="C33" s="68">
        <v>68442.600000000006</v>
      </c>
      <c r="D33" s="68">
        <v>102148.68000000001</v>
      </c>
      <c r="E33" s="68">
        <v>119713.71</v>
      </c>
      <c r="F33" s="68">
        <v>13419</v>
      </c>
      <c r="G33" s="68">
        <v>11688</v>
      </c>
      <c r="H33" s="68">
        <v>6834</v>
      </c>
      <c r="I33" s="20">
        <f>C33/C12</f>
        <v>9.7773299132073515</v>
      </c>
      <c r="J33" s="20">
        <f t="shared" ref="J33:N33" si="12">D33/D12</f>
        <v>8.6870348730064961</v>
      </c>
      <c r="K33" s="20">
        <f t="shared" si="12"/>
        <v>5.5781284684576891</v>
      </c>
      <c r="L33" s="20">
        <f t="shared" si="12"/>
        <v>0.54597607616567667</v>
      </c>
      <c r="M33" s="20">
        <f t="shared" si="12"/>
        <v>0.37062404870624049</v>
      </c>
      <c r="N33" s="20">
        <f t="shared" si="12"/>
        <v>0.12697174070564629</v>
      </c>
      <c r="O33" s="43"/>
      <c r="P33" s="43"/>
      <c r="Q33" s="43"/>
    </row>
    <row r="34" spans="1:17" x14ac:dyDescent="0.2">
      <c r="A34" s="122" t="s">
        <v>122</v>
      </c>
      <c r="B34" s="123">
        <f>AVERAGE(I34:N34)</f>
        <v>-4.9983673912385257E-2</v>
      </c>
      <c r="C34" s="68">
        <v>-1988.1</v>
      </c>
      <c r="D34" s="68">
        <v>-4712.59</v>
      </c>
      <c r="E34" s="68">
        <v>-6630.71</v>
      </c>
      <c r="F34" s="68">
        <v>-685</v>
      </c>
      <c r="G34" s="68">
        <v>-748</v>
      </c>
      <c r="H34" s="68">
        <v>-371</v>
      </c>
      <c r="I34" s="20">
        <f>C34/C33</f>
        <v>-2.9047698363300047E-2</v>
      </c>
      <c r="J34" s="20">
        <f t="shared" ref="J34:N34" si="13">D34/D33</f>
        <v>-4.6134614759583775E-2</v>
      </c>
      <c r="K34" s="20">
        <f t="shared" si="13"/>
        <v>-5.5388058727776454E-2</v>
      </c>
      <c r="L34" s="20">
        <f t="shared" si="13"/>
        <v>-5.1047022878008795E-2</v>
      </c>
      <c r="M34" s="20">
        <f t="shared" si="13"/>
        <v>-6.3997262149212863E-2</v>
      </c>
      <c r="N34" s="20">
        <f t="shared" si="13"/>
        <v>-5.4287386596429614E-2</v>
      </c>
      <c r="O34" s="43"/>
      <c r="P34" s="43"/>
      <c r="Q34" s="43"/>
    </row>
    <row r="35" spans="1:17" ht="16" thickBot="1" x14ac:dyDescent="0.25">
      <c r="A35" s="26" t="s">
        <v>121</v>
      </c>
      <c r="B35" s="13"/>
      <c r="C35" s="69">
        <v>1112.72</v>
      </c>
      <c r="D35" s="69">
        <v>-1253.73</v>
      </c>
      <c r="E35" s="69">
        <v>218.66</v>
      </c>
      <c r="F35" s="69">
        <v>45</v>
      </c>
      <c r="G35" s="69">
        <v>-122</v>
      </c>
      <c r="H35" s="69">
        <v>135</v>
      </c>
      <c r="I35" s="47"/>
      <c r="J35" s="47"/>
      <c r="K35" s="47"/>
      <c r="L35" s="47"/>
      <c r="M35" s="47"/>
      <c r="N35" s="47"/>
      <c r="O35" s="43"/>
      <c r="P35" s="43"/>
      <c r="Q35" s="43"/>
    </row>
    <row r="36" spans="1:17" ht="16" thickTop="1" x14ac:dyDescent="0.2">
      <c r="A36" s="127" t="s">
        <v>198</v>
      </c>
      <c r="B36" s="128"/>
      <c r="C36" s="129">
        <f>SUM(C32:C35)</f>
        <v>67575.75</v>
      </c>
      <c r="D36" s="129">
        <f t="shared" ref="D36:H36" si="14">SUM(D32:D35)</f>
        <v>96202.046000000017</v>
      </c>
      <c r="E36" s="129">
        <f t="shared" si="14"/>
        <v>113326.193</v>
      </c>
      <c r="F36" s="129">
        <f t="shared" si="14"/>
        <v>12823</v>
      </c>
      <c r="G36" s="129">
        <f t="shared" si="14"/>
        <v>10848</v>
      </c>
      <c r="H36" s="129">
        <f t="shared" si="14"/>
        <v>6654</v>
      </c>
      <c r="I36" s="130"/>
      <c r="J36" s="130"/>
      <c r="K36" s="130"/>
      <c r="L36" s="130"/>
      <c r="M36" s="130"/>
      <c r="N36" s="130"/>
      <c r="O36" s="43"/>
      <c r="P36" s="43"/>
      <c r="Q36" s="43"/>
    </row>
    <row r="37" spans="1:17" ht="16" thickBot="1" x14ac:dyDescent="0.25">
      <c r="A37" s="55" t="s">
        <v>120</v>
      </c>
      <c r="B37" s="124">
        <f>AVERAGE(I37:N37)</f>
        <v>-0.10604375381151541</v>
      </c>
      <c r="C37" s="70">
        <f>income!B26</f>
        <v>-746.34799999999996</v>
      </c>
      <c r="D37" s="70">
        <f>income!C26</f>
        <v>-2209.0320000000002</v>
      </c>
      <c r="E37" s="70">
        <f>income!D26</f>
        <v>-1004.7450000000001</v>
      </c>
      <c r="F37" s="70">
        <f>income!E26</f>
        <v>-665</v>
      </c>
      <c r="G37" s="70">
        <f>income!F26</f>
        <v>1154</v>
      </c>
      <c r="H37" s="70">
        <f>income!G26</f>
        <v>6343</v>
      </c>
      <c r="I37" s="125">
        <f>(C38-C37)/-C37</f>
        <v>-3.5771516772336892E-2</v>
      </c>
      <c r="J37" s="125">
        <f>(D38-D37)/-D37</f>
        <v>-1.4280463116876451E-2</v>
      </c>
      <c r="K37" s="125">
        <f>(E38-E37)/-E37</f>
        <v>-5.7563859486735425E-2</v>
      </c>
      <c r="L37" s="125">
        <f>(F38-F37)/-F37</f>
        <v>-0.16541353383458646</v>
      </c>
      <c r="M37" s="125">
        <f>(G38-G37)/G37</f>
        <v>-0.2530329289428076</v>
      </c>
      <c r="N37" s="125">
        <f>(H38-H37)/H37</f>
        <v>-0.11020022071574964</v>
      </c>
      <c r="O37" s="43"/>
      <c r="P37" s="43"/>
      <c r="Q37" s="43"/>
    </row>
    <row r="38" spans="1:17" ht="16" thickTop="1" x14ac:dyDescent="0.2">
      <c r="A38" s="15" t="s">
        <v>99</v>
      </c>
      <c r="B38" s="50">
        <f>AVERAGE(M38:N38)</f>
        <v>6.6098037153801747E-2</v>
      </c>
      <c r="C38" s="71">
        <f>income!B28</f>
        <v>-773.04600000000005</v>
      </c>
      <c r="D38" s="71">
        <f>income!C28</f>
        <v>-2240.578</v>
      </c>
      <c r="E38" s="71">
        <f>income!D28</f>
        <v>-1062.5820000000001</v>
      </c>
      <c r="F38" s="71">
        <f>income!E28</f>
        <v>-775</v>
      </c>
      <c r="G38" s="71">
        <f>income!F28</f>
        <v>862</v>
      </c>
      <c r="H38" s="71">
        <f>income!G28</f>
        <v>5644</v>
      </c>
      <c r="I38" s="50">
        <f>C38/C$12</f>
        <v>-0.11043306040514664</v>
      </c>
      <c r="J38" s="50">
        <f t="shared" ref="J38" si="15">D38/D$12</f>
        <v>-0.19054557750223641</v>
      </c>
      <c r="K38" s="50">
        <f t="shared" ref="K38" si="16">E38/E$12</f>
        <v>-4.951161320011474E-2</v>
      </c>
      <c r="L38" s="50">
        <f t="shared" ref="L38" si="17">F38/F$12</f>
        <v>-3.1532264626902111E-2</v>
      </c>
      <c r="M38" s="50">
        <f t="shared" ref="M38" si="18">G38/G$12</f>
        <v>2.7333840690005072E-2</v>
      </c>
      <c r="N38" s="50">
        <f t="shared" ref="N38" si="19">H38/H$12</f>
        <v>0.10486223361759843</v>
      </c>
      <c r="O38" s="43"/>
      <c r="P38" s="43"/>
      <c r="Q38" s="43"/>
    </row>
    <row r="39" spans="1:17" x14ac:dyDescent="0.2">
      <c r="A39" s="19"/>
      <c r="B39" s="19"/>
      <c r="C39" s="19"/>
      <c r="D39" s="19"/>
      <c r="E39" s="19"/>
      <c r="F39" s="19"/>
      <c r="G39" s="19"/>
      <c r="H39" s="19"/>
      <c r="I39" s="19"/>
      <c r="P39" s="43"/>
      <c r="Q39" s="43"/>
    </row>
    <row r="40" spans="1:17" x14ac:dyDescent="0.2">
      <c r="A40" s="62" t="s">
        <v>181</v>
      </c>
      <c r="B40" s="8"/>
      <c r="C40" s="16"/>
      <c r="D40" s="16"/>
      <c r="E40" s="16"/>
      <c r="F40" s="16"/>
      <c r="G40" s="16"/>
      <c r="H40" s="16"/>
      <c r="I40" s="16"/>
      <c r="J40" s="49"/>
      <c r="K40" s="27"/>
      <c r="L40" s="27"/>
      <c r="M40" s="27"/>
      <c r="N40" s="27"/>
      <c r="O40" s="43"/>
      <c r="P40" s="43"/>
      <c r="Q40" s="43"/>
    </row>
    <row r="41" spans="1:17" x14ac:dyDescent="0.2">
      <c r="A41" s="27" t="s">
        <v>0</v>
      </c>
      <c r="B41" s="43"/>
      <c r="C41" s="43"/>
      <c r="D41" s="43"/>
      <c r="E41" s="43"/>
      <c r="F41" s="43"/>
      <c r="G41" s="43"/>
      <c r="H41" s="43"/>
      <c r="I41" s="43"/>
      <c r="J41" s="43"/>
      <c r="K41" s="43"/>
      <c r="L41" s="43"/>
      <c r="M41" s="43"/>
      <c r="N41" s="43"/>
      <c r="O41" s="43"/>
      <c r="P41" s="43"/>
      <c r="Q41" s="43"/>
    </row>
    <row r="42" spans="1:17" x14ac:dyDescent="0.2">
      <c r="A42" s="27" t="s">
        <v>1</v>
      </c>
      <c r="B42" s="43"/>
      <c r="C42" s="43"/>
      <c r="D42" s="43"/>
      <c r="E42" s="43"/>
      <c r="F42" s="43"/>
      <c r="G42" s="43"/>
      <c r="H42" s="43"/>
      <c r="I42" s="43"/>
      <c r="J42" s="43"/>
      <c r="K42" s="43"/>
      <c r="L42" s="43"/>
      <c r="M42" s="43"/>
      <c r="N42" s="43"/>
      <c r="O42" s="43"/>
      <c r="P42" s="43"/>
      <c r="Q42" s="43"/>
    </row>
    <row r="43" spans="1:17" x14ac:dyDescent="0.2">
      <c r="A43" s="27" t="s">
        <v>182</v>
      </c>
      <c r="B43" s="4">
        <f>AVERAGE(I43:N43)</f>
        <v>1.7708517714184169</v>
      </c>
      <c r="C43" s="3">
        <v>33932.160000000003</v>
      </c>
      <c r="D43" s="3">
        <v>33679.14</v>
      </c>
      <c r="E43" s="3">
        <v>36856.18</v>
      </c>
      <c r="F43" s="3">
        <v>6268</v>
      </c>
      <c r="G43" s="3">
        <v>19384</v>
      </c>
      <c r="H43" s="3">
        <v>17576</v>
      </c>
      <c r="I43" s="4">
        <f t="shared" ref="I43:N43" si="20">C43/C12</f>
        <v>4.8473600212110286</v>
      </c>
      <c r="J43" s="4">
        <f t="shared" si="20"/>
        <v>2.8641766459720084</v>
      </c>
      <c r="K43" s="4">
        <f t="shared" si="20"/>
        <v>1.7173346887052527</v>
      </c>
      <c r="L43" s="4">
        <f t="shared" si="20"/>
        <v>0.25502481894377083</v>
      </c>
      <c r="M43" s="4">
        <f t="shared" si="20"/>
        <v>0.61466260781329274</v>
      </c>
      <c r="N43" s="4">
        <f t="shared" si="20"/>
        <v>0.32655184586515057</v>
      </c>
      <c r="O43" s="43"/>
      <c r="P43" s="43"/>
      <c r="Q43" s="43"/>
    </row>
    <row r="44" spans="1:17" x14ac:dyDescent="0.2">
      <c r="A44" s="27" t="s">
        <v>183</v>
      </c>
      <c r="B44" s="73">
        <f>AVERAGE(I44:N44)</f>
        <v>24.420247074569801</v>
      </c>
      <c r="C44" s="3">
        <f>balance!B6</f>
        <v>499.142</v>
      </c>
      <c r="D44" s="3">
        <f>balance!C6</f>
        <v>515.38100000000009</v>
      </c>
      <c r="E44" s="3">
        <f>balance!D6</f>
        <v>949.02199999999993</v>
      </c>
      <c r="F44" s="3">
        <f>balance!E6</f>
        <v>1324</v>
      </c>
      <c r="G44" s="3">
        <f>balance!F6</f>
        <v>1886</v>
      </c>
      <c r="H44" s="3">
        <f>balance!G6</f>
        <v>1913</v>
      </c>
      <c r="I44" s="19"/>
      <c r="J44" s="3">
        <f>D$12/((C44+D44)/2)</f>
        <v>23.180846565331684</v>
      </c>
      <c r="K44" s="3">
        <f t="shared" ref="K44:N47" si="21">E$12/((D44+E44)/2)</f>
        <v>29.310603706766511</v>
      </c>
      <c r="L44" s="3">
        <f t="shared" si="21"/>
        <v>21.625835561644365</v>
      </c>
      <c r="M44" s="3">
        <f t="shared" si="21"/>
        <v>19.648598130841123</v>
      </c>
      <c r="N44" s="3">
        <f t="shared" si="21"/>
        <v>28.335351408265332</v>
      </c>
      <c r="O44" s="43"/>
      <c r="P44" s="43"/>
      <c r="Q44" s="43"/>
    </row>
    <row r="45" spans="1:17" x14ac:dyDescent="0.2">
      <c r="A45" s="114" t="s">
        <v>199</v>
      </c>
      <c r="B45" s="73"/>
      <c r="C45" s="3"/>
      <c r="D45" s="3">
        <f>balance!C5</f>
        <v>155.32300000000001</v>
      </c>
      <c r="E45" s="3">
        <f>balance!D5</f>
        <v>192.55099999999999</v>
      </c>
      <c r="F45" s="3"/>
      <c r="G45" s="3"/>
      <c r="H45" s="3">
        <f>balance!G5</f>
        <v>131</v>
      </c>
      <c r="I45" s="19"/>
      <c r="J45" s="4"/>
      <c r="K45" s="4">
        <f>E45/D45-1</f>
        <v>0.23968118050771614</v>
      </c>
      <c r="L45" s="4"/>
      <c r="M45" s="4"/>
      <c r="N45" s="4"/>
      <c r="O45" s="43"/>
      <c r="P45" s="43"/>
      <c r="Q45" s="43"/>
    </row>
    <row r="46" spans="1:17" customFormat="1" x14ac:dyDescent="0.2">
      <c r="A46" s="27" t="s">
        <v>7</v>
      </c>
      <c r="B46" s="4">
        <f>AVERAGE(I46:N46)</f>
        <v>2.8557469339334854E-2</v>
      </c>
      <c r="C46">
        <f>balance!B8</f>
        <v>194.465</v>
      </c>
      <c r="D46">
        <f>balance!C8</f>
        <v>268.36500000000001</v>
      </c>
      <c r="E46">
        <f>balance!D8</f>
        <v>365.67099999999999</v>
      </c>
      <c r="F46">
        <f>balance!E8</f>
        <v>713</v>
      </c>
      <c r="G46">
        <f>balance!F8</f>
        <v>1346</v>
      </c>
      <c r="H46">
        <f>balance!G8</f>
        <v>1723</v>
      </c>
      <c r="I46" s="4">
        <f t="shared" ref="I46:N46" si="22">C46/C12</f>
        <v>2.7780190430694733E-2</v>
      </c>
      <c r="J46" s="4">
        <f t="shared" si="22"/>
        <v>2.2822576989681983E-2</v>
      </c>
      <c r="K46" s="4">
        <f t="shared" si="22"/>
        <v>1.7038648415368559E-2</v>
      </c>
      <c r="L46" s="4">
        <f t="shared" si="22"/>
        <v>2.9009683456749938E-2</v>
      </c>
      <c r="M46" s="4">
        <f t="shared" si="22"/>
        <v>4.2681380010147131E-2</v>
      </c>
      <c r="N46" s="4">
        <f t="shared" si="22"/>
        <v>3.2012336733366779E-2</v>
      </c>
    </row>
    <row r="47" spans="1:17" ht="16" thickBot="1" x14ac:dyDescent="0.25">
      <c r="A47" s="26" t="str">
        <f>balance!A7</f>
        <v>Inventory</v>
      </c>
      <c r="B47" s="18">
        <f>AVERAGE(I47:N47)</f>
        <v>7.9897154921756623</v>
      </c>
      <c r="C47" s="22">
        <f>balance!B7</f>
        <v>2067.4540000000002</v>
      </c>
      <c r="D47" s="22">
        <f>balance!C7</f>
        <v>2263.5369999999998</v>
      </c>
      <c r="E47" s="22">
        <f>balance!D7</f>
        <v>3113.4459999999999</v>
      </c>
      <c r="F47" s="22">
        <f>balance!E7</f>
        <v>3552</v>
      </c>
      <c r="G47" s="22">
        <f>balance!F7</f>
        <v>4101</v>
      </c>
      <c r="H47" s="22">
        <f>balance!G7</f>
        <v>5757</v>
      </c>
      <c r="I47" s="22"/>
      <c r="J47" s="22">
        <f>D$12/((C47+D47)/2)</f>
        <v>5.4300509975661457</v>
      </c>
      <c r="K47" s="22">
        <f>E$12/((D47+E47)/2)</f>
        <v>7.9826430546646696</v>
      </c>
      <c r="L47" s="22">
        <f t="shared" si="21"/>
        <v>7.3747503167830031</v>
      </c>
      <c r="M47" s="22">
        <f>G$12/((F47+G47)/2)</f>
        <v>8.2414739317914538</v>
      </c>
      <c r="N47" s="22">
        <f t="shared" si="21"/>
        <v>10.919659160073037</v>
      </c>
      <c r="O47" s="43"/>
      <c r="P47" s="43"/>
      <c r="Q47" s="43"/>
    </row>
    <row r="48" spans="1:17" ht="16" thickTop="1" x14ac:dyDescent="0.2">
      <c r="A48" s="27" t="str">
        <f>balance!A9</f>
        <v>Total current assets</v>
      </c>
      <c r="B48" s="19"/>
      <c r="C48" s="3">
        <f>balance!B9</f>
        <v>6259.7960000000003</v>
      </c>
      <c r="D48" s="3">
        <f>balance!C9</f>
        <v>6570.5199999999995</v>
      </c>
      <c r="E48" s="3">
        <f>balance!D9</f>
        <v>8306.3080000000009</v>
      </c>
      <c r="F48" s="3">
        <f>balance!E9</f>
        <v>12103</v>
      </c>
      <c r="G48" s="3">
        <f>balance!F9</f>
        <v>26717</v>
      </c>
      <c r="H48" s="3">
        <f>balance!G9</f>
        <v>27100</v>
      </c>
      <c r="I48" s="3"/>
      <c r="J48" s="43"/>
      <c r="K48" s="45"/>
      <c r="L48" s="45"/>
      <c r="M48" s="45"/>
      <c r="N48" s="45"/>
      <c r="O48" s="43"/>
      <c r="P48" s="43"/>
      <c r="Q48" s="43"/>
    </row>
    <row r="49" spans="1:17" x14ac:dyDescent="0.2">
      <c r="A49" s="27" t="s">
        <v>180</v>
      </c>
      <c r="B49" s="19"/>
      <c r="C49" s="3"/>
      <c r="D49" s="3"/>
      <c r="E49" s="3"/>
      <c r="F49" s="3"/>
      <c r="G49" s="3"/>
      <c r="H49" s="3"/>
      <c r="I49" s="3"/>
      <c r="J49" s="43"/>
      <c r="K49" s="45"/>
      <c r="L49" s="45"/>
      <c r="M49" s="45"/>
      <c r="N49" s="45"/>
      <c r="O49" s="43"/>
      <c r="P49" s="43"/>
      <c r="Q49" s="43"/>
    </row>
    <row r="50" spans="1:17" x14ac:dyDescent="0.2">
      <c r="A50" s="27" t="str">
        <f>balance!A14</f>
        <v>Property, plant and equipment, net</v>
      </c>
      <c r="B50" s="4">
        <f>AVERAGE(I50:N50)</f>
        <v>1.987534735295944</v>
      </c>
      <c r="C50" s="3">
        <f>balance!B14</f>
        <v>5982.9570000000003</v>
      </c>
      <c r="D50" s="3">
        <f>balance!C14</f>
        <v>10027.522000000001</v>
      </c>
      <c r="E50" s="3">
        <f>balance!D14</f>
        <v>11330.077000000001</v>
      </c>
      <c r="F50" s="3">
        <f>balance!E14</f>
        <v>10396</v>
      </c>
      <c r="G50" s="3">
        <f>balance!F14</f>
        <v>12747</v>
      </c>
      <c r="H50" s="3">
        <f>balance!G14</f>
        <v>18884</v>
      </c>
      <c r="I50" s="4">
        <f t="shared" ref="I50:N50" si="23">C12/C50</f>
        <v>1.170012085996941</v>
      </c>
      <c r="J50" s="4">
        <f t="shared" si="23"/>
        <v>1.1726477388930185</v>
      </c>
      <c r="K50" s="4">
        <f t="shared" si="23"/>
        <v>1.8941855381918409</v>
      </c>
      <c r="L50" s="4">
        <f t="shared" si="23"/>
        <v>2.3641785302039247</v>
      </c>
      <c r="M50" s="4">
        <f t="shared" si="23"/>
        <v>2.4739938809131559</v>
      </c>
      <c r="N50" s="4">
        <f t="shared" si="23"/>
        <v>2.8501906375767847</v>
      </c>
      <c r="O50" s="43"/>
      <c r="P50" s="43"/>
      <c r="Q50" s="43"/>
    </row>
    <row r="51" spans="1:17" ht="16" thickBot="1" x14ac:dyDescent="0.25">
      <c r="A51" s="26" t="str">
        <f>balance!A17</f>
        <v>Intangible assets, net</v>
      </c>
      <c r="B51" s="120">
        <f>AVERAGE(C51:H51)</f>
        <v>360.55750000000006</v>
      </c>
      <c r="C51" s="22">
        <f>balance!B17</f>
        <v>376.14499999999998</v>
      </c>
      <c r="D51" s="22">
        <f>balance!C17</f>
        <v>456.65200000000004</v>
      </c>
      <c r="E51" s="22">
        <f>balance!D17</f>
        <v>421.54799999999994</v>
      </c>
      <c r="F51" s="22">
        <f>balance!E17</f>
        <v>339</v>
      </c>
      <c r="G51" s="22">
        <f>balance!F17</f>
        <v>313</v>
      </c>
      <c r="H51" s="22">
        <f>balance!G17</f>
        <v>257</v>
      </c>
      <c r="I51" s="22"/>
      <c r="J51" s="60"/>
      <c r="K51" s="60"/>
      <c r="L51" s="60"/>
      <c r="M51" s="60"/>
      <c r="N51" s="60"/>
      <c r="O51" s="43"/>
      <c r="P51" s="43"/>
      <c r="Q51" s="43"/>
    </row>
    <row r="52" spans="1:17" ht="16" thickTop="1" x14ac:dyDescent="0.2">
      <c r="A52" s="27" t="str">
        <f>balance!A23</f>
        <v>Total assets</v>
      </c>
      <c r="B52" s="119"/>
      <c r="C52" s="3">
        <f>balance!B23</f>
        <v>22664.076000000001</v>
      </c>
      <c r="D52" s="3">
        <f>balance!C23</f>
        <v>28655.371999999996</v>
      </c>
      <c r="E52" s="3">
        <f>balance!D23</f>
        <v>29739.614000000001</v>
      </c>
      <c r="F52" s="3">
        <f>balance!E23</f>
        <v>34309</v>
      </c>
      <c r="G52" s="3">
        <f>balance!F23</f>
        <v>52148</v>
      </c>
      <c r="H52" s="3">
        <f>balance!G23</f>
        <v>62131</v>
      </c>
      <c r="I52" s="3"/>
      <c r="J52" s="45"/>
      <c r="K52" s="45"/>
      <c r="L52" s="45"/>
      <c r="M52" s="45"/>
      <c r="N52" s="45"/>
      <c r="O52" s="43"/>
      <c r="P52" s="43"/>
      <c r="Q52" s="43"/>
    </row>
    <row r="53" spans="1:17" x14ac:dyDescent="0.2">
      <c r="A53" s="27"/>
      <c r="B53" s="14"/>
      <c r="C53" s="3"/>
      <c r="D53" s="3"/>
      <c r="E53" s="3"/>
      <c r="F53" s="3"/>
      <c r="G53" s="3"/>
      <c r="H53" s="3"/>
      <c r="I53" s="3"/>
      <c r="J53" s="45"/>
      <c r="K53" s="45"/>
      <c r="L53" s="45"/>
      <c r="M53" s="45"/>
      <c r="N53" s="45"/>
      <c r="O53" s="43"/>
      <c r="P53" s="43"/>
      <c r="Q53" s="43"/>
    </row>
    <row r="54" spans="1:17" x14ac:dyDescent="0.2">
      <c r="A54" s="8" t="s">
        <v>20</v>
      </c>
      <c r="B54" s="14"/>
      <c r="C54" s="3"/>
      <c r="D54" s="3"/>
      <c r="E54" s="3"/>
      <c r="F54" s="3"/>
      <c r="G54" s="3"/>
      <c r="H54" s="3"/>
      <c r="I54" s="3"/>
      <c r="J54" s="45"/>
      <c r="K54" s="45"/>
      <c r="L54" s="45"/>
      <c r="M54" s="45"/>
      <c r="N54" s="45"/>
      <c r="O54" s="43"/>
      <c r="P54" s="43"/>
      <c r="Q54" s="43"/>
    </row>
    <row r="55" spans="1:17" x14ac:dyDescent="0.2">
      <c r="A55" s="8" t="s">
        <v>21</v>
      </c>
      <c r="B55" s="14"/>
      <c r="C55" s="3"/>
      <c r="D55" s="3"/>
      <c r="E55" s="3"/>
      <c r="F55" s="3"/>
      <c r="G55" s="3"/>
      <c r="H55" s="3"/>
      <c r="I55" s="3"/>
      <c r="J55" s="45"/>
      <c r="K55" s="45"/>
      <c r="L55" s="45"/>
      <c r="M55" s="45"/>
      <c r="N55" s="45"/>
      <c r="O55" s="43"/>
      <c r="P55" s="43"/>
      <c r="Q55" s="43"/>
    </row>
    <row r="56" spans="1:17" x14ac:dyDescent="0.2">
      <c r="A56" s="27" t="s">
        <v>22</v>
      </c>
      <c r="B56" s="17">
        <f>AVERAGE(I56:N56)</f>
        <v>6.5816232775544652</v>
      </c>
      <c r="C56" s="24">
        <f>balance!B26</f>
        <v>1860.3409999999999</v>
      </c>
      <c r="D56" s="24">
        <f>balance!C26</f>
        <v>2390.25</v>
      </c>
      <c r="E56" s="24">
        <f>balance!D26</f>
        <v>3404.451</v>
      </c>
      <c r="F56" s="24">
        <f>balance!E26</f>
        <v>3771</v>
      </c>
      <c r="G56" s="24">
        <f>balance!F26</f>
        <v>6051</v>
      </c>
      <c r="H56" s="24">
        <f>balance!G26</f>
        <v>10025</v>
      </c>
      <c r="I56" s="24"/>
      <c r="J56" s="24">
        <f>D$12/((C56+D56)/2)</f>
        <v>5.5327605031864975</v>
      </c>
      <c r="K56" s="24">
        <f>E$12/((D56+E56)/2)</f>
        <v>7.4072046167697003</v>
      </c>
      <c r="L56" s="24">
        <f>F$12/((E56+F56)/2)</f>
        <v>6.8505798450856954</v>
      </c>
      <c r="M56" s="24">
        <f t="shared" ref="M56:N56" si="24">G$12/((F56+G56)/2)</f>
        <v>6.4215027489309717</v>
      </c>
      <c r="N56" s="24">
        <f t="shared" si="24"/>
        <v>6.696068673799453</v>
      </c>
      <c r="O56" s="43"/>
      <c r="P56" s="43"/>
      <c r="Q56" s="43"/>
    </row>
    <row r="57" spans="1:17" ht="16" thickBot="1" x14ac:dyDescent="0.25">
      <c r="A57" s="26" t="s">
        <v>24</v>
      </c>
      <c r="B57" s="13">
        <f>AVERAGE(I57:N57)</f>
        <v>5.7526833451346439E-2</v>
      </c>
      <c r="C57" s="22">
        <f>balance!B28</f>
        <v>763.12599999999998</v>
      </c>
      <c r="D57" s="22">
        <f>balance!C28</f>
        <v>1015.253</v>
      </c>
      <c r="E57" s="22">
        <f>balance!D28</f>
        <v>630.29200000000003</v>
      </c>
      <c r="F57" s="22">
        <f>balance!E28</f>
        <v>1163</v>
      </c>
      <c r="G57" s="22">
        <f>balance!F28</f>
        <v>1458</v>
      </c>
      <c r="H57" s="22">
        <f>balance!G28</f>
        <v>1447</v>
      </c>
      <c r="I57" s="60">
        <f t="shared" ref="I57:N57" si="25">C57/C12</f>
        <v>0.10901594427076516</v>
      </c>
      <c r="J57" s="60">
        <f t="shared" si="25"/>
        <v>8.6340207391074106E-2</v>
      </c>
      <c r="K57" s="60">
        <f t="shared" si="25"/>
        <v>2.9368814554666577E-2</v>
      </c>
      <c r="L57" s="60">
        <f t="shared" si="25"/>
        <v>4.7318740336886649E-2</v>
      </c>
      <c r="M57" s="60">
        <f t="shared" si="25"/>
        <v>4.6232876712328765E-2</v>
      </c>
      <c r="N57" s="60">
        <f t="shared" si="25"/>
        <v>2.6884417442357356E-2</v>
      </c>
      <c r="O57" s="43"/>
      <c r="P57" s="43"/>
      <c r="Q57" s="43"/>
    </row>
    <row r="58" spans="1:17" ht="16" thickTop="1" x14ac:dyDescent="0.2">
      <c r="A58" s="8" t="s">
        <v>29</v>
      </c>
      <c r="B58" s="14"/>
      <c r="C58" s="3">
        <f>SUM(C56:C57)</f>
        <v>2623.4669999999996</v>
      </c>
      <c r="D58" s="3">
        <f t="shared" ref="D58:H58" si="26">SUM(D56:D57)</f>
        <v>3405.5030000000002</v>
      </c>
      <c r="E58" s="3">
        <f t="shared" si="26"/>
        <v>4034.7429999999999</v>
      </c>
      <c r="F58" s="3">
        <f t="shared" si="26"/>
        <v>4934</v>
      </c>
      <c r="G58" s="3">
        <f t="shared" si="26"/>
        <v>7509</v>
      </c>
      <c r="H58" s="3">
        <f t="shared" si="26"/>
        <v>11472</v>
      </c>
      <c r="I58" s="43"/>
      <c r="J58" s="45"/>
      <c r="K58" s="45"/>
      <c r="L58" s="45"/>
      <c r="M58" s="45"/>
      <c r="N58" s="45"/>
      <c r="O58" s="43"/>
      <c r="P58" s="43"/>
      <c r="Q58" s="43"/>
    </row>
    <row r="59" spans="1:17" x14ac:dyDescent="0.2">
      <c r="A59" s="8" t="s">
        <v>184</v>
      </c>
      <c r="B59" s="14"/>
      <c r="C59" s="3"/>
      <c r="D59" s="3"/>
      <c r="E59" s="3"/>
      <c r="F59" s="3"/>
      <c r="G59" s="3"/>
      <c r="H59" s="3"/>
      <c r="I59" s="43"/>
      <c r="J59" s="45"/>
      <c r="K59" s="45"/>
      <c r="L59" s="45"/>
      <c r="M59" s="45"/>
      <c r="N59" s="45"/>
      <c r="O59" s="43"/>
      <c r="P59" s="43"/>
      <c r="Q59" s="43"/>
    </row>
    <row r="60" spans="1:17" x14ac:dyDescent="0.2">
      <c r="A60" s="8" t="s">
        <v>33</v>
      </c>
      <c r="B60" s="4">
        <f>AVERAGE(I60:N60)</f>
        <v>0.10855777782623195</v>
      </c>
      <c r="C60" s="3">
        <f>balance!B40</f>
        <v>851.79</v>
      </c>
      <c r="D60" s="3">
        <f>balance!C40</f>
        <v>1177.799</v>
      </c>
      <c r="E60" s="3">
        <f>balance!D40</f>
        <v>990.87299999999993</v>
      </c>
      <c r="F60" s="3">
        <f>balance!E40</f>
        <v>1207</v>
      </c>
      <c r="G60" s="3">
        <f>balance!F40</f>
        <v>1284</v>
      </c>
      <c r="H60" s="3">
        <f>balance!G40</f>
        <v>2052</v>
      </c>
      <c r="I60" s="20">
        <f t="shared" ref="I60:N60" si="27">C60/C15</f>
        <v>0.19957184565356795</v>
      </c>
      <c r="J60" s="20">
        <f t="shared" si="27"/>
        <v>0.17515094103930712</v>
      </c>
      <c r="K60" s="20">
        <f t="shared" si="27"/>
        <v>7.2402746483669067E-2</v>
      </c>
      <c r="L60" s="20">
        <f t="shared" si="27"/>
        <v>7.5726206160988768E-2</v>
      </c>
      <c r="M60" s="20">
        <f t="shared" si="27"/>
        <v>6.5190901705930143E-2</v>
      </c>
      <c r="N60" s="20">
        <f t="shared" si="27"/>
        <v>6.3304025913928738E-2</v>
      </c>
      <c r="O60" s="43"/>
      <c r="P60" s="43"/>
      <c r="Q60" s="43"/>
    </row>
    <row r="61" spans="1:17" ht="16" thickBot="1" x14ac:dyDescent="0.25">
      <c r="A61" s="59" t="s">
        <v>30</v>
      </c>
      <c r="B61" s="13">
        <f>AVERAGE(I61:N61)</f>
        <v>0.49168067071081389</v>
      </c>
      <c r="C61" s="22">
        <f>balance!B37</f>
        <v>5860.049</v>
      </c>
      <c r="D61" s="22">
        <f>balance!C37</f>
        <v>9418.3189999999995</v>
      </c>
      <c r="E61" s="22">
        <f>balance!D37</f>
        <v>9403.6720000000005</v>
      </c>
      <c r="F61" s="22">
        <f>balance!E37</f>
        <v>11634</v>
      </c>
      <c r="G61" s="22">
        <f>balance!F37</f>
        <v>9556</v>
      </c>
      <c r="H61" s="22">
        <f>balance!G37</f>
        <v>5245</v>
      </c>
      <c r="I61" s="60">
        <f t="shared" ref="I61:N61" si="28">C61/C12</f>
        <v>0.83713407118608618</v>
      </c>
      <c r="J61" s="60">
        <f t="shared" si="28"/>
        <v>0.80096253420112384</v>
      </c>
      <c r="K61" s="60">
        <f t="shared" si="28"/>
        <v>0.43816945019278453</v>
      </c>
      <c r="L61" s="60">
        <f t="shared" si="28"/>
        <v>0.47335015054113433</v>
      </c>
      <c r="M61" s="60">
        <f t="shared" si="28"/>
        <v>0.30301877219685441</v>
      </c>
      <c r="N61" s="60">
        <f t="shared" si="28"/>
        <v>9.7449045946900029E-2</v>
      </c>
      <c r="O61" s="43"/>
      <c r="P61" s="43"/>
      <c r="Q61" s="43"/>
    </row>
    <row r="62" spans="1:17" ht="16" thickTop="1" x14ac:dyDescent="0.2">
      <c r="A62" s="8" t="s">
        <v>36</v>
      </c>
      <c r="B62" s="14"/>
      <c r="C62" s="3">
        <f>SUM(C58:C61)</f>
        <v>9335.3060000000005</v>
      </c>
      <c r="D62" s="3">
        <f t="shared" ref="D62:H62" si="29">SUM(D58:D61)</f>
        <v>14001.620999999999</v>
      </c>
      <c r="E62" s="3">
        <f t="shared" si="29"/>
        <v>14429.288</v>
      </c>
      <c r="F62" s="3">
        <f t="shared" si="29"/>
        <v>17775</v>
      </c>
      <c r="G62" s="3">
        <f t="shared" si="29"/>
        <v>18349</v>
      </c>
      <c r="H62" s="3">
        <f t="shared" si="29"/>
        <v>18769</v>
      </c>
      <c r="I62" s="43"/>
      <c r="J62" s="45"/>
      <c r="K62" s="45"/>
      <c r="L62" s="45"/>
      <c r="M62" s="45"/>
      <c r="N62" s="45"/>
      <c r="O62" s="43"/>
      <c r="P62" s="43"/>
      <c r="Q62" s="43"/>
    </row>
    <row r="63" spans="1:17" customFormat="1" x14ac:dyDescent="0.2">
      <c r="A63" s="121"/>
      <c r="B63" s="45"/>
      <c r="C63" s="45"/>
      <c r="D63" s="45"/>
      <c r="E63" s="45"/>
      <c r="F63" s="45"/>
      <c r="G63" s="45"/>
      <c r="H63" s="45"/>
      <c r="I63" s="45"/>
      <c r="J63" s="135"/>
      <c r="K63" s="135"/>
      <c r="L63" s="135"/>
      <c r="M63" s="135"/>
      <c r="N63" s="97"/>
    </row>
    <row r="64" spans="1:17" x14ac:dyDescent="0.2">
      <c r="A64" s="8" t="s">
        <v>37</v>
      </c>
      <c r="B64" s="45"/>
      <c r="I64" s="43"/>
      <c r="J64" s="45"/>
      <c r="K64" s="45"/>
      <c r="L64" s="45"/>
      <c r="M64" s="45"/>
      <c r="N64" s="45"/>
      <c r="O64" s="43"/>
      <c r="P64" s="43"/>
      <c r="Q64" s="43"/>
    </row>
    <row r="65" spans="1:17" x14ac:dyDescent="0.2">
      <c r="A65" s="8" t="s">
        <v>204</v>
      </c>
      <c r="B65" s="45"/>
      <c r="C65" s="3">
        <v>1.61</v>
      </c>
      <c r="D65" s="3">
        <v>1.69</v>
      </c>
      <c r="E65" s="3">
        <v>1.73</v>
      </c>
      <c r="F65" s="3"/>
      <c r="G65" s="3">
        <v>1</v>
      </c>
      <c r="H65" s="3">
        <v>1</v>
      </c>
      <c r="I65" s="43"/>
      <c r="J65" s="45"/>
      <c r="K65" s="43"/>
      <c r="L65" s="43"/>
      <c r="M65" s="43"/>
      <c r="N65" s="43"/>
      <c r="O65" s="43"/>
      <c r="P65" s="43"/>
      <c r="Q65" s="43"/>
    </row>
    <row r="66" spans="1:17" x14ac:dyDescent="0.2">
      <c r="A66" s="8" t="s">
        <v>39</v>
      </c>
      <c r="B66" s="4">
        <f>AVERAGE(I66:N66)</f>
        <v>-0.34123239137852535</v>
      </c>
      <c r="C66" s="155">
        <v>-77737.27</v>
      </c>
      <c r="D66" s="155">
        <v>91780.24</v>
      </c>
      <c r="E66" s="155">
        <v>102491.2</v>
      </c>
      <c r="F66" s="155">
        <v>12737</v>
      </c>
      <c r="G66" s="155">
        <v>27260</v>
      </c>
      <c r="H66" s="155">
        <v>29803</v>
      </c>
      <c r="J66" s="20">
        <f>D66/C66-1</f>
        <v>-2.1806465547349427</v>
      </c>
      <c r="K66" s="20">
        <f>E66/D66-1</f>
        <v>0.11670224440467791</v>
      </c>
      <c r="L66" s="20">
        <f>F66/E66-1</f>
        <v>-0.87572591598107929</v>
      </c>
      <c r="M66" s="20">
        <f>G66/F66-1</f>
        <v>1.140221402214022</v>
      </c>
      <c r="N66" s="20">
        <f>H66/G66-1</f>
        <v>9.3286867204695589E-2</v>
      </c>
      <c r="O66" s="43"/>
      <c r="P66" s="43"/>
      <c r="Q66" s="43"/>
    </row>
    <row r="67" spans="1:17" x14ac:dyDescent="0.2">
      <c r="A67" s="8" t="s">
        <v>41</v>
      </c>
      <c r="B67" s="14"/>
      <c r="C67" s="155">
        <v>-29972.37</v>
      </c>
      <c r="D67" s="155">
        <v>-49742.99</v>
      </c>
      <c r="E67" s="155">
        <v>-53178.32</v>
      </c>
      <c r="F67" s="155">
        <v>-6083</v>
      </c>
      <c r="G67" s="155">
        <v>-5399</v>
      </c>
      <c r="H67" s="155">
        <v>331</v>
      </c>
      <c r="I67" s="43"/>
      <c r="J67" s="45"/>
      <c r="K67" s="43"/>
      <c r="L67" s="43"/>
      <c r="M67" s="43"/>
      <c r="N67" s="43"/>
      <c r="O67" s="43"/>
      <c r="P67" s="43"/>
      <c r="Q67" s="43"/>
    </row>
    <row r="68" spans="1:17" x14ac:dyDescent="0.2">
      <c r="A68" s="8" t="s">
        <v>205</v>
      </c>
      <c r="B68" s="14"/>
      <c r="C68" s="155">
        <v>47529.11</v>
      </c>
      <c r="D68" s="155">
        <v>42372.42</v>
      </c>
      <c r="E68" s="155">
        <v>49232.43</v>
      </c>
      <c r="F68" s="155">
        <v>6618</v>
      </c>
      <c r="G68" s="155">
        <v>22225</v>
      </c>
      <c r="H68" s="155">
        <v>30189</v>
      </c>
      <c r="I68" s="43"/>
      <c r="J68" s="45"/>
      <c r="K68" s="43"/>
      <c r="L68" s="43"/>
      <c r="M68" s="43"/>
      <c r="N68" s="43"/>
      <c r="O68" s="43"/>
      <c r="P68" s="43"/>
      <c r="Q68" s="43"/>
    </row>
    <row r="69" spans="1:17" x14ac:dyDescent="0.2">
      <c r="A69" s="8" t="s">
        <v>43</v>
      </c>
      <c r="B69" s="14"/>
      <c r="C69" s="155">
        <v>226640.76</v>
      </c>
      <c r="D69" s="155">
        <v>286553.71999999997</v>
      </c>
      <c r="E69" s="155">
        <v>297396.14</v>
      </c>
      <c r="F69" s="155">
        <v>34309</v>
      </c>
      <c r="G69" s="155">
        <v>52148</v>
      </c>
      <c r="H69" s="155">
        <v>62131</v>
      </c>
      <c r="I69" s="43"/>
      <c r="J69" s="45"/>
      <c r="K69" s="43"/>
      <c r="L69" s="43"/>
      <c r="M69" s="43"/>
      <c r="N69" s="43"/>
      <c r="O69" s="43"/>
      <c r="P69" s="43"/>
      <c r="Q69" s="43"/>
    </row>
    <row r="70" spans="1:17" x14ac:dyDescent="0.2">
      <c r="A70" s="27"/>
      <c r="B70" s="14"/>
      <c r="C70" s="2"/>
      <c r="D70" s="2"/>
      <c r="E70" s="2"/>
      <c r="F70" s="2"/>
      <c r="G70" s="2"/>
      <c r="H70" s="2"/>
      <c r="I70" s="43"/>
      <c r="J70" s="43"/>
      <c r="K70" s="43"/>
      <c r="L70" s="43"/>
      <c r="M70" s="43"/>
      <c r="N70" s="43"/>
      <c r="O70" s="43"/>
      <c r="P70" s="43"/>
      <c r="Q70" s="43"/>
    </row>
    <row r="71" spans="1:17" x14ac:dyDescent="0.2">
      <c r="A71" s="27"/>
      <c r="B71" s="14"/>
      <c r="C71" s="2"/>
      <c r="D71" s="2"/>
      <c r="E71" s="2"/>
      <c r="F71" s="2"/>
      <c r="G71" s="2"/>
      <c r="H71" s="2"/>
      <c r="I71" s="43"/>
      <c r="J71" s="43"/>
      <c r="K71" s="43"/>
      <c r="L71" s="43"/>
      <c r="M71" s="43"/>
      <c r="N71" s="43"/>
      <c r="O71" s="43"/>
      <c r="P71" s="43"/>
      <c r="Q71" s="43"/>
    </row>
    <row r="72" spans="1:17" x14ac:dyDescent="0.2">
      <c r="A72" s="27"/>
      <c r="B72" s="14"/>
      <c r="C72" s="2"/>
      <c r="D72" s="2"/>
      <c r="E72" s="2"/>
      <c r="F72" s="2"/>
      <c r="G72" s="2"/>
      <c r="H72" s="2"/>
      <c r="I72" s="43"/>
      <c r="J72" s="43"/>
      <c r="K72" s="43"/>
      <c r="L72" s="43"/>
      <c r="M72" s="43"/>
      <c r="N72" s="43"/>
      <c r="O72" s="43"/>
      <c r="P72" s="43"/>
      <c r="Q72" s="43"/>
    </row>
    <row r="73" spans="1:17" x14ac:dyDescent="0.2">
      <c r="A73" s="61" t="s">
        <v>185</v>
      </c>
      <c r="C73" s="2"/>
      <c r="D73" s="2"/>
      <c r="E73" s="2"/>
      <c r="F73" s="2"/>
      <c r="G73" s="2"/>
      <c r="H73" s="43"/>
      <c r="I73" s="43"/>
      <c r="J73" s="43"/>
      <c r="K73" s="43"/>
      <c r="L73" s="43"/>
      <c r="M73" s="43"/>
      <c r="N73" s="43"/>
      <c r="O73" s="43"/>
    </row>
    <row r="74" spans="1:17" ht="16" x14ac:dyDescent="0.2">
      <c r="A74" s="63" t="s">
        <v>186</v>
      </c>
      <c r="C74" s="2"/>
      <c r="D74" s="2"/>
      <c r="E74" s="2"/>
      <c r="F74" s="2"/>
      <c r="G74" s="2"/>
      <c r="H74" s="43"/>
      <c r="I74" s="43"/>
      <c r="J74" s="43"/>
      <c r="K74" s="43"/>
      <c r="L74" s="43"/>
      <c r="M74" s="43"/>
      <c r="N74" s="43"/>
      <c r="O74" s="43"/>
    </row>
    <row r="75" spans="1:17" ht="16" x14ac:dyDescent="0.2">
      <c r="A75" s="64" t="s">
        <v>187</v>
      </c>
      <c r="C75" s="157">
        <v>-7730.46</v>
      </c>
      <c r="D75" s="157">
        <v>-22405.78</v>
      </c>
      <c r="E75" s="157">
        <v>-10625.82</v>
      </c>
      <c r="F75" s="157">
        <v>-775</v>
      </c>
      <c r="G75" s="157">
        <v>862</v>
      </c>
      <c r="H75" s="157">
        <v>5644</v>
      </c>
      <c r="I75" s="157"/>
      <c r="J75" s="157"/>
      <c r="K75" s="157"/>
      <c r="L75" s="157"/>
      <c r="M75" s="43"/>
      <c r="N75" s="43"/>
      <c r="O75" s="43"/>
    </row>
    <row r="76" spans="1:17" ht="16" x14ac:dyDescent="0.2">
      <c r="A76" s="64" t="s">
        <v>188</v>
      </c>
      <c r="H76" s="19"/>
      <c r="I76" s="43"/>
      <c r="J76" s="43"/>
      <c r="K76" s="43"/>
      <c r="L76" s="43"/>
      <c r="M76" s="43"/>
      <c r="N76" s="43"/>
      <c r="O76" s="43"/>
    </row>
    <row r="77" spans="1:17" ht="16" x14ac:dyDescent="0.2">
      <c r="A77" s="64" t="s">
        <v>190</v>
      </c>
      <c r="B77" s="4">
        <f>AVERAGE(I77:N77)</f>
        <v>0.79395027150887454</v>
      </c>
      <c r="C77" s="1">
        <v>19010.5</v>
      </c>
      <c r="D77" s="1">
        <v>16360.03</v>
      </c>
      <c r="E77" s="1">
        <v>9470.99</v>
      </c>
      <c r="F77" s="1">
        <v>2154</v>
      </c>
      <c r="G77" s="1">
        <v>2322</v>
      </c>
      <c r="H77" s="1">
        <v>2911</v>
      </c>
      <c r="I77" s="20">
        <f>C77/C12</f>
        <v>2.7157345032922233</v>
      </c>
      <c r="J77" s="20">
        <f t="shared" ref="J77:N77" si="30">D77/D12</f>
        <v>1.3913067807967019</v>
      </c>
      <c r="K77" s="20">
        <f t="shared" si="30"/>
        <v>0.44130617072579309</v>
      </c>
      <c r="L77" s="20">
        <f t="shared" si="30"/>
        <v>8.7639352266254369E-2</v>
      </c>
      <c r="M77" s="20">
        <f t="shared" si="30"/>
        <v>7.3630136986301373E-2</v>
      </c>
      <c r="N77" s="20">
        <f t="shared" si="30"/>
        <v>5.4084684985972541E-2</v>
      </c>
      <c r="O77" s="43"/>
    </row>
    <row r="78" spans="1:17" x14ac:dyDescent="0.2">
      <c r="A78" s="15" t="s">
        <v>191</v>
      </c>
      <c r="H78" s="19"/>
      <c r="I78" s="43"/>
      <c r="J78" s="43"/>
      <c r="K78" s="43"/>
      <c r="L78" s="43"/>
      <c r="M78" s="43"/>
      <c r="N78" s="43"/>
      <c r="O78" s="43"/>
    </row>
    <row r="79" spans="1:17" ht="16" x14ac:dyDescent="0.2">
      <c r="A79" s="64" t="s">
        <v>193</v>
      </c>
      <c r="C79" s="5">
        <v>4991.42</v>
      </c>
      <c r="D79" s="5">
        <v>5153.8100000000004</v>
      </c>
      <c r="E79" s="5">
        <v>9490.2199999999993</v>
      </c>
      <c r="F79" s="5">
        <v>1324</v>
      </c>
      <c r="G79" s="5">
        <v>1886</v>
      </c>
      <c r="H79" s="5">
        <v>1913</v>
      </c>
      <c r="I79" s="43"/>
      <c r="J79" s="43"/>
      <c r="K79" s="43"/>
      <c r="L79" s="43"/>
      <c r="M79" s="43"/>
      <c r="N79" s="43"/>
      <c r="O79" s="43"/>
    </row>
    <row r="80" spans="1:17" ht="16" x14ac:dyDescent="0.2">
      <c r="A80" s="64" t="s">
        <v>194</v>
      </c>
      <c r="C80" s="5">
        <v>20674.54</v>
      </c>
      <c r="D80" s="5">
        <v>22635.37</v>
      </c>
      <c r="E80" s="5">
        <v>31134.46</v>
      </c>
      <c r="F80" s="5">
        <v>3552</v>
      </c>
      <c r="G80" s="5">
        <v>4101</v>
      </c>
      <c r="H80" s="5">
        <v>5757</v>
      </c>
      <c r="I80" s="43"/>
      <c r="J80" s="43"/>
      <c r="K80" s="43"/>
      <c r="L80" s="43"/>
      <c r="M80" s="43"/>
      <c r="N80" s="43"/>
      <c r="O80" s="43"/>
    </row>
    <row r="81" spans="1:17" ht="16" x14ac:dyDescent="0.2">
      <c r="A81" s="64" t="s">
        <v>192</v>
      </c>
      <c r="C81" s="5">
        <v>1944.65</v>
      </c>
      <c r="D81" s="5">
        <v>2683.65</v>
      </c>
      <c r="E81" s="5">
        <v>3656.71</v>
      </c>
      <c r="F81" s="5">
        <v>713</v>
      </c>
      <c r="G81" s="5">
        <v>1346</v>
      </c>
      <c r="H81" s="5">
        <v>1723</v>
      </c>
      <c r="I81" s="43"/>
      <c r="J81" s="43"/>
      <c r="K81" s="43"/>
      <c r="L81" s="43"/>
      <c r="M81" s="43"/>
      <c r="N81" s="43"/>
      <c r="O81" s="43"/>
    </row>
    <row r="82" spans="1:17" ht="16" x14ac:dyDescent="0.2">
      <c r="A82" s="64" t="s">
        <v>195</v>
      </c>
      <c r="H82" s="19"/>
      <c r="I82" s="43"/>
      <c r="J82" s="43"/>
      <c r="K82" s="43"/>
      <c r="L82" s="43"/>
      <c r="M82" s="43"/>
      <c r="N82" s="43"/>
      <c r="O82" s="43"/>
    </row>
    <row r="83" spans="1:17" ht="16" x14ac:dyDescent="0.2">
      <c r="A83" s="64" t="s">
        <v>196</v>
      </c>
      <c r="C83" s="5">
        <v>18603.41</v>
      </c>
      <c r="D83" s="5">
        <v>23902.5</v>
      </c>
      <c r="E83" s="5">
        <v>34044.51</v>
      </c>
      <c r="F83" s="5">
        <v>3771</v>
      </c>
      <c r="G83" s="5">
        <v>6051</v>
      </c>
      <c r="H83" s="5">
        <v>10025</v>
      </c>
      <c r="I83" s="43"/>
      <c r="J83" s="43"/>
      <c r="K83" s="43"/>
      <c r="L83" s="43"/>
      <c r="M83" s="43"/>
      <c r="N83" s="43"/>
      <c r="O83" s="43"/>
    </row>
    <row r="84" spans="1:17" ht="16" x14ac:dyDescent="0.2">
      <c r="A84" s="64" t="s">
        <v>197</v>
      </c>
      <c r="C84" s="5">
        <v>8517.9</v>
      </c>
      <c r="D84" s="5">
        <v>11777.99</v>
      </c>
      <c r="E84" s="5">
        <v>9908.73</v>
      </c>
      <c r="F84" s="5">
        <v>1207</v>
      </c>
      <c r="G84" s="5">
        <v>1284</v>
      </c>
      <c r="H84" s="5">
        <v>2052</v>
      </c>
      <c r="I84" s="43"/>
      <c r="J84" s="43"/>
      <c r="K84" s="43"/>
      <c r="L84" s="43"/>
      <c r="M84" s="43"/>
      <c r="N84" s="43"/>
      <c r="O84" s="43"/>
    </row>
    <row r="85" spans="1:17" ht="16" x14ac:dyDescent="0.2">
      <c r="A85" s="63" t="s">
        <v>189</v>
      </c>
      <c r="C85" s="157">
        <v>10790.74</v>
      </c>
      <c r="D85" s="157">
        <v>-838.08999999999469</v>
      </c>
      <c r="E85" s="157">
        <v>-1482.9799999999923</v>
      </c>
      <c r="F85" s="157">
        <v>768</v>
      </c>
      <c r="G85" s="157">
        <v>3186</v>
      </c>
      <c r="H85" s="157">
        <v>11239</v>
      </c>
      <c r="I85" s="43"/>
      <c r="J85" s="43"/>
      <c r="K85" s="43"/>
      <c r="L85" s="43"/>
      <c r="M85" s="43"/>
      <c r="N85" s="43"/>
      <c r="O85" s="43"/>
    </row>
    <row r="86" spans="1:17" x14ac:dyDescent="0.2">
      <c r="A86" s="19"/>
      <c r="B86" s="21"/>
      <c r="C86" s="19"/>
      <c r="I86" s="19"/>
      <c r="J86" s="43"/>
      <c r="K86" s="43"/>
      <c r="L86" s="43"/>
      <c r="M86" s="43"/>
      <c r="N86" s="43"/>
      <c r="O86" s="43"/>
      <c r="P86" s="43"/>
      <c r="Q86" s="43"/>
    </row>
    <row r="87" spans="1:17" x14ac:dyDescent="0.2">
      <c r="B87" s="21"/>
      <c r="C87" s="19"/>
      <c r="I87" s="19"/>
      <c r="J87" s="43"/>
      <c r="K87" s="43"/>
      <c r="L87" s="43"/>
      <c r="M87" s="43"/>
      <c r="N87" s="43"/>
      <c r="O87" s="43"/>
      <c r="P87" s="43"/>
      <c r="Q87" s="43"/>
    </row>
    <row r="88" spans="1:17" x14ac:dyDescent="0.2">
      <c r="A88" s="19"/>
      <c r="B88" s="21"/>
      <c r="C88" s="19"/>
      <c r="I88" s="19"/>
      <c r="J88" s="43"/>
      <c r="K88" s="43"/>
      <c r="L88" s="43"/>
      <c r="M88" s="43"/>
      <c r="N88" s="43"/>
      <c r="O88" s="43"/>
      <c r="P88" s="43"/>
      <c r="Q88" s="43"/>
    </row>
    <row r="89" spans="1:17" x14ac:dyDescent="0.2">
      <c r="A89" s="19"/>
      <c r="B89" s="21"/>
      <c r="C89" s="19"/>
      <c r="I89" s="19"/>
      <c r="J89" s="43"/>
      <c r="K89" s="43"/>
      <c r="L89" s="43"/>
      <c r="M89" s="43"/>
      <c r="N89" s="43"/>
      <c r="O89" s="43"/>
      <c r="P89" s="43"/>
      <c r="Q89" s="43"/>
    </row>
    <row r="90" spans="1:17" x14ac:dyDescent="0.2">
      <c r="A90" s="19"/>
      <c r="B90" s="21"/>
      <c r="C90" s="19"/>
      <c r="I90" s="19"/>
      <c r="J90" s="43"/>
      <c r="K90" s="43"/>
      <c r="L90" s="43"/>
      <c r="M90" s="43"/>
      <c r="N90" s="43"/>
      <c r="O90" s="43"/>
      <c r="P90" s="43"/>
      <c r="Q90" s="43"/>
    </row>
    <row r="91" spans="1:17" x14ac:dyDescent="0.2">
      <c r="A91" s="19"/>
      <c r="B91" s="21"/>
      <c r="C91" s="19"/>
      <c r="I91" s="19"/>
      <c r="J91" s="43"/>
      <c r="K91" s="43"/>
      <c r="L91" s="43"/>
      <c r="M91" s="43"/>
      <c r="N91" s="43"/>
      <c r="O91" s="43"/>
      <c r="P91" s="43"/>
      <c r="Q91" s="43"/>
    </row>
    <row r="92" spans="1:17" x14ac:dyDescent="0.2">
      <c r="A92" s="19"/>
      <c r="B92" s="21"/>
      <c r="C92" s="19"/>
      <c r="I92" s="19"/>
      <c r="J92" s="43"/>
      <c r="K92" s="43"/>
      <c r="L92" s="43"/>
      <c r="M92" s="43"/>
      <c r="N92" s="43"/>
      <c r="O92" s="43"/>
      <c r="P92" s="43"/>
      <c r="Q92" s="43"/>
    </row>
    <row r="93" spans="1:17" x14ac:dyDescent="0.2">
      <c r="A93" s="19"/>
      <c r="B93" s="21"/>
      <c r="C93" s="19"/>
      <c r="I93" s="19"/>
      <c r="J93" s="43"/>
      <c r="K93" s="43"/>
      <c r="L93" s="43"/>
      <c r="M93" s="43"/>
      <c r="N93" s="43"/>
      <c r="O93" s="43"/>
      <c r="P93" s="43"/>
      <c r="Q93" s="43"/>
    </row>
    <row r="94" spans="1:17" x14ac:dyDescent="0.2">
      <c r="A94" s="19"/>
      <c r="B94" s="21"/>
      <c r="C94" s="19"/>
      <c r="I94" s="19"/>
      <c r="J94" s="43"/>
      <c r="K94" s="43"/>
      <c r="L94" s="43"/>
      <c r="M94" s="43"/>
      <c r="N94" s="43"/>
      <c r="O94" s="43"/>
      <c r="P94" s="43"/>
      <c r="Q94" s="43"/>
    </row>
    <row r="95" spans="1:17" x14ac:dyDescent="0.2">
      <c r="A95" s="19"/>
      <c r="B95" s="21"/>
      <c r="C95" s="19"/>
      <c r="I95" s="19"/>
      <c r="J95" s="43"/>
      <c r="K95" s="43"/>
      <c r="L95" s="43"/>
      <c r="M95" s="43"/>
      <c r="N95" s="43"/>
      <c r="O95" s="43"/>
      <c r="P95" s="43"/>
      <c r="Q95" s="43"/>
    </row>
    <row r="96" spans="1:17" x14ac:dyDescent="0.2">
      <c r="A96" s="19"/>
      <c r="B96" s="21"/>
      <c r="C96" s="19"/>
      <c r="I96" s="19"/>
      <c r="J96" s="43"/>
      <c r="K96" s="43"/>
      <c r="L96" s="43"/>
      <c r="M96" s="43"/>
      <c r="N96" s="43"/>
      <c r="O96" s="43"/>
      <c r="P96" s="43"/>
      <c r="Q96" s="43"/>
    </row>
    <row r="97" spans="2:17" s="19" customFormat="1" x14ac:dyDescent="0.2">
      <c r="B97" s="21"/>
      <c r="D97"/>
      <c r="E97"/>
      <c r="F97"/>
      <c r="G97"/>
      <c r="H97"/>
      <c r="J97" s="43"/>
      <c r="K97" s="43"/>
      <c r="L97" s="43"/>
      <c r="M97" s="43"/>
      <c r="N97" s="43"/>
      <c r="O97" s="43"/>
      <c r="P97" s="43"/>
      <c r="Q97" s="43"/>
    </row>
    <row r="98" spans="2:17" s="19" customFormat="1" x14ac:dyDescent="0.2">
      <c r="B98" s="21"/>
      <c r="D98"/>
      <c r="E98"/>
      <c r="F98"/>
      <c r="G98"/>
      <c r="H98"/>
      <c r="J98" s="43"/>
      <c r="K98" s="43"/>
      <c r="L98" s="43"/>
      <c r="M98" s="43"/>
      <c r="N98" s="43"/>
      <c r="O98" s="43"/>
      <c r="P98" s="43"/>
      <c r="Q98" s="43"/>
    </row>
    <row r="99" spans="2:17" s="19" customFormat="1" x14ac:dyDescent="0.2">
      <c r="B99" s="21"/>
      <c r="D99"/>
      <c r="E99"/>
      <c r="F99"/>
      <c r="G99"/>
      <c r="H99"/>
      <c r="J99" s="43"/>
      <c r="K99" s="43"/>
      <c r="L99" s="43"/>
      <c r="M99" s="43"/>
      <c r="N99" s="43"/>
      <c r="O99" s="43"/>
      <c r="P99" s="43"/>
      <c r="Q99" s="43"/>
    </row>
    <row r="100" spans="2:17" s="19" customFormat="1" x14ac:dyDescent="0.2">
      <c r="B100" s="21"/>
      <c r="D100"/>
      <c r="E100"/>
      <c r="F100"/>
      <c r="G100"/>
      <c r="H100"/>
      <c r="J100" s="43"/>
      <c r="K100" s="43"/>
      <c r="L100" s="43"/>
      <c r="M100" s="43"/>
      <c r="N100" s="43"/>
      <c r="O100" s="43"/>
      <c r="P100" s="43"/>
      <c r="Q100" s="43"/>
    </row>
    <row r="101" spans="2:17" s="19" customFormat="1" x14ac:dyDescent="0.2">
      <c r="B101" s="21"/>
      <c r="D101"/>
      <c r="E101"/>
      <c r="F101"/>
      <c r="G101"/>
      <c r="H101"/>
      <c r="J101" s="43"/>
      <c r="K101" s="43"/>
      <c r="L101" s="43"/>
      <c r="M101" s="43"/>
      <c r="N101" s="43"/>
      <c r="O101" s="43"/>
      <c r="P101" s="43"/>
      <c r="Q101" s="43"/>
    </row>
    <row r="102" spans="2:17" s="19" customFormat="1" x14ac:dyDescent="0.2">
      <c r="B102" s="21"/>
      <c r="D102"/>
      <c r="E102"/>
      <c r="F102"/>
      <c r="G102"/>
      <c r="H102"/>
      <c r="J102" s="43"/>
      <c r="K102" s="43"/>
      <c r="L102" s="43"/>
      <c r="M102" s="43"/>
      <c r="N102" s="43"/>
      <c r="O102" s="43"/>
      <c r="P102" s="43"/>
      <c r="Q102" s="43"/>
    </row>
    <row r="103" spans="2:17" s="19" customFormat="1" x14ac:dyDescent="0.2">
      <c r="B103" s="21"/>
      <c r="D103"/>
      <c r="E103"/>
      <c r="F103"/>
      <c r="G103"/>
      <c r="H103"/>
      <c r="J103" s="43"/>
      <c r="K103" s="43"/>
      <c r="L103" s="43"/>
      <c r="M103" s="43"/>
      <c r="N103" s="43"/>
      <c r="O103" s="43"/>
      <c r="P103" s="43"/>
      <c r="Q103" s="43"/>
    </row>
    <row r="104" spans="2:17" s="19" customFormat="1" x14ac:dyDescent="0.2">
      <c r="B104" s="21"/>
      <c r="D104"/>
      <c r="E104"/>
      <c r="F104"/>
      <c r="G104"/>
      <c r="H104"/>
      <c r="J104" s="43"/>
      <c r="K104" s="43"/>
      <c r="L104" s="43"/>
      <c r="M104" s="43"/>
      <c r="N104" s="43"/>
      <c r="O104" s="43"/>
      <c r="P104" s="43"/>
      <c r="Q104" s="43"/>
    </row>
    <row r="105" spans="2:17" s="19" customFormat="1" x14ac:dyDescent="0.2">
      <c r="B105" s="21"/>
      <c r="D105"/>
      <c r="E105"/>
      <c r="F105"/>
      <c r="G105"/>
      <c r="H105"/>
      <c r="J105" s="43"/>
      <c r="K105" s="43"/>
      <c r="L105" s="43"/>
      <c r="M105" s="43"/>
      <c r="N105" s="43"/>
      <c r="O105" s="43"/>
      <c r="P105" s="43"/>
      <c r="Q105" s="43"/>
    </row>
    <row r="106" spans="2:17" s="19" customFormat="1" x14ac:dyDescent="0.2">
      <c r="B106" s="21"/>
      <c r="D106"/>
      <c r="E106"/>
      <c r="F106"/>
      <c r="G106"/>
      <c r="H106"/>
      <c r="J106" s="43"/>
      <c r="K106" s="43"/>
      <c r="L106" s="43"/>
      <c r="M106" s="43"/>
      <c r="N106" s="43"/>
      <c r="O106" s="43"/>
      <c r="P106" s="43"/>
      <c r="Q106" s="43"/>
    </row>
    <row r="107" spans="2:17" s="19" customFormat="1" x14ac:dyDescent="0.2">
      <c r="B107" s="21"/>
      <c r="D107"/>
      <c r="E107"/>
      <c r="F107"/>
      <c r="G107"/>
      <c r="H107"/>
      <c r="J107" s="43"/>
      <c r="K107" s="43"/>
      <c r="L107" s="43"/>
      <c r="M107" s="43"/>
      <c r="N107" s="43"/>
      <c r="O107" s="43"/>
      <c r="P107" s="43"/>
      <c r="Q107" s="43"/>
    </row>
    <row r="108" spans="2:17" s="19" customFormat="1" x14ac:dyDescent="0.2">
      <c r="B108" s="21"/>
      <c r="D108"/>
      <c r="E108"/>
      <c r="F108"/>
      <c r="G108"/>
      <c r="H108"/>
      <c r="J108" s="43"/>
      <c r="K108" s="43"/>
      <c r="L108" s="43"/>
      <c r="M108" s="43"/>
      <c r="N108" s="43"/>
      <c r="O108" s="43"/>
      <c r="P108" s="43"/>
      <c r="Q108" s="43"/>
    </row>
    <row r="109" spans="2:17" s="19" customFormat="1" x14ac:dyDescent="0.2">
      <c r="B109" s="21"/>
      <c r="D109"/>
      <c r="E109"/>
      <c r="F109"/>
      <c r="G109"/>
      <c r="H109"/>
      <c r="J109" s="43"/>
      <c r="K109" s="43"/>
      <c r="L109" s="43"/>
      <c r="M109" s="43"/>
      <c r="N109" s="43"/>
      <c r="O109" s="43"/>
      <c r="P109" s="43"/>
      <c r="Q109" s="43"/>
    </row>
    <row r="110" spans="2:17" s="19" customFormat="1" x14ac:dyDescent="0.2">
      <c r="B110" s="21"/>
      <c r="D110"/>
      <c r="E110"/>
      <c r="F110"/>
      <c r="G110"/>
      <c r="H110"/>
      <c r="J110" s="43"/>
      <c r="K110" s="43"/>
      <c r="L110" s="43"/>
      <c r="M110" s="43"/>
      <c r="N110" s="43"/>
      <c r="O110" s="43"/>
      <c r="P110" s="43"/>
      <c r="Q110" s="43"/>
    </row>
    <row r="111" spans="2:17" s="19" customFormat="1" x14ac:dyDescent="0.2">
      <c r="B111" s="21"/>
      <c r="D111"/>
      <c r="E111"/>
      <c r="F111"/>
      <c r="G111"/>
      <c r="H111"/>
      <c r="J111" s="43"/>
      <c r="K111" s="43"/>
      <c r="L111" s="43"/>
      <c r="M111" s="43"/>
      <c r="N111" s="43"/>
      <c r="O111" s="43"/>
      <c r="P111" s="43"/>
      <c r="Q111" s="43"/>
    </row>
    <row r="112" spans="2:17" s="19" customFormat="1" x14ac:dyDescent="0.2">
      <c r="B112" s="21"/>
      <c r="D112"/>
      <c r="E112"/>
      <c r="F112"/>
      <c r="G112"/>
      <c r="H112"/>
      <c r="J112" s="43"/>
      <c r="K112" s="43"/>
      <c r="L112" s="43"/>
      <c r="M112" s="43"/>
      <c r="N112" s="43"/>
      <c r="O112" s="43"/>
      <c r="P112" s="43"/>
      <c r="Q112" s="43"/>
    </row>
    <row r="113" spans="1:17" x14ac:dyDescent="0.2">
      <c r="A113" s="19"/>
      <c r="B113" s="21"/>
      <c r="C113" s="19"/>
      <c r="I113" s="19"/>
      <c r="J113" s="43"/>
      <c r="K113" s="43"/>
      <c r="L113" s="43"/>
      <c r="M113" s="43"/>
      <c r="N113" s="43"/>
      <c r="O113" s="43"/>
      <c r="P113" s="43"/>
      <c r="Q113" s="43"/>
    </row>
    <row r="114" spans="1:17" x14ac:dyDescent="0.2">
      <c r="A114" s="19"/>
      <c r="B114" s="21"/>
      <c r="C114" s="19"/>
      <c r="I114" s="19"/>
      <c r="J114" s="43"/>
      <c r="K114" s="43"/>
      <c r="L114" s="43"/>
      <c r="M114" s="43"/>
      <c r="N114" s="43"/>
      <c r="O114" s="43"/>
      <c r="P114" s="43"/>
      <c r="Q114" s="43"/>
    </row>
    <row r="115" spans="1:17" x14ac:dyDescent="0.2">
      <c r="A115" s="19"/>
      <c r="B115" s="21"/>
      <c r="C115" s="19"/>
      <c r="I115" s="19"/>
      <c r="J115" s="43"/>
      <c r="K115" s="43"/>
      <c r="L115" s="43"/>
      <c r="M115" s="43"/>
      <c r="N115" s="43"/>
      <c r="O115" s="43"/>
      <c r="P115" s="43"/>
      <c r="Q115" s="43"/>
    </row>
    <row r="116" spans="1:17" x14ac:dyDescent="0.2">
      <c r="A116" s="19"/>
      <c r="B116" s="21"/>
      <c r="C116" s="19"/>
      <c r="I116" s="19"/>
      <c r="J116" s="43"/>
      <c r="K116" s="43"/>
      <c r="L116" s="43"/>
      <c r="M116" s="43"/>
      <c r="N116" s="43"/>
      <c r="O116" s="43"/>
      <c r="P116" s="43"/>
      <c r="Q116" s="43"/>
    </row>
    <row r="117" spans="1:17" x14ac:dyDescent="0.2">
      <c r="A117" s="19"/>
      <c r="B117" s="21"/>
      <c r="C117" s="19"/>
      <c r="I117" s="19"/>
      <c r="J117" s="43"/>
      <c r="K117" s="43"/>
      <c r="L117" s="43"/>
      <c r="M117" s="43"/>
      <c r="N117" s="43"/>
      <c r="O117" s="43"/>
      <c r="P117" s="43"/>
      <c r="Q117" s="43"/>
    </row>
    <row r="118" spans="1:17" x14ac:dyDescent="0.2">
      <c r="A118" s="19"/>
      <c r="B118" s="21"/>
      <c r="C118" s="19"/>
      <c r="I118" s="19"/>
      <c r="J118" s="43"/>
      <c r="K118" s="43"/>
      <c r="L118" s="43"/>
      <c r="M118" s="43"/>
      <c r="N118" s="43"/>
      <c r="O118" s="43"/>
      <c r="P118" s="43"/>
      <c r="Q118" s="43"/>
    </row>
    <row r="119" spans="1:17" x14ac:dyDescent="0.2">
      <c r="I119" s="19"/>
      <c r="J119" s="43"/>
      <c r="K119" s="43"/>
      <c r="L119" s="43"/>
      <c r="M119" s="43"/>
      <c r="N119" s="43"/>
      <c r="O119" s="43"/>
      <c r="P119" s="43"/>
      <c r="Q119" s="43"/>
    </row>
    <row r="120" spans="1:17" x14ac:dyDescent="0.2">
      <c r="I120" s="19"/>
      <c r="J120" s="43"/>
      <c r="K120" s="43"/>
      <c r="L120" s="43"/>
      <c r="M120" s="43"/>
      <c r="N120" s="43"/>
      <c r="O120" s="43"/>
      <c r="P120" s="43"/>
      <c r="Q120" s="43"/>
    </row>
    <row r="121" spans="1:17" x14ac:dyDescent="0.2">
      <c r="I121" s="19"/>
      <c r="J121" s="43"/>
      <c r="K121" s="43"/>
      <c r="L121" s="43"/>
      <c r="M121" s="43"/>
      <c r="N121" s="43"/>
      <c r="O121" s="43"/>
      <c r="P121" s="43"/>
      <c r="Q121" s="43"/>
    </row>
    <row r="122" spans="1:17" x14ac:dyDescent="0.2">
      <c r="I122" s="19"/>
      <c r="J122" s="43"/>
      <c r="K122" s="43"/>
      <c r="L122" s="43"/>
      <c r="M122" s="43"/>
      <c r="N122" s="43"/>
      <c r="O122" s="43"/>
      <c r="P122" s="43"/>
      <c r="Q122" s="43"/>
    </row>
    <row r="123" spans="1:17" x14ac:dyDescent="0.2">
      <c r="I123" s="19"/>
      <c r="J123" s="43"/>
      <c r="K123" s="43"/>
      <c r="L123" s="43"/>
      <c r="M123" s="43"/>
      <c r="N123" s="43"/>
      <c r="O123" s="43"/>
      <c r="P123" s="43"/>
      <c r="Q123" s="43"/>
    </row>
    <row r="124" spans="1:17" x14ac:dyDescent="0.2">
      <c r="I124" s="19"/>
      <c r="J124" s="43"/>
      <c r="K124" s="43"/>
      <c r="L124" s="43"/>
      <c r="M124" s="43"/>
      <c r="N124" s="43"/>
      <c r="O124" s="43"/>
      <c r="P124" s="43"/>
      <c r="Q124" s="43"/>
    </row>
    <row r="125" spans="1:17" x14ac:dyDescent="0.2">
      <c r="I125" s="19"/>
      <c r="J125" s="43"/>
      <c r="K125" s="43"/>
      <c r="L125" s="43"/>
      <c r="M125" s="43"/>
      <c r="N125" s="43"/>
      <c r="O125" s="43"/>
      <c r="P125" s="43"/>
      <c r="Q125" s="43"/>
    </row>
    <row r="126" spans="1:17" x14ac:dyDescent="0.2">
      <c r="I126" s="19"/>
      <c r="J126" s="43"/>
      <c r="K126" s="43"/>
      <c r="L126" s="43"/>
      <c r="M126" s="43"/>
      <c r="N126" s="43"/>
      <c r="O126" s="43"/>
      <c r="P126" s="43"/>
      <c r="Q126" s="43"/>
    </row>
    <row r="127" spans="1:17" x14ac:dyDescent="0.2">
      <c r="I127" s="19"/>
      <c r="J127" s="43"/>
      <c r="K127" s="43"/>
      <c r="L127" s="43"/>
      <c r="M127" s="43"/>
      <c r="N127" s="43"/>
      <c r="O127" s="43"/>
      <c r="P127" s="43"/>
      <c r="Q127" s="43"/>
    </row>
    <row r="128" spans="1:17" x14ac:dyDescent="0.2">
      <c r="I128" s="19"/>
      <c r="J128" s="43"/>
      <c r="K128" s="43"/>
      <c r="L128" s="43"/>
      <c r="M128" s="43"/>
      <c r="N128" s="43"/>
      <c r="O128" s="43"/>
      <c r="P128" s="43"/>
      <c r="Q128" s="43"/>
    </row>
    <row r="129" spans="9:17" x14ac:dyDescent="0.2">
      <c r="I129" s="19"/>
      <c r="J129" s="43"/>
      <c r="K129" s="43"/>
      <c r="L129" s="43"/>
      <c r="M129" s="43"/>
      <c r="N129" s="43"/>
      <c r="O129" s="43"/>
      <c r="P129" s="43"/>
      <c r="Q129" s="43"/>
    </row>
    <row r="130" spans="9:17" x14ac:dyDescent="0.2">
      <c r="I130" s="19"/>
      <c r="J130" s="43"/>
      <c r="K130" s="43"/>
      <c r="L130" s="43"/>
      <c r="M130" s="43"/>
      <c r="N130" s="43"/>
      <c r="O130" s="43"/>
      <c r="P130" s="43"/>
      <c r="Q130" s="43"/>
    </row>
    <row r="131" spans="9:17" x14ac:dyDescent="0.2">
      <c r="I131" s="19"/>
      <c r="J131" s="43"/>
      <c r="K131" s="43"/>
      <c r="L131" s="43"/>
      <c r="M131" s="43"/>
      <c r="N131" s="43"/>
      <c r="O131" s="43"/>
      <c r="P131" s="43"/>
      <c r="Q131" s="43"/>
    </row>
    <row r="132" spans="9:17" x14ac:dyDescent="0.2">
      <c r="I132" s="19"/>
      <c r="J132" s="43"/>
      <c r="K132" s="43"/>
      <c r="L132" s="43"/>
      <c r="M132" s="43"/>
      <c r="N132" s="43"/>
      <c r="O132" s="43"/>
      <c r="P132" s="43"/>
      <c r="Q132" s="43"/>
    </row>
    <row r="133" spans="9:17" x14ac:dyDescent="0.2">
      <c r="I133" s="19"/>
      <c r="J133" s="43"/>
      <c r="K133" s="43"/>
      <c r="L133" s="43"/>
      <c r="M133" s="43"/>
      <c r="N133" s="43"/>
      <c r="O133" s="43"/>
      <c r="P133" s="43"/>
      <c r="Q133" s="43"/>
    </row>
    <row r="134" spans="9:17" x14ac:dyDescent="0.2">
      <c r="I134" s="19"/>
      <c r="J134" s="43"/>
      <c r="K134" s="43"/>
      <c r="L134" s="43"/>
      <c r="M134" s="43"/>
      <c r="N134" s="43"/>
      <c r="O134" s="43"/>
      <c r="P134" s="43"/>
      <c r="Q134" s="43"/>
    </row>
    <row r="135" spans="9:17" x14ac:dyDescent="0.2">
      <c r="I135" s="19"/>
      <c r="J135" s="43"/>
      <c r="K135" s="43"/>
      <c r="L135" s="43"/>
      <c r="M135" s="43"/>
      <c r="N135" s="43"/>
      <c r="O135" s="43"/>
      <c r="P135" s="43"/>
      <c r="Q135" s="43"/>
    </row>
    <row r="136" spans="9:17" x14ac:dyDescent="0.2">
      <c r="I136" s="19"/>
      <c r="J136" s="43"/>
      <c r="K136" s="43"/>
      <c r="L136" s="43"/>
      <c r="M136" s="43"/>
      <c r="N136" s="43"/>
      <c r="O136" s="43"/>
      <c r="P136" s="43"/>
      <c r="Q136" s="43"/>
    </row>
    <row r="137" spans="9:17" x14ac:dyDescent="0.2">
      <c r="I137" s="19"/>
      <c r="J137" s="43"/>
      <c r="K137" s="43"/>
      <c r="L137" s="43"/>
      <c r="M137" s="43"/>
      <c r="N137" s="43"/>
      <c r="O137" s="43"/>
      <c r="P137" s="43"/>
      <c r="Q137" s="43"/>
    </row>
    <row r="138" spans="9:17" x14ac:dyDescent="0.2">
      <c r="I138" s="19"/>
      <c r="J138" s="43"/>
      <c r="K138" s="43"/>
      <c r="L138" s="43"/>
      <c r="M138" s="43"/>
      <c r="N138" s="43"/>
      <c r="O138" s="43"/>
      <c r="P138" s="43"/>
      <c r="Q138" s="43"/>
    </row>
    <row r="139" spans="9:17" x14ac:dyDescent="0.2">
      <c r="I139" s="19"/>
      <c r="J139" s="43"/>
      <c r="K139" s="43"/>
      <c r="L139" s="43"/>
      <c r="M139" s="43"/>
      <c r="N139" s="43"/>
      <c r="O139" s="43"/>
      <c r="P139" s="43"/>
      <c r="Q139" s="43"/>
    </row>
    <row r="140" spans="9:17" x14ac:dyDescent="0.2">
      <c r="I140" s="19"/>
      <c r="J140" s="43"/>
      <c r="K140" s="43"/>
      <c r="L140" s="43"/>
      <c r="M140" s="43"/>
      <c r="N140" s="43"/>
      <c r="O140" s="43"/>
      <c r="P140" s="43"/>
      <c r="Q140" s="43"/>
    </row>
    <row r="141" spans="9:17" x14ac:dyDescent="0.2">
      <c r="I141" s="19"/>
      <c r="J141" s="43"/>
      <c r="K141" s="43"/>
      <c r="L141" s="43"/>
      <c r="M141" s="43"/>
      <c r="N141" s="43"/>
      <c r="O141" s="43"/>
      <c r="P141" s="43"/>
      <c r="Q141" s="43"/>
    </row>
    <row r="142" spans="9:17" x14ac:dyDescent="0.2">
      <c r="I142" s="19"/>
      <c r="J142" s="43"/>
      <c r="K142" s="43"/>
      <c r="L142" s="43"/>
      <c r="M142" s="43"/>
      <c r="N142" s="43"/>
      <c r="O142" s="43"/>
      <c r="P142" s="43"/>
      <c r="Q142" s="43"/>
    </row>
    <row r="143" spans="9:17" x14ac:dyDescent="0.2">
      <c r="I143" s="19"/>
      <c r="J143" s="43"/>
      <c r="K143" s="43"/>
      <c r="L143" s="43"/>
      <c r="M143" s="43"/>
      <c r="N143" s="43"/>
      <c r="O143" s="43"/>
      <c r="P143" s="43"/>
      <c r="Q143" s="43"/>
    </row>
    <row r="144" spans="9:17" x14ac:dyDescent="0.2">
      <c r="I144" s="19"/>
      <c r="J144" s="43"/>
      <c r="K144" s="43"/>
      <c r="L144" s="43"/>
      <c r="M144" s="43"/>
      <c r="N144" s="43"/>
      <c r="O144" s="43"/>
      <c r="P144" s="43"/>
      <c r="Q144" s="43"/>
    </row>
    <row r="145" spans="1:17" x14ac:dyDescent="0.2">
      <c r="I145" s="19"/>
      <c r="J145" s="43"/>
      <c r="K145" s="43"/>
      <c r="L145" s="43"/>
      <c r="M145" s="43"/>
      <c r="N145" s="43"/>
      <c r="O145" s="43"/>
      <c r="P145" s="43"/>
      <c r="Q145" s="43"/>
    </row>
    <row r="146" spans="1:17" x14ac:dyDescent="0.2">
      <c r="I146" s="19"/>
      <c r="J146" s="43"/>
      <c r="K146" s="43"/>
      <c r="L146" s="43"/>
      <c r="M146" s="43"/>
      <c r="N146" s="43"/>
      <c r="O146" s="43"/>
      <c r="P146" s="43"/>
      <c r="Q146" s="43"/>
    </row>
    <row r="147" spans="1:17" x14ac:dyDescent="0.2">
      <c r="I147" s="19"/>
      <c r="J147" s="43"/>
      <c r="K147" s="43"/>
      <c r="L147" s="43"/>
      <c r="M147" s="43"/>
      <c r="N147" s="43"/>
      <c r="O147" s="43"/>
      <c r="P147" s="43"/>
      <c r="Q147" s="43"/>
    </row>
    <row r="148" spans="1:17" x14ac:dyDescent="0.2">
      <c r="P148" s="43"/>
      <c r="Q148" s="43"/>
    </row>
    <row r="149" spans="1:17" x14ac:dyDescent="0.2">
      <c r="P149" s="43"/>
      <c r="Q149" s="43"/>
    </row>
    <row r="150" spans="1:17" x14ac:dyDescent="0.2">
      <c r="A150" s="19"/>
      <c r="B150" s="19"/>
      <c r="C150" s="19"/>
      <c r="D150" s="19"/>
      <c r="E150" s="19"/>
      <c r="F150" s="19"/>
      <c r="G150" s="19"/>
      <c r="H150" s="19"/>
      <c r="I150" s="19"/>
    </row>
    <row r="151" spans="1:17" x14ac:dyDescent="0.2">
      <c r="A151" s="19"/>
      <c r="B151" s="19"/>
      <c r="C151" s="19"/>
      <c r="D151" s="19"/>
      <c r="E151" s="19"/>
      <c r="F151" s="19"/>
      <c r="G151" s="19"/>
      <c r="H151" s="19"/>
      <c r="I151" s="19"/>
    </row>
  </sheetData>
  <mergeCells count="4">
    <mergeCell ref="I2:N2"/>
    <mergeCell ref="C2:H2"/>
    <mergeCell ref="B1:N1"/>
    <mergeCell ref="A1:A3"/>
  </mergeCell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D66DC-6D5F-0D41-9CA3-8F324DCD8864}">
  <dimension ref="A1:AA91"/>
  <sheetViews>
    <sheetView topLeftCell="A31" zoomScale="130" zoomScaleNormal="130" workbookViewId="0">
      <selection activeCell="D7" sqref="D7:N7"/>
    </sheetView>
  </sheetViews>
  <sheetFormatPr baseColWidth="10" defaultRowHeight="15" x14ac:dyDescent="0.2"/>
  <cols>
    <col min="1" max="1" width="32.6640625" customWidth="1"/>
    <col min="2" max="3" width="10" customWidth="1"/>
    <col min="4" max="4" width="12.83203125" bestFit="1" customWidth="1"/>
    <col min="5" max="6" width="13.83203125" bestFit="1" customWidth="1"/>
    <col min="7" max="10" width="11.33203125" bestFit="1" customWidth="1"/>
    <col min="11" max="11" width="11.1640625" bestFit="1" customWidth="1"/>
    <col min="12" max="13" width="11.33203125" bestFit="1" customWidth="1"/>
    <col min="14" max="14" width="11.83203125" bestFit="1" customWidth="1"/>
    <col min="16" max="16" width="20.6640625" customWidth="1"/>
  </cols>
  <sheetData>
    <row r="1" spans="1:27" x14ac:dyDescent="0.2">
      <c r="A1" t="s">
        <v>136</v>
      </c>
    </row>
    <row r="2" spans="1:27" x14ac:dyDescent="0.2">
      <c r="A2" t="s">
        <v>137</v>
      </c>
    </row>
    <row r="3" spans="1:27" x14ac:dyDescent="0.2">
      <c r="A3" t="s">
        <v>138</v>
      </c>
    </row>
    <row r="6" spans="1:27" x14ac:dyDescent="0.2">
      <c r="A6" s="32" t="s">
        <v>165</v>
      </c>
      <c r="B6" s="325" t="s">
        <v>136</v>
      </c>
      <c r="C6" s="326"/>
      <c r="D6" s="331" t="s">
        <v>162</v>
      </c>
      <c r="E6" s="331"/>
      <c r="F6" s="331"/>
      <c r="G6" s="331"/>
      <c r="H6" s="331"/>
      <c r="I6" s="331"/>
      <c r="J6" s="330" t="s">
        <v>163</v>
      </c>
      <c r="K6" s="330"/>
      <c r="L6" s="330"/>
      <c r="M6" s="330"/>
      <c r="N6" s="40" t="s">
        <v>161</v>
      </c>
      <c r="P6" t="e" vm="3">
        <v>#VALUE!</v>
      </c>
    </row>
    <row r="7" spans="1:27" x14ac:dyDescent="0.2">
      <c r="A7" s="86" t="s">
        <v>166</v>
      </c>
      <c r="B7" s="74" t="s">
        <v>203</v>
      </c>
      <c r="C7" s="74" t="s">
        <v>164</v>
      </c>
      <c r="D7" s="32">
        <v>2016</v>
      </c>
      <c r="E7" s="32">
        <v>2017</v>
      </c>
      <c r="F7" s="32">
        <v>2018</v>
      </c>
      <c r="G7" s="32">
        <v>2019</v>
      </c>
      <c r="H7" s="32">
        <v>2020</v>
      </c>
      <c r="I7" s="32">
        <v>2021</v>
      </c>
      <c r="J7" s="32">
        <v>2022</v>
      </c>
      <c r="K7" s="32">
        <v>2023</v>
      </c>
      <c r="L7" s="32">
        <v>2024</v>
      </c>
      <c r="M7" s="32">
        <v>2025</v>
      </c>
      <c r="N7" s="32">
        <v>2026</v>
      </c>
      <c r="P7" s="171" t="s">
        <v>206</v>
      </c>
      <c r="Q7" s="174">
        <v>2016</v>
      </c>
      <c r="R7" s="174">
        <v>2017</v>
      </c>
      <c r="S7" s="174">
        <v>2018</v>
      </c>
      <c r="T7" s="174">
        <v>2019</v>
      </c>
      <c r="U7" s="174">
        <v>2020</v>
      </c>
      <c r="V7" s="174">
        <v>2021</v>
      </c>
      <c r="W7" s="174">
        <v>2022</v>
      </c>
      <c r="X7" s="174">
        <v>2023</v>
      </c>
      <c r="Y7" s="174">
        <v>2024</v>
      </c>
      <c r="Z7" s="174">
        <v>2025</v>
      </c>
      <c r="AA7" s="174">
        <v>2026</v>
      </c>
    </row>
    <row r="8" spans="1:27" s="19" customFormat="1" x14ac:dyDescent="0.2">
      <c r="A8" s="87" t="s">
        <v>133</v>
      </c>
      <c r="B8" s="75">
        <f>rate!B6</f>
        <v>0.55104753568223708</v>
      </c>
      <c r="C8" s="75">
        <v>0.03</v>
      </c>
      <c r="D8" s="24">
        <f>income!B2</f>
        <v>5589.0069999999996</v>
      </c>
      <c r="E8" s="24">
        <f>income!C2</f>
        <v>8534.7520000000004</v>
      </c>
      <c r="F8" s="24">
        <f>income!D2</f>
        <v>17631.522000000001</v>
      </c>
      <c r="G8" s="24">
        <f>income!E2</f>
        <v>19358</v>
      </c>
      <c r="H8" s="24">
        <f>income!F2</f>
        <v>24604</v>
      </c>
      <c r="I8" s="24">
        <f>income!G2</f>
        <v>44125</v>
      </c>
      <c r="J8" s="24">
        <f>$I$8*(1+$B$8)^(J$7-$I$7)</f>
        <v>68439.972511978718</v>
      </c>
      <c r="K8" s="24">
        <f>$I$8*(1+$B$8)^(K$7-$I$7)</f>
        <v>106153.65070686463</v>
      </c>
      <c r="L8" s="24">
        <f>$I$8*(1+$B$8)^(L$7-$I$7)</f>
        <v>164649.35833255536</v>
      </c>
      <c r="M8" s="24">
        <f>$I$8*(1+$B$8)^(M$7-$I$7)</f>
        <v>255378.98149337163</v>
      </c>
      <c r="N8" s="89">
        <f>M8*(1+$C$8)^(N$7-$M$7)</f>
        <v>263040.35093817278</v>
      </c>
      <c r="P8" s="180" t="s">
        <v>207</v>
      </c>
      <c r="Q8" s="171"/>
      <c r="R8" s="171"/>
      <c r="S8" s="171"/>
      <c r="T8" s="171"/>
      <c r="U8" s="171"/>
      <c r="V8" s="171"/>
      <c r="W8" s="171"/>
      <c r="X8" s="171"/>
      <c r="Y8" s="171"/>
      <c r="Z8" s="171"/>
      <c r="AA8" s="171"/>
    </row>
    <row r="9" spans="1:27" x14ac:dyDescent="0.2">
      <c r="A9" s="87" t="s">
        <v>135</v>
      </c>
      <c r="B9" s="75">
        <f>rate!B7</f>
        <v>0.79357392490303891</v>
      </c>
      <c r="C9" s="75">
        <v>0.03</v>
      </c>
      <c r="D9" s="24"/>
      <c r="E9" s="24"/>
      <c r="F9" s="24"/>
      <c r="G9" s="24">
        <f>income!E3</f>
        <v>594</v>
      </c>
      <c r="H9" s="24">
        <f>income!F3</f>
        <v>1580</v>
      </c>
      <c r="I9" s="24">
        <f>income!G3</f>
        <v>1465</v>
      </c>
      <c r="J9" s="24">
        <f>$I$9*(1+$B$9)^(J$7-$I$7)</f>
        <v>2627.5857999829518</v>
      </c>
      <c r="K9" s="24">
        <f t="shared" ref="K9:M9" si="0">$I$9*(1+$B$9)^(K$7-$I$7)</f>
        <v>4712.7693762949148</v>
      </c>
      <c r="L9" s="24">
        <f t="shared" si="0"/>
        <v>8452.7002674041178</v>
      </c>
      <c r="M9" s="24">
        <f t="shared" si="0"/>
        <v>15160.542794636969</v>
      </c>
      <c r="N9" s="89">
        <f>M9*(1+$C$8)^(N$7-$M$7)</f>
        <v>15615.359078476078</v>
      </c>
      <c r="P9" s="177" t="s">
        <v>208</v>
      </c>
      <c r="Q9" s="172">
        <f t="shared" ref="Q9:AA9" si="1">D50/D60</f>
        <v>2.3860776598295312</v>
      </c>
      <c r="R9" s="172">
        <f t="shared" si="1"/>
        <v>1.9293831190282316</v>
      </c>
      <c r="S9" s="172">
        <f t="shared" si="1"/>
        <v>2.0586956839630184</v>
      </c>
      <c r="T9" s="172">
        <f t="shared" si="1"/>
        <v>2.4529793271179572</v>
      </c>
      <c r="U9" s="172">
        <f t="shared" si="1"/>
        <v>3.5579970701824477</v>
      </c>
      <c r="V9" s="172">
        <f t="shared" si="1"/>
        <v>2.3622733612273361</v>
      </c>
      <c r="W9" s="172">
        <f t="shared" si="1"/>
        <v>-138.86328405233255</v>
      </c>
      <c r="X9" s="172">
        <f t="shared" si="1"/>
        <v>13.919691192130827</v>
      </c>
      <c r="Y9" s="172">
        <f t="shared" si="1"/>
        <v>59.462261738855567</v>
      </c>
      <c r="Z9" s="172">
        <f t="shared" si="1"/>
        <v>19.286907291533147</v>
      </c>
      <c r="AA9" s="172" t="e">
        <f t="shared" si="1"/>
        <v>#DIV/0!</v>
      </c>
    </row>
    <row r="10" spans="1:27" ht="16" thickBot="1" x14ac:dyDescent="0.25">
      <c r="A10" s="88" t="s">
        <v>132</v>
      </c>
      <c r="B10" s="76">
        <f>rate!B9</f>
        <v>0.52106813903379723</v>
      </c>
      <c r="C10" s="76">
        <v>0.03</v>
      </c>
      <c r="D10" s="22">
        <f>income!B4</f>
        <v>761.75900000000001</v>
      </c>
      <c r="E10" s="24">
        <f>income!C4</f>
        <v>1106.548</v>
      </c>
      <c r="F10" s="24">
        <f>income!D4</f>
        <v>883.46100000000001</v>
      </c>
      <c r="G10" s="24">
        <f>income!E4</f>
        <v>869</v>
      </c>
      <c r="H10" s="24">
        <f>income!F4</f>
        <v>1052</v>
      </c>
      <c r="I10" s="24">
        <f>income!G4</f>
        <v>1642</v>
      </c>
      <c r="J10" s="24">
        <f>$I$10*(1+$B$10)^(J$7-$I$7)</f>
        <v>2497.5938842934952</v>
      </c>
      <c r="K10" s="24">
        <f>$I$10*(1+$B$10)^(K$7-$I$7)</f>
        <v>3799.0104816445</v>
      </c>
      <c r="L10" s="24">
        <f>$I$10*(1+$B$10)^(L$7-$I$7)</f>
        <v>5778.5538034848896</v>
      </c>
      <c r="M10" s="24">
        <f>$I$10*(1+$B$10)^(M$7-$I$7)</f>
        <v>8789.5740801734319</v>
      </c>
      <c r="N10" s="89">
        <f>M10*(1+$C$8)^(N$7-$M$7)</f>
        <v>9053.2613025786359</v>
      </c>
      <c r="P10" s="177" t="s">
        <v>209</v>
      </c>
      <c r="Q10" s="171">
        <f t="shared" ref="Q10:Y10" si="2">(D50-D49)/D60</f>
        <v>1.5980159079569136</v>
      </c>
      <c r="R10" s="171">
        <f t="shared" si="2"/>
        <v>1.2647127311295865</v>
      </c>
      <c r="S10" s="171">
        <f t="shared" si="2"/>
        <v>1.2870366216633873</v>
      </c>
      <c r="T10" s="171">
        <f t="shared" si="2"/>
        <v>1.7330766112687475</v>
      </c>
      <c r="U10" s="171">
        <f t="shared" si="2"/>
        <v>3.0118524437341856</v>
      </c>
      <c r="V10" s="171">
        <f t="shared" si="2"/>
        <v>1.8604428172942817</v>
      </c>
      <c r="W10" s="171">
        <f t="shared" si="2"/>
        <v>-110.1217626516835</v>
      </c>
      <c r="X10" s="171">
        <f t="shared" si="2"/>
        <v>12.248826324663691</v>
      </c>
      <c r="Y10" s="171">
        <f t="shared" si="2"/>
        <v>48.272751176362327</v>
      </c>
      <c r="Z10" s="171"/>
      <c r="AA10" s="171"/>
    </row>
    <row r="11" spans="1:27" ht="16" thickTop="1" x14ac:dyDescent="0.2">
      <c r="A11" s="86" t="s">
        <v>134</v>
      </c>
      <c r="B11" s="75">
        <f>rate!B9</f>
        <v>0.52106813903379723</v>
      </c>
      <c r="C11" s="77"/>
      <c r="D11" s="24">
        <f>income!B5</f>
        <v>6350.7660000000005</v>
      </c>
      <c r="E11" s="23">
        <f>income!C5</f>
        <v>9641.2999999999993</v>
      </c>
      <c r="F11" s="23">
        <f>income!D5</f>
        <v>18514.983</v>
      </c>
      <c r="G11" s="23">
        <f>income!E5</f>
        <v>20821</v>
      </c>
      <c r="H11" s="23">
        <f>income!F5</f>
        <v>27236</v>
      </c>
      <c r="I11" s="23">
        <f>income!G5</f>
        <v>47232</v>
      </c>
      <c r="J11" s="23">
        <f>SUM(J8:J10)</f>
        <v>73565.152196255163</v>
      </c>
      <c r="K11" s="23">
        <f>SUM(K8:K10)</f>
        <v>114665.43056480405</v>
      </c>
      <c r="L11" s="23">
        <f t="shared" ref="L11:M11" si="3">SUM(L8:L10)</f>
        <v>178880.61240344436</v>
      </c>
      <c r="M11" s="23">
        <f t="shared" si="3"/>
        <v>279329.09836818202</v>
      </c>
      <c r="N11" s="107">
        <f>SUM(N8:N10)</f>
        <v>287708.97131922748</v>
      </c>
      <c r="P11" s="177" t="s">
        <v>210</v>
      </c>
      <c r="Q11" s="171">
        <f t="shared" ref="Q11:Y11" si="4">D45/D60</f>
        <v>1.2934090651797796</v>
      </c>
      <c r="R11" s="171">
        <f t="shared" si="4"/>
        <v>0.98896227664459557</v>
      </c>
      <c r="S11" s="171">
        <f t="shared" si="4"/>
        <v>0.91347032512355808</v>
      </c>
      <c r="T11" s="171">
        <f t="shared" si="4"/>
        <v>1.270368869071747</v>
      </c>
      <c r="U11" s="171">
        <f t="shared" si="4"/>
        <v>2.5814356106006127</v>
      </c>
      <c r="V11" s="171">
        <f t="shared" si="4"/>
        <v>1.5320781032078103</v>
      </c>
      <c r="W11" s="171">
        <f t="shared" si="4"/>
        <v>-104.89982156828202</v>
      </c>
      <c r="X11" s="171">
        <f t="shared" si="4"/>
        <v>11.781986368103416</v>
      </c>
      <c r="Y11" s="171">
        <f t="shared" si="4"/>
        <v>46.11572349672533</v>
      </c>
      <c r="Z11" s="171"/>
      <c r="AA11" s="171"/>
    </row>
    <row r="12" spans="1:27" x14ac:dyDescent="0.2">
      <c r="A12" s="87" t="s">
        <v>130</v>
      </c>
      <c r="B12" s="75">
        <f>rate!B10</f>
        <v>1.2465199699466534</v>
      </c>
      <c r="C12" s="75">
        <v>0.03</v>
      </c>
      <c r="D12" s="24">
        <f>income!B6</f>
        <v>181.39400000000001</v>
      </c>
      <c r="E12" s="24">
        <f>income!C6</f>
        <v>1116.2660000000001</v>
      </c>
      <c r="F12" s="24">
        <f>income!D6</f>
        <v>1555.2440000000001</v>
      </c>
      <c r="G12" s="24">
        <f>income!E6</f>
        <v>1531</v>
      </c>
      <c r="H12" s="24">
        <f>income!F6</f>
        <v>1994</v>
      </c>
      <c r="I12" s="24">
        <f>income!G6</f>
        <v>2789</v>
      </c>
      <c r="J12" s="24">
        <f>$I$12*(1+$B$12)^(J$7-I$7)</f>
        <v>6265.5441961812166</v>
      </c>
      <c r="K12" s="24">
        <f t="shared" ref="K12:N12" si="5">$I$12*(1+$B$12)^(K$7-J$7)</f>
        <v>6265.5441961812166</v>
      </c>
      <c r="L12" s="24">
        <f t="shared" si="5"/>
        <v>6265.5441961812166</v>
      </c>
      <c r="M12" s="24">
        <f t="shared" si="5"/>
        <v>6265.5441961812166</v>
      </c>
      <c r="N12" s="89">
        <f t="shared" si="5"/>
        <v>6265.5441961812166</v>
      </c>
      <c r="P12" s="158" t="s">
        <v>211</v>
      </c>
      <c r="Q12" s="171">
        <f t="shared" ref="Q12:Z12" si="6">D87/D60</f>
        <v>-1.2016427117246042E-2</v>
      </c>
      <c r="R12" s="171">
        <f t="shared" si="6"/>
        <v>0.13516608266091679</v>
      </c>
      <c r="S12" s="171">
        <f t="shared" si="6"/>
        <v>1.2648091836332647E-2</v>
      </c>
      <c r="T12" s="171">
        <f t="shared" si="6"/>
        <v>0.15565464126469397</v>
      </c>
      <c r="U12" s="171">
        <f t="shared" si="6"/>
        <v>0.42429085097882541</v>
      </c>
      <c r="V12" s="171">
        <f t="shared" si="6"/>
        <v>0.97968967921896788</v>
      </c>
      <c r="W12" s="171">
        <f t="shared" si="6"/>
        <v>38.124172427277323</v>
      </c>
      <c r="X12" s="171">
        <f t="shared" si="6"/>
        <v>-1.4927048698605399</v>
      </c>
      <c r="Y12" s="171">
        <f t="shared" si="6"/>
        <v>-13.736039421599065</v>
      </c>
      <c r="Z12" s="171">
        <f t="shared" si="6"/>
        <v>-3.0249702250247315</v>
      </c>
      <c r="AA12" s="171"/>
    </row>
    <row r="13" spans="1:27" ht="16" thickBot="1" x14ac:dyDescent="0.25">
      <c r="A13" s="88" t="s">
        <v>129</v>
      </c>
      <c r="B13" s="76">
        <f>rate!B11</f>
        <v>0.56274569299175603</v>
      </c>
      <c r="C13" s="76">
        <v>0.03</v>
      </c>
      <c r="D13" s="22">
        <f>income!B7</f>
        <v>467.97200000000004</v>
      </c>
      <c r="E13" s="22">
        <f>income!C7</f>
        <v>1001.1850000000001</v>
      </c>
      <c r="F13" s="22">
        <f>income!D7</f>
        <v>1391.0409999999999</v>
      </c>
      <c r="G13" s="22">
        <f>income!E7</f>
        <v>2226</v>
      </c>
      <c r="H13" s="22">
        <f>income!F7</f>
        <v>2306</v>
      </c>
      <c r="I13" s="22">
        <f>income!G7</f>
        <v>3802</v>
      </c>
      <c r="J13" s="22">
        <f>$I$13*(1+$B$13)^(J$7-I$7)</f>
        <v>5941.5591247546563</v>
      </c>
      <c r="K13" s="22">
        <f t="shared" ref="K13:N13" si="7">$I$13*(1+$B$13)^(K$7-J$7)</f>
        <v>5941.5591247546563</v>
      </c>
      <c r="L13" s="22">
        <f t="shared" si="7"/>
        <v>5941.5591247546563</v>
      </c>
      <c r="M13" s="22">
        <f t="shared" si="7"/>
        <v>5941.5591247546563</v>
      </c>
      <c r="N13" s="108">
        <f t="shared" si="7"/>
        <v>5941.5591247546563</v>
      </c>
      <c r="P13" s="171"/>
      <c r="Q13" s="171"/>
      <c r="R13" s="171"/>
      <c r="S13" s="171"/>
      <c r="T13" s="171"/>
      <c r="U13" s="171"/>
      <c r="V13" s="171"/>
      <c r="W13" s="171"/>
      <c r="X13" s="171"/>
      <c r="Y13" s="171"/>
      <c r="Z13" s="171"/>
      <c r="AA13" s="171"/>
    </row>
    <row r="14" spans="1:27" ht="16" thickTop="1" x14ac:dyDescent="0.2">
      <c r="A14" s="86" t="s">
        <v>158</v>
      </c>
      <c r="B14" s="109">
        <f>rate!B12</f>
        <v>0.52799244701422365</v>
      </c>
      <c r="C14" s="137">
        <v>0.03</v>
      </c>
      <c r="D14" s="53">
        <f>income!B8</f>
        <v>7000.1320000000005</v>
      </c>
      <c r="E14" s="53">
        <f>income!C8</f>
        <v>11758.751</v>
      </c>
      <c r="F14" s="53">
        <f>income!D8</f>
        <v>21461.268</v>
      </c>
      <c r="G14" s="53">
        <f>income!E8</f>
        <v>24578</v>
      </c>
      <c r="H14" s="53">
        <f>income!F8</f>
        <v>31536</v>
      </c>
      <c r="I14" s="53">
        <f>income!G8</f>
        <v>53823</v>
      </c>
      <c r="J14" s="53">
        <f>SUM(J11:J13)</f>
        <v>85772.255517191035</v>
      </c>
      <c r="K14" s="53">
        <f>SUM(K11:K13)</f>
        <v>126872.53388573992</v>
      </c>
      <c r="L14" s="53">
        <f>SUM(L11:L13)</f>
        <v>191087.71572438022</v>
      </c>
      <c r="M14" s="53">
        <f>SUM(M11:M13)</f>
        <v>291536.20168911794</v>
      </c>
      <c r="N14" s="139">
        <f>SUM(N11:N13)</f>
        <v>299916.0746401634</v>
      </c>
      <c r="Z14" s="171"/>
      <c r="AA14" s="171"/>
    </row>
    <row r="15" spans="1:27" x14ac:dyDescent="0.2">
      <c r="A15" s="86"/>
      <c r="B15" s="78"/>
      <c r="C15" s="75"/>
      <c r="D15" s="24"/>
      <c r="E15" s="24"/>
      <c r="F15" s="24"/>
      <c r="G15" s="24"/>
      <c r="H15" s="24"/>
      <c r="I15" s="24"/>
      <c r="J15" s="24"/>
      <c r="K15" s="24"/>
      <c r="L15" s="24"/>
      <c r="M15" s="24"/>
      <c r="N15" s="89"/>
      <c r="P15" s="158" t="s">
        <v>215</v>
      </c>
      <c r="Z15" s="171"/>
      <c r="AA15" s="171"/>
    </row>
    <row r="16" spans="1:27" x14ac:dyDescent="0.2">
      <c r="A16" s="86" t="s">
        <v>167</v>
      </c>
      <c r="B16" s="78"/>
      <c r="C16" s="75"/>
      <c r="D16" s="24"/>
      <c r="E16" s="24"/>
      <c r="F16" s="24"/>
      <c r="G16" s="24"/>
      <c r="H16" s="24"/>
      <c r="I16" s="24"/>
      <c r="J16" s="24"/>
      <c r="K16" s="24"/>
      <c r="L16" s="24"/>
      <c r="M16" s="24"/>
      <c r="N16" s="89"/>
      <c r="P16" s="178" t="s">
        <v>212</v>
      </c>
      <c r="Q16" s="171">
        <f t="shared" ref="Q16:Y16" si="8">D64/D54</f>
        <v>0.41189881290549851</v>
      </c>
      <c r="R16" s="171">
        <f t="shared" si="8"/>
        <v>0.48862115627045433</v>
      </c>
      <c r="S16" s="171">
        <f t="shared" si="8"/>
        <v>0.48518746746343111</v>
      </c>
      <c r="T16" s="171">
        <f t="shared" si="8"/>
        <v>0.51808563350724302</v>
      </c>
      <c r="U16" s="171">
        <f t="shared" si="8"/>
        <v>0.35186392574978909</v>
      </c>
      <c r="V16" s="171">
        <f t="shared" si="8"/>
        <v>0.30208752474610095</v>
      </c>
      <c r="W16" s="171">
        <f t="shared" si="8"/>
        <v>0.20457609924421563</v>
      </c>
      <c r="X16" s="171">
        <f t="shared" si="8"/>
        <v>0.28887702602556842</v>
      </c>
      <c r="Y16" s="171">
        <f t="shared" si="8"/>
        <v>0.22903540143856363</v>
      </c>
      <c r="Z16" s="171"/>
      <c r="AA16" s="171"/>
    </row>
    <row r="17" spans="1:27" x14ac:dyDescent="0.2">
      <c r="A17" s="87" t="s">
        <v>133</v>
      </c>
      <c r="B17" s="75">
        <f>rate!B15</f>
        <v>2.765194216670928</v>
      </c>
      <c r="C17" s="90" t="s">
        <v>168</v>
      </c>
      <c r="D17" s="24">
        <f>income!B9</f>
        <v>4268.0870000000004</v>
      </c>
      <c r="E17" s="24">
        <f>income!C9</f>
        <v>6724.4800000000005</v>
      </c>
      <c r="F17" s="24">
        <f>income!D9</f>
        <v>13685.572</v>
      </c>
      <c r="G17" s="24">
        <f>income!E9</f>
        <v>15939</v>
      </c>
      <c r="H17" s="24">
        <f>income!F9</f>
        <v>19696</v>
      </c>
      <c r="I17" s="24">
        <f>income!G9</f>
        <v>32415</v>
      </c>
      <c r="J17" s="91">
        <f>J$8*$B$17</f>
        <v>189249.81617924085</v>
      </c>
      <c r="K17" s="91">
        <f t="shared" ref="K17:M17" si="9">K$8*$B$17</f>
        <v>293535.46101312788</v>
      </c>
      <c r="L17" s="91">
        <f t="shared" si="9"/>
        <v>455287.45343976136</v>
      </c>
      <c r="M17" s="91">
        <f t="shared" si="9"/>
        <v>706172.48268478317</v>
      </c>
      <c r="N17" s="92"/>
      <c r="P17" s="178" t="s">
        <v>213</v>
      </c>
      <c r="Q17" s="171">
        <f t="shared" ref="Q17:Y17" si="10">D64/D71</f>
        <v>1.964123881133057</v>
      </c>
      <c r="R17" s="171">
        <f t="shared" si="10"/>
        <v>3.3044185345090038</v>
      </c>
      <c r="S17" s="171">
        <f t="shared" si="10"/>
        <v>2.9308502545984427</v>
      </c>
      <c r="T17" s="171">
        <f t="shared" si="10"/>
        <v>2.6858567543064371</v>
      </c>
      <c r="U17" s="171">
        <f t="shared" si="10"/>
        <v>0.82560179977502812</v>
      </c>
      <c r="V17" s="171">
        <f t="shared" si="10"/>
        <v>0.62171651926198279</v>
      </c>
      <c r="W17" s="171">
        <f t="shared" si="10"/>
        <v>0.25719129014080983</v>
      </c>
      <c r="X17" s="171">
        <f t="shared" si="10"/>
        <v>0.40622654111573531</v>
      </c>
      <c r="Y17" s="171">
        <f t="shared" si="10"/>
        <v>0.29707641812078917</v>
      </c>
      <c r="Z17" s="171"/>
      <c r="AA17" s="171"/>
    </row>
    <row r="18" spans="1:27" ht="16" thickBot="1" x14ac:dyDescent="0.25">
      <c r="A18" s="88" t="s">
        <v>132</v>
      </c>
      <c r="B18" s="76">
        <f>rate!B16</f>
        <v>0.59887772615339896</v>
      </c>
      <c r="C18" s="79"/>
      <c r="D18" s="22">
        <f>income!B10</f>
        <v>481.99399999999997</v>
      </c>
      <c r="E18" s="22">
        <f>income!C10</f>
        <v>708.22399999999993</v>
      </c>
      <c r="F18" s="22">
        <f>income!D10</f>
        <v>488.42500000000001</v>
      </c>
      <c r="G18" s="22">
        <f>income!E10</f>
        <v>459</v>
      </c>
      <c r="H18" s="22">
        <f>income!F10</f>
        <v>563</v>
      </c>
      <c r="I18" s="22">
        <f>income!G10</f>
        <v>978</v>
      </c>
      <c r="J18" s="41">
        <f>J$9*$B$18</f>
        <v>1573.60260916675</v>
      </c>
      <c r="K18" s="41">
        <f t="shared" ref="K18:M18" si="11">K$9*$B$18</f>
        <v>2822.3726079608709</v>
      </c>
      <c r="L18" s="41">
        <f t="shared" si="11"/>
        <v>5062.1339159992058</v>
      </c>
      <c r="M18" s="41">
        <f t="shared" si="11"/>
        <v>9079.3113961034851</v>
      </c>
      <c r="N18" s="186"/>
      <c r="P18" s="179" t="s">
        <v>214</v>
      </c>
      <c r="Q18" s="176">
        <f t="shared" ref="Q18:Z18" si="12">D30/D34</f>
        <v>0.33566721995875465</v>
      </c>
      <c r="R18" s="176">
        <f t="shared" si="12"/>
        <v>0.34632463252691192</v>
      </c>
      <c r="S18" s="176">
        <f t="shared" si="12"/>
        <v>5.8526613288772997E-2</v>
      </c>
      <c r="T18" s="176">
        <f t="shared" si="12"/>
        <v>0.10072992700729927</v>
      </c>
      <c r="U18" s="176">
        <f t="shared" si="12"/>
        <v>-2.6657754010695189</v>
      </c>
      <c r="V18" s="176">
        <f t="shared" si="12"/>
        <v>-17.5822102425876</v>
      </c>
      <c r="W18" s="176">
        <f t="shared" si="12"/>
        <v>-0.44124043497219972</v>
      </c>
      <c r="X18" s="176">
        <f t="shared" si="12"/>
        <v>-0.44124043497219984</v>
      </c>
      <c r="Y18" s="176">
        <f t="shared" si="12"/>
        <v>-0.44124043497219984</v>
      </c>
      <c r="Z18" s="176">
        <f t="shared" si="12"/>
        <v>-0.44124043497219984</v>
      </c>
      <c r="AA18" s="171"/>
    </row>
    <row r="19" spans="1:27" ht="16" thickTop="1" x14ac:dyDescent="0.2">
      <c r="A19" s="87" t="s">
        <v>131</v>
      </c>
      <c r="B19" s="75"/>
      <c r="C19" s="80"/>
      <c r="D19" s="24">
        <f>income!B11</f>
        <v>4750.0810000000001</v>
      </c>
      <c r="E19" s="24">
        <f>income!C11</f>
        <v>7432.7039999999997</v>
      </c>
      <c r="F19" s="24">
        <f>income!D11</f>
        <v>14173.996999999999</v>
      </c>
      <c r="G19" s="24">
        <f>income!E11</f>
        <v>16398</v>
      </c>
      <c r="H19" s="24">
        <f>income!F11</f>
        <v>20259</v>
      </c>
      <c r="I19" s="24">
        <f>income!G11</f>
        <v>33393</v>
      </c>
      <c r="J19" s="91">
        <f>SUM(J17:J18)</f>
        <v>190823.41878840761</v>
      </c>
      <c r="K19" s="91">
        <f t="shared" ref="K19:M19" si="13">SUM(K17:K18)</f>
        <v>296357.83362108876</v>
      </c>
      <c r="L19" s="91">
        <f t="shared" si="13"/>
        <v>460349.58735576057</v>
      </c>
      <c r="M19" s="91">
        <f t="shared" si="13"/>
        <v>715251.79408088664</v>
      </c>
      <c r="N19" s="92"/>
      <c r="P19" s="178"/>
      <c r="AA19" s="175"/>
    </row>
    <row r="20" spans="1:27" x14ac:dyDescent="0.2">
      <c r="A20" s="87" t="s">
        <v>130</v>
      </c>
      <c r="B20" s="75">
        <f>rate!B18</f>
        <v>5.5813546718182817E-2</v>
      </c>
      <c r="C20" s="80"/>
      <c r="D20" s="24">
        <f>income!B12</f>
        <v>178.33199999999999</v>
      </c>
      <c r="E20" s="24">
        <f>income!C12</f>
        <v>874.5379999999999</v>
      </c>
      <c r="F20" s="24">
        <f>income!D12</f>
        <v>1364.896</v>
      </c>
      <c r="G20" s="24">
        <f>income!E12</f>
        <v>1341</v>
      </c>
      <c r="H20" s="24">
        <f>income!F12</f>
        <v>1976</v>
      </c>
      <c r="I20" s="24">
        <f>income!G12</f>
        <v>2918</v>
      </c>
      <c r="J20" s="91">
        <f>J$12*$B$20</f>
        <v>349.70224370839952</v>
      </c>
      <c r="K20" s="91">
        <f t="shared" ref="K20:M20" si="14">K$12*$B$20</f>
        <v>349.70224370839952</v>
      </c>
      <c r="L20" s="91">
        <f t="shared" si="14"/>
        <v>349.70224370839952</v>
      </c>
      <c r="M20" s="91">
        <f t="shared" si="14"/>
        <v>349.70224370839952</v>
      </c>
      <c r="N20" s="92"/>
      <c r="P20" s="177"/>
      <c r="Q20" s="175"/>
      <c r="R20" s="175"/>
      <c r="S20" s="175"/>
      <c r="T20" s="175"/>
      <c r="U20" s="175"/>
      <c r="V20" s="175"/>
      <c r="W20" s="175"/>
      <c r="X20" s="175"/>
      <c r="Y20" s="175"/>
      <c r="Z20" s="175"/>
      <c r="AA20" s="175"/>
    </row>
    <row r="21" spans="1:27" ht="16" thickBot="1" x14ac:dyDescent="0.25">
      <c r="A21" s="88" t="s">
        <v>129</v>
      </c>
      <c r="B21" s="76">
        <f>rate!B19</f>
        <v>1.1698239225608504</v>
      </c>
      <c r="C21" s="79"/>
      <c r="D21" s="22">
        <f>income!B13</f>
        <v>472.46199999999999</v>
      </c>
      <c r="E21" s="22">
        <f>income!C13</f>
        <v>1229.0219999999999</v>
      </c>
      <c r="F21" s="22">
        <f>income!D13</f>
        <v>1880.354</v>
      </c>
      <c r="G21" s="22">
        <f>income!E13</f>
        <v>2770</v>
      </c>
      <c r="H21" s="22">
        <f>income!F13</f>
        <v>2671</v>
      </c>
      <c r="I21" s="22">
        <f>income!G13</f>
        <v>3906</v>
      </c>
      <c r="J21" s="22">
        <f>J$13*$B$21</f>
        <v>6950.578001447705</v>
      </c>
      <c r="K21" s="22">
        <f t="shared" ref="K21:M21" si="15">K$13*$B$21</f>
        <v>6950.578001447705</v>
      </c>
      <c r="L21" s="22">
        <f t="shared" si="15"/>
        <v>6950.578001447705</v>
      </c>
      <c r="M21" s="22">
        <f t="shared" si="15"/>
        <v>6950.578001447705</v>
      </c>
      <c r="N21" s="93"/>
      <c r="P21" s="177"/>
      <c r="Q21" s="175"/>
      <c r="R21" s="175"/>
      <c r="S21" s="175"/>
      <c r="T21" s="175"/>
      <c r="U21" s="175"/>
      <c r="V21" s="175"/>
      <c r="W21" s="175"/>
      <c r="X21" s="175"/>
      <c r="Y21" s="175"/>
      <c r="Z21" s="175"/>
      <c r="AA21" s="175"/>
    </row>
    <row r="22" spans="1:27" ht="16" thickTop="1" x14ac:dyDescent="0.2">
      <c r="A22" s="86" t="s">
        <v>128</v>
      </c>
      <c r="B22" s="137">
        <f>rate!B20</f>
        <v>0.79426827495705865</v>
      </c>
      <c r="C22" s="117"/>
      <c r="D22" s="53">
        <f>income!B14</f>
        <v>5400.875</v>
      </c>
      <c r="E22" s="53">
        <f>income!C14</f>
        <v>9536.2639999999992</v>
      </c>
      <c r="F22" s="53">
        <f>income!D14</f>
        <v>17419.246999999999</v>
      </c>
      <c r="G22" s="53">
        <f>income!E14</f>
        <v>20509</v>
      </c>
      <c r="H22" s="53">
        <f>income!F14</f>
        <v>24906</v>
      </c>
      <c r="I22" s="53">
        <f>income!G14</f>
        <v>40217</v>
      </c>
      <c r="J22" s="53">
        <f>SUM(J19:J21)</f>
        <v>198123.69903356369</v>
      </c>
      <c r="K22" s="53">
        <f t="shared" ref="K22:M22" si="16">SUM(K19:K21)</f>
        <v>303658.11386624491</v>
      </c>
      <c r="L22" s="53">
        <f t="shared" si="16"/>
        <v>467649.86760091671</v>
      </c>
      <c r="M22" s="53">
        <f t="shared" si="16"/>
        <v>722552.07432604278</v>
      </c>
      <c r="N22" s="138"/>
      <c r="P22" s="158" t="s">
        <v>216</v>
      </c>
      <c r="Z22" s="175"/>
      <c r="AA22" s="175"/>
    </row>
    <row r="23" spans="1:27" x14ac:dyDescent="0.2">
      <c r="A23" s="87" t="s">
        <v>230</v>
      </c>
      <c r="B23" s="80"/>
      <c r="C23" s="80"/>
      <c r="D23" s="183">
        <f>D14-D22</f>
        <v>1599.2570000000005</v>
      </c>
      <c r="E23" s="183">
        <f t="shared" ref="E23:I23" si="17">E14-E22</f>
        <v>2222.487000000001</v>
      </c>
      <c r="F23" s="183">
        <f t="shared" si="17"/>
        <v>4042.0210000000006</v>
      </c>
      <c r="G23" s="183">
        <f t="shared" si="17"/>
        <v>4069</v>
      </c>
      <c r="H23" s="183">
        <f t="shared" si="17"/>
        <v>6630</v>
      </c>
      <c r="I23" s="183">
        <f t="shared" si="17"/>
        <v>13606</v>
      </c>
      <c r="J23" s="183">
        <f>J14-J22</f>
        <v>-112351.44351637266</v>
      </c>
      <c r="K23" s="183">
        <f>K14-K22</f>
        <v>-176785.57998050499</v>
      </c>
      <c r="L23" s="183">
        <f>L14-L22</f>
        <v>-276562.15187653649</v>
      </c>
      <c r="M23" s="183">
        <f>M14-M22</f>
        <v>-431015.87263692485</v>
      </c>
      <c r="N23" s="94"/>
      <c r="P23" s="177" t="s">
        <v>217</v>
      </c>
      <c r="Q23" s="181">
        <f>D14/D54</f>
        <v>3.0886465435431828E-2</v>
      </c>
      <c r="R23" s="181">
        <f t="shared" ref="R23:Z23" si="18">E14/E54</f>
        <v>4.1035066653470773E-2</v>
      </c>
      <c r="S23" s="181">
        <f t="shared" si="18"/>
        <v>7.2163909054098682E-2</v>
      </c>
      <c r="T23" s="181">
        <f t="shared" si="18"/>
        <v>0.71637179748753976</v>
      </c>
      <c r="U23" s="181">
        <f t="shared" si="18"/>
        <v>0.60474035437600671</v>
      </c>
      <c r="V23" s="181">
        <f t="shared" si="18"/>
        <v>0.86628253206933736</v>
      </c>
      <c r="W23" s="181">
        <f t="shared" si="18"/>
        <v>0.35068760398034826</v>
      </c>
      <c r="X23" s="181">
        <f t="shared" si="18"/>
        <v>0.38489220466046636</v>
      </c>
      <c r="Y23" s="181">
        <f t="shared" si="18"/>
        <v>0.35863067723781439</v>
      </c>
      <c r="Z23" s="181">
        <f t="shared" si="18"/>
        <v>0.3738575797454205</v>
      </c>
      <c r="AA23" s="175"/>
    </row>
    <row r="24" spans="1:27" x14ac:dyDescent="0.2">
      <c r="A24" s="87"/>
      <c r="B24" s="80"/>
      <c r="C24" s="80"/>
      <c r="D24" s="2"/>
      <c r="E24" s="2"/>
      <c r="F24" s="2"/>
      <c r="G24" s="2"/>
      <c r="H24" s="2"/>
      <c r="I24" s="2"/>
      <c r="N24" s="94"/>
      <c r="P24" s="177"/>
      <c r="Q24" s="181"/>
      <c r="R24" s="181"/>
      <c r="S24" s="181"/>
      <c r="T24" s="181"/>
      <c r="U24" s="181"/>
      <c r="V24" s="181"/>
      <c r="W24" s="181"/>
      <c r="X24" s="181"/>
      <c r="Y24" s="181"/>
      <c r="Z24" s="181"/>
      <c r="AA24" s="175"/>
    </row>
    <row r="25" spans="1:27" x14ac:dyDescent="0.2">
      <c r="A25" s="87" t="s">
        <v>157</v>
      </c>
      <c r="B25" s="84"/>
      <c r="C25" s="84"/>
      <c r="D25" s="24"/>
      <c r="E25" s="24"/>
      <c r="F25" s="24"/>
      <c r="G25" s="24"/>
      <c r="H25" s="24"/>
      <c r="I25" s="24"/>
      <c r="J25" s="2"/>
      <c r="K25" s="2"/>
      <c r="L25" s="2"/>
      <c r="M25" s="2"/>
      <c r="N25" s="94"/>
      <c r="P25" s="178" t="s">
        <v>218</v>
      </c>
      <c r="Q25" s="181">
        <f>D19/D49</f>
        <v>0.22975509975070788</v>
      </c>
      <c r="R25" s="181">
        <f t="shared" ref="R25:Z25" si="19">E19/E49</f>
        <v>0.32836679939404567</v>
      </c>
      <c r="S25" s="181">
        <f t="shared" si="19"/>
        <v>0.45525109476766257</v>
      </c>
      <c r="T25" s="181">
        <f t="shared" si="19"/>
        <v>4.6165540540540544</v>
      </c>
      <c r="U25" s="181">
        <f t="shared" si="19"/>
        <v>4.9400146305779078</v>
      </c>
      <c r="V25" s="181">
        <f t="shared" si="19"/>
        <v>5.800416883793643</v>
      </c>
      <c r="W25" s="181">
        <f t="shared" si="19"/>
        <v>4.5852986522626784</v>
      </c>
      <c r="X25" s="181">
        <f t="shared" si="19"/>
        <v>9.3013026541851183</v>
      </c>
      <c r="Y25" s="181">
        <f t="shared" si="19"/>
        <v>5.6067438463337931</v>
      </c>
      <c r="Z25" s="181">
        <f t="shared" si="19"/>
        <v>7.5556924024930625</v>
      </c>
      <c r="AA25" s="175"/>
    </row>
    <row r="26" spans="1:27" x14ac:dyDescent="0.2">
      <c r="A26" s="87" t="s">
        <v>127</v>
      </c>
      <c r="B26" s="78">
        <f>rate!B23</f>
        <v>7.5756547496860907E-2</v>
      </c>
      <c r="C26" s="78"/>
      <c r="D26" s="24">
        <f>income!B16</f>
        <v>834.40800000000002</v>
      </c>
      <c r="E26" s="24">
        <f>income!C16</f>
        <v>1378.0729999999999</v>
      </c>
      <c r="F26" s="24">
        <f>income!D16</f>
        <v>1460.3700000000001</v>
      </c>
      <c r="G26" s="24">
        <f>income!E16</f>
        <v>1343</v>
      </c>
      <c r="H26" s="24">
        <f>income!F16</f>
        <v>1491</v>
      </c>
      <c r="I26" s="24">
        <f>income!G16</f>
        <v>2593</v>
      </c>
      <c r="J26" s="91">
        <f>J$14*$B26</f>
        <v>6497.8099490009727</v>
      </c>
      <c r="K26" s="91">
        <f t="shared" ref="K26:M28" si="20">K$14*$B26</f>
        <v>9611.4251393621507</v>
      </c>
      <c r="L26" s="91">
        <f t="shared" si="20"/>
        <v>14476.145612340664</v>
      </c>
      <c r="M26" s="91">
        <f>M$14*$B26</f>
        <v>22085.776110316085</v>
      </c>
      <c r="N26" s="95"/>
      <c r="P26" s="178" t="s">
        <v>219</v>
      </c>
      <c r="Q26" s="181"/>
      <c r="R26" s="181"/>
      <c r="S26" s="181"/>
      <c r="T26" s="181"/>
      <c r="U26" s="181"/>
      <c r="V26" s="181"/>
      <c r="W26" s="181"/>
      <c r="X26" s="181"/>
      <c r="Y26" s="181"/>
      <c r="Z26" s="181"/>
      <c r="AA26" s="175"/>
    </row>
    <row r="27" spans="1:27" x14ac:dyDescent="0.2">
      <c r="A27" s="87" t="s">
        <v>126</v>
      </c>
      <c r="B27" s="75">
        <f>rate!B24</f>
        <v>0.13976436255371652</v>
      </c>
      <c r="C27" s="80"/>
      <c r="D27" s="24">
        <f>income!B17</f>
        <v>1432.1889999999999</v>
      </c>
      <c r="E27" s="24">
        <f>income!C17</f>
        <v>2476.5</v>
      </c>
      <c r="F27" s="24">
        <f>income!D17</f>
        <v>2834.491</v>
      </c>
      <c r="G27" s="24">
        <f>income!E17</f>
        <v>2646</v>
      </c>
      <c r="H27" s="24">
        <f>income!F17</f>
        <v>3145</v>
      </c>
      <c r="I27" s="24">
        <f>income!G17</f>
        <v>4517</v>
      </c>
      <c r="J27" s="91">
        <f>J$14*$B27</f>
        <v>11987.9046171547</v>
      </c>
      <c r="K27" s="91">
        <f t="shared" si="20"/>
        <v>17732.258824115237</v>
      </c>
      <c r="L27" s="91">
        <f>L$14*$B27</f>
        <v>26707.252780063794</v>
      </c>
      <c r="M27" s="91">
        <f t="shared" si="20"/>
        <v>40746.371390411303</v>
      </c>
      <c r="N27" s="95"/>
      <c r="P27" s="178" t="s">
        <v>220</v>
      </c>
      <c r="Q27" s="3">
        <f>365/Q25</f>
        <v>1588.6480883168097</v>
      </c>
      <c r="R27" s="3">
        <f t="shared" ref="R27:Y27" si="21">365/R25</f>
        <v>1111.561828642712</v>
      </c>
      <c r="S27" s="3">
        <f t="shared" si="21"/>
        <v>801.75534819148049</v>
      </c>
      <c r="T27" s="3">
        <f t="shared" si="21"/>
        <v>79.063300402488096</v>
      </c>
      <c r="U27" s="3">
        <f t="shared" si="21"/>
        <v>73.886420849992589</v>
      </c>
      <c r="V27" s="3">
        <f t="shared" si="21"/>
        <v>62.926511544335632</v>
      </c>
      <c r="W27" s="3">
        <f t="shared" si="21"/>
        <v>79.602230450111634</v>
      </c>
      <c r="X27" s="3">
        <f t="shared" si="21"/>
        <v>39.241815213460271</v>
      </c>
      <c r="Y27" s="3">
        <f t="shared" si="21"/>
        <v>65.100174005393654</v>
      </c>
      <c r="Z27" s="3">
        <f t="shared" ref="Z27" si="22">365/Z25</f>
        <v>48.307948571273926</v>
      </c>
      <c r="AA27" s="175"/>
    </row>
    <row r="28" spans="1:27" ht="16" thickBot="1" x14ac:dyDescent="0.25">
      <c r="A28" s="88" t="s">
        <v>125</v>
      </c>
      <c r="B28" s="76">
        <f>rate!B25</f>
        <v>2.9654866273473839E-3</v>
      </c>
      <c r="C28" s="79"/>
      <c r="D28" s="22"/>
      <c r="E28" s="22"/>
      <c r="F28" s="22">
        <f>income!D18</f>
        <v>135.233</v>
      </c>
      <c r="G28" s="22">
        <f>income!E18</f>
        <v>149</v>
      </c>
      <c r="H28" s="22"/>
      <c r="I28" s="184">
        <f>income!G18</f>
        <v>-27</v>
      </c>
      <c r="J28" s="41">
        <f>J$14*$B28</f>
        <v>254.3564767336529</v>
      </c>
      <c r="K28" s="41">
        <f t="shared" si="20"/>
        <v>376.23880261583957</v>
      </c>
      <c r="L28" s="41">
        <f t="shared" si="20"/>
        <v>566.66806563100795</v>
      </c>
      <c r="M28" s="41">
        <f t="shared" si="20"/>
        <v>864.54670749672903</v>
      </c>
      <c r="N28" s="96"/>
      <c r="P28" s="177"/>
      <c r="Q28" s="181"/>
      <c r="R28" s="181"/>
      <c r="S28" s="181"/>
      <c r="T28" s="181"/>
      <c r="U28" s="181"/>
      <c r="V28" s="181"/>
      <c r="W28" s="181"/>
      <c r="X28" s="181"/>
      <c r="Y28" s="181"/>
      <c r="Z28" s="181"/>
      <c r="AA28" s="175"/>
    </row>
    <row r="29" spans="1:27" ht="17" thickTop="1" thickBot="1" x14ac:dyDescent="0.25">
      <c r="A29" s="140" t="s">
        <v>124</v>
      </c>
      <c r="B29" s="141">
        <f>rate!B26</f>
        <v>0.21749790113547571</v>
      </c>
      <c r="C29" s="142"/>
      <c r="D29" s="143">
        <f>income!B19</f>
        <v>2266.5970000000002</v>
      </c>
      <c r="E29" s="143">
        <f>income!C19</f>
        <v>3854.5730000000003</v>
      </c>
      <c r="F29" s="143">
        <f>income!D19</f>
        <v>4430.0940000000001</v>
      </c>
      <c r="G29" s="143">
        <f>income!E19</f>
        <v>4138</v>
      </c>
      <c r="H29" s="143">
        <f>income!F19</f>
        <v>4636</v>
      </c>
      <c r="I29" s="143">
        <f>income!G19</f>
        <v>7083</v>
      </c>
      <c r="J29" s="144">
        <f>SUM(J26:J28)</f>
        <v>18740.071042889325</v>
      </c>
      <c r="K29" s="144">
        <f>SUM(K26:K28)</f>
        <v>27719.922766093227</v>
      </c>
      <c r="L29" s="144">
        <f>SUM(L26:L28)</f>
        <v>41750.066458035464</v>
      </c>
      <c r="M29" s="144">
        <f>SUM(M26:M28)</f>
        <v>63696.694208224115</v>
      </c>
      <c r="N29" s="145"/>
      <c r="P29" s="177"/>
      <c r="Q29" s="181"/>
      <c r="R29" s="181"/>
      <c r="S29" s="181"/>
      <c r="T29" s="181"/>
      <c r="U29" s="181"/>
      <c r="V29" s="181"/>
      <c r="W29" s="181"/>
      <c r="X29" s="181"/>
      <c r="Y29" s="181"/>
      <c r="Z29" s="181"/>
      <c r="AA29" s="175"/>
    </row>
    <row r="30" spans="1:27" ht="16" thickTop="1" x14ac:dyDescent="0.2">
      <c r="A30" s="86" t="s">
        <v>201</v>
      </c>
      <c r="B30" s="109">
        <f>rate!B29</f>
        <v>9.2211433505013374E-2</v>
      </c>
      <c r="C30" s="109"/>
      <c r="D30" s="110">
        <f>income!B20</f>
        <v>-667.34</v>
      </c>
      <c r="E30" s="110">
        <f>income!C20</f>
        <v>-1632.086</v>
      </c>
      <c r="F30" s="110">
        <f>income!D20</f>
        <v>-388.07299999999998</v>
      </c>
      <c r="G30" s="110">
        <f>income!E20</f>
        <v>-69</v>
      </c>
      <c r="H30" s="110">
        <f>income!F20</f>
        <v>1994</v>
      </c>
      <c r="I30" s="110">
        <f>income!G20</f>
        <v>6523</v>
      </c>
      <c r="J30" s="111">
        <f>J$14*$B30</f>
        <v>7909.1826361984777</v>
      </c>
      <c r="K30" s="111">
        <f t="shared" ref="K30:M30" si="23">K$14*$B30</f>
        <v>11699.098222017463</v>
      </c>
      <c r="L30" s="111">
        <f t="shared" si="23"/>
        <v>17620.472192143585</v>
      </c>
      <c r="M30" s="111">
        <f t="shared" si="23"/>
        <v>26882.971076360267</v>
      </c>
      <c r="N30" s="112"/>
      <c r="P30" s="158" t="s">
        <v>221</v>
      </c>
      <c r="Q30" s="181"/>
      <c r="R30" s="181"/>
      <c r="S30" s="181"/>
      <c r="T30" s="181"/>
      <c r="U30" s="181"/>
      <c r="V30" s="181"/>
      <c r="W30" s="181"/>
      <c r="X30" s="181"/>
      <c r="Y30" s="181"/>
      <c r="Z30" s="181"/>
      <c r="AA30" s="175"/>
    </row>
    <row r="31" spans="1:27" x14ac:dyDescent="0.2">
      <c r="A31" s="131"/>
      <c r="B31" s="132"/>
      <c r="C31" s="132"/>
      <c r="D31" s="133"/>
      <c r="E31" s="133"/>
      <c r="F31" s="133"/>
      <c r="G31" s="133"/>
      <c r="H31" s="133"/>
      <c r="I31" s="133"/>
      <c r="J31" s="134"/>
      <c r="K31" s="134"/>
      <c r="L31" s="134"/>
      <c r="M31" s="134"/>
      <c r="N31" s="112"/>
      <c r="P31" s="178" t="s">
        <v>222</v>
      </c>
      <c r="Q31" s="181">
        <f>D23/D14</f>
        <v>0.22846097759299402</v>
      </c>
      <c r="R31" s="181">
        <f t="shared" ref="R31:Z31" si="24">E23/E14</f>
        <v>0.18900706376042839</v>
      </c>
      <c r="S31" s="181">
        <f t="shared" si="24"/>
        <v>0.18834026954977687</v>
      </c>
      <c r="T31" s="181">
        <f t="shared" si="24"/>
        <v>0.1655545609895028</v>
      </c>
      <c r="U31" s="181">
        <f t="shared" si="24"/>
        <v>0.2102359208523592</v>
      </c>
      <c r="V31" s="181">
        <f t="shared" si="24"/>
        <v>0.25279155751258753</v>
      </c>
      <c r="W31" s="181">
        <f t="shared" si="24"/>
        <v>-1.3098809497186936</v>
      </c>
      <c r="X31" s="181">
        <f t="shared" si="24"/>
        <v>-1.3934109658416394</v>
      </c>
      <c r="Y31" s="181">
        <f t="shared" si="24"/>
        <v>-1.4473047146339972</v>
      </c>
      <c r="Z31" s="181">
        <f t="shared" si="24"/>
        <v>-1.4784300204903618</v>
      </c>
      <c r="AA31" s="175"/>
    </row>
    <row r="32" spans="1:27" x14ac:dyDescent="0.2">
      <c r="A32" s="87" t="s">
        <v>175</v>
      </c>
      <c r="B32" s="80"/>
      <c r="C32" s="80"/>
      <c r="D32" s="43"/>
      <c r="E32" s="43"/>
      <c r="F32" s="43"/>
      <c r="G32" s="43"/>
      <c r="H32" s="43"/>
      <c r="I32" s="43"/>
      <c r="J32" s="43"/>
      <c r="K32" s="43"/>
      <c r="L32" s="43"/>
      <c r="M32" s="43"/>
      <c r="N32" s="97"/>
      <c r="P32" s="178" t="s">
        <v>223</v>
      </c>
      <c r="Q32" s="188">
        <f>D30/D14</f>
        <v>-9.533248801594027E-2</v>
      </c>
      <c r="R32" s="188">
        <f t="shared" ref="R32:Z32" si="25">E30/E14</f>
        <v>-0.13879756446921956</v>
      </c>
      <c r="S32" s="188">
        <f t="shared" si="25"/>
        <v>-1.8082482358451512E-2</v>
      </c>
      <c r="T32" s="188">
        <f t="shared" si="25"/>
        <v>-2.8073887216209618E-3</v>
      </c>
      <c r="U32" s="188">
        <f t="shared" si="25"/>
        <v>6.3229325215626589E-2</v>
      </c>
      <c r="V32" s="188">
        <f t="shared" si="25"/>
        <v>0.12119354179440016</v>
      </c>
      <c r="W32" s="188">
        <f t="shared" si="25"/>
        <v>9.2211433505013374E-2</v>
      </c>
      <c r="X32" s="188">
        <f t="shared" si="25"/>
        <v>9.2211433505013374E-2</v>
      </c>
      <c r="Y32" s="188">
        <f t="shared" si="25"/>
        <v>9.2211433505013374E-2</v>
      </c>
      <c r="Z32" s="188">
        <f t="shared" si="25"/>
        <v>9.2211433505013374E-2</v>
      </c>
    </row>
    <row r="33" spans="1:27" x14ac:dyDescent="0.2">
      <c r="A33" s="150" t="s">
        <v>123</v>
      </c>
      <c r="B33" s="80"/>
      <c r="C33" s="80"/>
      <c r="D33" s="68">
        <v>85.3</v>
      </c>
      <c r="E33" s="68">
        <v>196.86</v>
      </c>
      <c r="F33" s="68">
        <v>245.33</v>
      </c>
      <c r="G33" s="68">
        <v>44</v>
      </c>
      <c r="H33" s="68">
        <v>30</v>
      </c>
      <c r="I33" s="68">
        <v>56</v>
      </c>
      <c r="J33" s="43"/>
      <c r="K33" s="43"/>
      <c r="L33" s="43"/>
      <c r="M33" s="43"/>
      <c r="N33" s="97"/>
      <c r="P33" s="178" t="s">
        <v>224</v>
      </c>
      <c r="Q33" s="187">
        <f>D39/D54</f>
        <v>-3.4108869031325168E-3</v>
      </c>
      <c r="R33" s="187">
        <f t="shared" ref="R33:Z33" si="26">E39/E54</f>
        <v>-7.8190504733283532E-3</v>
      </c>
      <c r="S33" s="187">
        <f t="shared" si="26"/>
        <v>-3.5729515520947922E-3</v>
      </c>
      <c r="T33" s="187">
        <f t="shared" si="26"/>
        <v>-2.2588825089626629E-2</v>
      </c>
      <c r="U33" s="187">
        <f t="shared" si="26"/>
        <v>1.6529876505330981E-2</v>
      </c>
      <c r="V33" s="187">
        <f t="shared" si="26"/>
        <v>9.0840321256699552E-2</v>
      </c>
      <c r="W33" s="187">
        <f t="shared" si="26"/>
        <v>-3.6607588260072155E-2</v>
      </c>
      <c r="X33" s="187">
        <f t="shared" si="26"/>
        <v>-4.0178139155187663E-2</v>
      </c>
      <c r="Y33" s="187">
        <f t="shared" si="26"/>
        <v>-3.7436750032625719E-2</v>
      </c>
      <c r="Z33" s="187">
        <f t="shared" si="26"/>
        <v>-3.9026256394264727E-2</v>
      </c>
    </row>
    <row r="34" spans="1:27" x14ac:dyDescent="0.2">
      <c r="A34" s="150" t="s">
        <v>122</v>
      </c>
      <c r="B34" s="75">
        <f>rate!B34</f>
        <v>-4.9983673912385257E-2</v>
      </c>
      <c r="C34" s="80"/>
      <c r="D34" s="68">
        <v>-1988.1</v>
      </c>
      <c r="E34" s="68">
        <v>-4712.59</v>
      </c>
      <c r="F34" s="68">
        <v>-6630.71</v>
      </c>
      <c r="G34" s="68">
        <v>-685</v>
      </c>
      <c r="H34" s="68">
        <v>-748</v>
      </c>
      <c r="I34" s="68">
        <v>-371</v>
      </c>
      <c r="J34" s="135">
        <f>J65*$B$34</f>
        <v>-17924.881786268736</v>
      </c>
      <c r="K34" s="135">
        <f>K65*$B$34</f>
        <v>-26514.111796564066</v>
      </c>
      <c r="L34" s="135">
        <f>L65*$B$34</f>
        <v>-39933.947108119763</v>
      </c>
      <c r="M34" s="135">
        <f>M65*$B$34</f>
        <v>-60925.90104090079</v>
      </c>
      <c r="N34" s="97"/>
      <c r="O34" s="43"/>
      <c r="P34" s="178" t="s">
        <v>225</v>
      </c>
      <c r="Q34" s="187">
        <f t="shared" ref="Q34:Z34" si="27">D39/D71</f>
        <v>-1.6264684947814089E-2</v>
      </c>
      <c r="R34" s="187">
        <f t="shared" si="27"/>
        <v>-5.2878216538021668E-2</v>
      </c>
      <c r="S34" s="187">
        <f t="shared" si="27"/>
        <v>-2.1582968787037325E-2</v>
      </c>
      <c r="T34" s="187">
        <f t="shared" si="27"/>
        <v>-0.11710486551828347</v>
      </c>
      <c r="U34" s="187">
        <f t="shared" si="27"/>
        <v>3.8785151856017996E-2</v>
      </c>
      <c r="V34" s="187">
        <f t="shared" si="27"/>
        <v>0.18695551359766802</v>
      </c>
      <c r="W34" s="187">
        <f t="shared" si="27"/>
        <v>-4.6022741113623672E-2</v>
      </c>
      <c r="X34" s="187">
        <f t="shared" si="27"/>
        <v>-5.6499565652666235E-2</v>
      </c>
      <c r="Y34" s="187">
        <f t="shared" si="27"/>
        <v>-4.8558325638401505E-2</v>
      </c>
      <c r="Z34" s="187">
        <f t="shared" si="27"/>
        <v>-5.3203758548064188E-2</v>
      </c>
    </row>
    <row r="35" spans="1:27" ht="16" thickBot="1" x14ac:dyDescent="0.25">
      <c r="A35" s="151" t="s">
        <v>121</v>
      </c>
      <c r="B35" s="81"/>
      <c r="C35" s="81"/>
      <c r="D35" s="69">
        <v>1112.72</v>
      </c>
      <c r="E35" s="69">
        <v>-1253.73</v>
      </c>
      <c r="F35" s="69">
        <v>218.66</v>
      </c>
      <c r="G35" s="69">
        <v>45</v>
      </c>
      <c r="H35" s="69">
        <v>-122</v>
      </c>
      <c r="I35" s="69">
        <v>135</v>
      </c>
      <c r="J35" s="47"/>
      <c r="K35" s="47"/>
      <c r="L35" s="47"/>
      <c r="M35" s="47"/>
      <c r="N35" s="98"/>
      <c r="O35" s="43"/>
      <c r="P35" s="171"/>
      <c r="Q35" s="181"/>
      <c r="R35" s="181"/>
      <c r="S35" s="181"/>
      <c r="T35" s="181"/>
      <c r="U35" s="181"/>
      <c r="V35" s="181"/>
      <c r="W35" s="181"/>
      <c r="X35" s="181"/>
      <c r="Y35" s="181"/>
      <c r="Z35" s="181"/>
      <c r="AA35" s="175"/>
    </row>
    <row r="36" spans="1:27" ht="17" thickTop="1" thickBot="1" x14ac:dyDescent="0.25">
      <c r="A36" s="152" t="s">
        <v>198</v>
      </c>
      <c r="B36" s="146"/>
      <c r="C36" s="146"/>
      <c r="D36" s="147">
        <v>-790.07999999999993</v>
      </c>
      <c r="E36" s="147">
        <v>-5769.4600000000009</v>
      </c>
      <c r="F36" s="147">
        <v>-6166.72</v>
      </c>
      <c r="G36" s="147">
        <v>-596</v>
      </c>
      <c r="H36" s="147">
        <v>-840</v>
      </c>
      <c r="I36" s="147">
        <v>-180</v>
      </c>
      <c r="J36" s="148">
        <f>SUM(J33:J35)</f>
        <v>-17924.881786268736</v>
      </c>
      <c r="K36" s="148">
        <f>SUM(K33:K35)</f>
        <v>-26514.111796564066</v>
      </c>
      <c r="L36" s="148">
        <f>SUM(L33:L35)</f>
        <v>-39933.947108119763</v>
      </c>
      <c r="M36" s="148">
        <f>SUM(M33:M35)</f>
        <v>-60925.90104090079</v>
      </c>
      <c r="N36" s="149"/>
      <c r="O36" s="43"/>
      <c r="P36" s="171"/>
      <c r="Q36" s="181"/>
      <c r="R36" s="181"/>
      <c r="S36" s="181"/>
      <c r="T36" s="181"/>
      <c r="U36" s="181"/>
      <c r="V36" s="181"/>
      <c r="W36" s="181"/>
      <c r="X36" s="181"/>
      <c r="Y36" s="181"/>
      <c r="Z36" s="181"/>
      <c r="AA36" s="175"/>
    </row>
    <row r="37" spans="1:27" ht="16" thickTop="1" x14ac:dyDescent="0.2">
      <c r="A37" s="86" t="s">
        <v>202</v>
      </c>
      <c r="B37" s="109"/>
      <c r="C37" s="109"/>
      <c r="D37" s="71">
        <f>rate!C37</f>
        <v>-746.34799999999996</v>
      </c>
      <c r="E37" s="71">
        <f>rate!D37</f>
        <v>-2209.0320000000002</v>
      </c>
      <c r="F37" s="71">
        <f>rate!E37</f>
        <v>-1004.7450000000001</v>
      </c>
      <c r="G37" s="71">
        <f>rate!F37</f>
        <v>-665</v>
      </c>
      <c r="H37" s="71">
        <f>rate!G37</f>
        <v>1154</v>
      </c>
      <c r="I37" s="71">
        <f>rate!H37</f>
        <v>6343</v>
      </c>
      <c r="J37" s="136">
        <f>J30+J36</f>
        <v>-10015.699150070257</v>
      </c>
      <c r="K37" s="136">
        <f>K30+K36</f>
        <v>-14815.013574546603</v>
      </c>
      <c r="L37" s="136">
        <f>L30+L36</f>
        <v>-22313.474915976178</v>
      </c>
      <c r="M37" s="136">
        <f>M30+M36</f>
        <v>-34042.929964540526</v>
      </c>
      <c r="N37" s="154"/>
      <c r="O37" s="43"/>
      <c r="P37" s="178" t="s">
        <v>231</v>
      </c>
      <c r="Q37" s="157" cm="1">
        <f t="array" ref="Q37">_FV(P6,"Shares outstanding",TRUE)/1000000</f>
        <v>1033.508</v>
      </c>
      <c r="AA37" s="175"/>
    </row>
    <row r="38" spans="1:27" ht="16" thickBot="1" x14ac:dyDescent="0.25">
      <c r="A38" s="100" t="s">
        <v>179</v>
      </c>
      <c r="B38" s="82">
        <f>rate!B37</f>
        <v>-0.10604375381151541</v>
      </c>
      <c r="C38" s="79"/>
      <c r="D38" s="126">
        <f t="shared" ref="D38:I38" si="28">D39-D37</f>
        <v>-26.698000000000093</v>
      </c>
      <c r="E38" s="126">
        <f t="shared" si="28"/>
        <v>-31.545999999999822</v>
      </c>
      <c r="F38" s="126">
        <f t="shared" si="28"/>
        <v>-57.836999999999989</v>
      </c>
      <c r="G38" s="126">
        <f t="shared" si="28"/>
        <v>-110</v>
      </c>
      <c r="H38" s="126">
        <f t="shared" si="28"/>
        <v>-292</v>
      </c>
      <c r="I38" s="126">
        <f t="shared" si="28"/>
        <v>-699</v>
      </c>
      <c r="J38" s="65">
        <f>J37*$B$38</f>
        <v>1062.1023349202544</v>
      </c>
      <c r="K38" s="65">
        <f>K37*$B$38</f>
        <v>1571.039652213479</v>
      </c>
      <c r="L38" s="65">
        <f>L37*$B$38</f>
        <v>2366.2046406692025</v>
      </c>
      <c r="M38" s="65">
        <f>M37*$B$38</f>
        <v>3610.0400841823966</v>
      </c>
      <c r="N38" s="99"/>
      <c r="O38" s="43"/>
      <c r="P38" s="178" t="s">
        <v>233</v>
      </c>
      <c r="Q38" s="189" cm="1">
        <f t="array" ref="Q38">_FV(P6,"Price")</f>
        <v>923.39</v>
      </c>
      <c r="AA38" s="175"/>
    </row>
    <row r="39" spans="1:27" ht="16" thickTop="1" x14ac:dyDescent="0.2">
      <c r="A39" s="101" t="s">
        <v>99</v>
      </c>
      <c r="B39" s="102"/>
      <c r="C39" s="103"/>
      <c r="D39" s="104">
        <f>income!B28</f>
        <v>-773.04600000000005</v>
      </c>
      <c r="E39" s="104">
        <f>income!C28</f>
        <v>-2240.578</v>
      </c>
      <c r="F39" s="104">
        <f>income!D28</f>
        <v>-1062.5820000000001</v>
      </c>
      <c r="G39" s="104">
        <f>income!E28</f>
        <v>-775</v>
      </c>
      <c r="H39" s="104">
        <f>income!F28</f>
        <v>862</v>
      </c>
      <c r="I39" s="104">
        <f>income!G28</f>
        <v>5644</v>
      </c>
      <c r="J39" s="105">
        <f>J37+J38</f>
        <v>-8953.5968151500019</v>
      </c>
      <c r="K39" s="105">
        <f>K37+K38</f>
        <v>-13243.973922333123</v>
      </c>
      <c r="L39" s="105">
        <f>L37+L38</f>
        <v>-19947.270275306975</v>
      </c>
      <c r="M39" s="105">
        <f>M37+M38</f>
        <v>-30432.889880358129</v>
      </c>
      <c r="N39" s="153"/>
      <c r="O39" s="43"/>
      <c r="AA39" s="175"/>
    </row>
    <row r="40" spans="1:27" x14ac:dyDescent="0.2">
      <c r="A40" s="2"/>
      <c r="B40" s="2"/>
      <c r="C40" s="2"/>
      <c r="D40" s="2"/>
      <c r="E40" s="2"/>
      <c r="F40" s="2"/>
      <c r="G40" s="2"/>
      <c r="H40" s="2"/>
      <c r="I40" s="2"/>
      <c r="J40" s="2"/>
      <c r="K40" s="2"/>
      <c r="L40" s="2"/>
      <c r="M40" s="2"/>
      <c r="N40" s="2"/>
      <c r="O40" s="43"/>
      <c r="P40" s="158" t="s">
        <v>226</v>
      </c>
      <c r="Q40" s="181"/>
      <c r="R40" s="181"/>
      <c r="S40" s="181"/>
      <c r="T40" s="181"/>
      <c r="U40" s="181"/>
      <c r="V40" s="181"/>
      <c r="W40" s="181"/>
      <c r="X40" s="181"/>
      <c r="Y40" s="181"/>
      <c r="Z40" s="181"/>
      <c r="AA40" s="175"/>
    </row>
    <row r="41" spans="1:27" x14ac:dyDescent="0.2">
      <c r="A41" s="19"/>
      <c r="B41" s="19"/>
      <c r="C41" s="19"/>
      <c r="D41" s="19"/>
      <c r="E41" s="19"/>
      <c r="F41" s="19"/>
      <c r="G41" s="19"/>
      <c r="H41" s="19"/>
      <c r="I41" s="19"/>
      <c r="J41" s="19"/>
      <c r="K41" s="19"/>
      <c r="L41" s="19"/>
      <c r="M41" s="19"/>
      <c r="N41" s="19"/>
      <c r="O41" s="19"/>
      <c r="P41" s="178" t="s">
        <v>227</v>
      </c>
      <c r="Q41" s="181">
        <f t="shared" ref="Q41:Z41" si="29">D71/$Q$37</f>
        <v>45.988139424174754</v>
      </c>
      <c r="R41" s="181">
        <f t="shared" si="29"/>
        <v>40.998637649635995</v>
      </c>
      <c r="S41" s="181">
        <f t="shared" si="29"/>
        <v>47.636235036400301</v>
      </c>
      <c r="T41" s="181">
        <f t="shared" si="29"/>
        <v>6.4034337421674525</v>
      </c>
      <c r="U41" s="181">
        <f t="shared" si="29"/>
        <v>21.504429573839776</v>
      </c>
      <c r="V41" s="181">
        <f t="shared" si="29"/>
        <v>29.210223820231676</v>
      </c>
      <c r="W41" s="181">
        <f t="shared" si="29"/>
        <v>188.23969462721902</v>
      </c>
      <c r="X41" s="181">
        <f t="shared" si="29"/>
        <v>226.80852022818368</v>
      </c>
      <c r="Y41" s="181">
        <f t="shared" si="29"/>
        <v>397.47143821308572</v>
      </c>
      <c r="Z41" s="181">
        <f t="shared" si="29"/>
        <v>553.46101854486483</v>
      </c>
      <c r="AA41" s="175"/>
    </row>
    <row r="42" spans="1:27" x14ac:dyDescent="0.2">
      <c r="A42" s="85" t="s">
        <v>181</v>
      </c>
      <c r="B42" s="325" t="s">
        <v>136</v>
      </c>
      <c r="C42" s="326"/>
      <c r="D42" s="327" t="s">
        <v>162</v>
      </c>
      <c r="E42" s="328"/>
      <c r="F42" s="328"/>
      <c r="G42" s="328"/>
      <c r="H42" s="328"/>
      <c r="I42" s="329"/>
      <c r="J42" s="330" t="s">
        <v>163</v>
      </c>
      <c r="K42" s="330"/>
      <c r="L42" s="330"/>
      <c r="M42" s="330"/>
      <c r="N42" s="40" t="s">
        <v>161</v>
      </c>
      <c r="O42" s="43"/>
      <c r="P42" s="177" t="s">
        <v>228</v>
      </c>
      <c r="Q42" s="181"/>
      <c r="R42" s="181"/>
      <c r="S42" s="181"/>
      <c r="T42" s="181"/>
      <c r="U42" s="181"/>
      <c r="V42" s="181"/>
      <c r="W42" s="181"/>
      <c r="X42" s="181"/>
      <c r="Y42" s="181"/>
      <c r="Z42" s="181"/>
      <c r="AA42" s="175"/>
    </row>
    <row r="43" spans="1:27" x14ac:dyDescent="0.2">
      <c r="A43" s="87" t="s">
        <v>0</v>
      </c>
      <c r="B43" s="74" t="s">
        <v>160</v>
      </c>
      <c r="C43" s="74" t="s">
        <v>164</v>
      </c>
      <c r="D43" s="32">
        <v>2016</v>
      </c>
      <c r="E43" s="32">
        <v>2017</v>
      </c>
      <c r="F43" s="32">
        <v>2018</v>
      </c>
      <c r="G43" s="32">
        <v>2019</v>
      </c>
      <c r="H43" s="32">
        <v>2020</v>
      </c>
      <c r="I43" s="32">
        <v>2021</v>
      </c>
      <c r="J43" s="32">
        <v>2022</v>
      </c>
      <c r="K43" s="32">
        <v>2023</v>
      </c>
      <c r="L43" s="32">
        <v>2024</v>
      </c>
      <c r="M43" s="32">
        <v>2025</v>
      </c>
      <c r="N43" s="32">
        <v>2026</v>
      </c>
      <c r="O43" s="43"/>
      <c r="P43" s="178" t="s">
        <v>229</v>
      </c>
      <c r="Q43" s="187">
        <f t="shared" ref="Q43:Z43" si="30">D39/$Q$37</f>
        <v>-0.7479825990703507</v>
      </c>
      <c r="R43" s="187">
        <f t="shared" si="30"/>
        <v>-2.1679348394013398</v>
      </c>
      <c r="S43" s="187">
        <f t="shared" si="30"/>
        <v>-1.0281313739226015</v>
      </c>
      <c r="T43" s="187">
        <f t="shared" si="30"/>
        <v>-0.74987324723175819</v>
      </c>
      <c r="U43" s="187">
        <f t="shared" si="30"/>
        <v>0.83405256659842009</v>
      </c>
      <c r="V43" s="187">
        <f t="shared" si="30"/>
        <v>5.4610123966142492</v>
      </c>
      <c r="W43" s="187">
        <f t="shared" si="30"/>
        <v>-8.6633067331360785</v>
      </c>
      <c r="X43" s="187">
        <f t="shared" si="30"/>
        <v>-12.814582879216342</v>
      </c>
      <c r="Y43" s="187">
        <f t="shared" si="30"/>
        <v>-19.300547528714798</v>
      </c>
      <c r="Z43" s="187">
        <f t="shared" si="30"/>
        <v>-29.446206396426664</v>
      </c>
    </row>
    <row r="44" spans="1:27" x14ac:dyDescent="0.2">
      <c r="A44" s="87" t="s">
        <v>1</v>
      </c>
      <c r="B44" s="80"/>
      <c r="C44" s="80"/>
      <c r="D44" s="43"/>
      <c r="E44" s="43"/>
      <c r="F44" s="43"/>
      <c r="G44" s="43"/>
      <c r="H44" s="43"/>
      <c r="I44" s="43"/>
      <c r="J44" s="43"/>
      <c r="K44" s="43"/>
      <c r="L44" s="43"/>
      <c r="M44" s="43"/>
      <c r="N44" s="97"/>
      <c r="O44" s="43"/>
      <c r="P44" s="178" t="s">
        <v>232</v>
      </c>
      <c r="Q44" s="42">
        <f>$Q$38/Q43</f>
        <v>-1234.5073283090528</v>
      </c>
      <c r="R44" s="42">
        <f t="shared" ref="R44:Z44" si="31">$Q$38/R43</f>
        <v>-425.93069829302976</v>
      </c>
      <c r="S44" s="42">
        <f t="shared" si="31"/>
        <v>-898.12452320856175</v>
      </c>
      <c r="T44" s="42">
        <f t="shared" si="31"/>
        <v>-1231.3947769290323</v>
      </c>
      <c r="U44" s="42">
        <f t="shared" si="31"/>
        <v>1107.1124734570767</v>
      </c>
      <c r="V44" s="42">
        <f t="shared" si="31"/>
        <v>169.08769527285614</v>
      </c>
      <c r="W44" s="42">
        <f t="shared" si="31"/>
        <v>-106.58632187962908</v>
      </c>
      <c r="X44" s="42">
        <f t="shared" si="31"/>
        <v>-72.057749261399962</v>
      </c>
      <c r="Y44" s="42">
        <f t="shared" si="31"/>
        <v>-47.842684184280628</v>
      </c>
      <c r="Z44" s="42">
        <f t="shared" si="31"/>
        <v>-31.358538603195235</v>
      </c>
    </row>
    <row r="45" spans="1:27" x14ac:dyDescent="0.2">
      <c r="A45" s="87" t="s">
        <v>182</v>
      </c>
      <c r="B45" s="75">
        <f>rate!B43</f>
        <v>1.7708517714184169</v>
      </c>
      <c r="C45" s="84"/>
      <c r="D45" s="24">
        <v>33932.160000000003</v>
      </c>
      <c r="E45" s="24">
        <v>33679.14</v>
      </c>
      <c r="F45" s="24">
        <v>36856.18</v>
      </c>
      <c r="G45" s="24">
        <v>6268</v>
      </c>
      <c r="H45" s="24">
        <v>19384</v>
      </c>
      <c r="I45" s="24">
        <v>17576</v>
      </c>
      <c r="J45" s="24">
        <f>J14*$B$45</f>
        <v>151889.95062117084</v>
      </c>
      <c r="K45" s="24">
        <f>K14*$B$45</f>
        <v>224672.45137590566</v>
      </c>
      <c r="L45" s="24">
        <f>L14*$B$45</f>
        <v>338388.01988681761</v>
      </c>
      <c r="M45" s="24">
        <f>M14*$B$45</f>
        <v>516267.39919377136</v>
      </c>
      <c r="N45" s="160"/>
      <c r="P45" s="178"/>
      <c r="Q45" s="181"/>
      <c r="R45" s="181"/>
      <c r="S45" s="181"/>
      <c r="T45" s="181"/>
      <c r="U45" s="181"/>
      <c r="V45" s="181"/>
      <c r="W45" s="181"/>
      <c r="X45" s="181"/>
      <c r="Y45" s="181"/>
    </row>
    <row r="46" spans="1:27" x14ac:dyDescent="0.2">
      <c r="A46" s="87" t="s">
        <v>183</v>
      </c>
      <c r="B46" s="115">
        <f>rate!B44</f>
        <v>24.420247074569801</v>
      </c>
      <c r="C46" s="84"/>
      <c r="D46" s="24">
        <v>4991.42</v>
      </c>
      <c r="E46" s="24">
        <v>5153.8100000000004</v>
      </c>
      <c r="F46" s="24">
        <v>9490.2199999999993</v>
      </c>
      <c r="G46" s="24">
        <v>1324</v>
      </c>
      <c r="H46" s="24">
        <v>1886</v>
      </c>
      <c r="I46" s="24">
        <v>1913</v>
      </c>
      <c r="J46" s="24">
        <f>(J14/$B$46*2)-I46</f>
        <v>5111.6836778740526</v>
      </c>
      <c r="K46" s="24">
        <f>(K14/$B$46*2)-J46</f>
        <v>5279.0821074450923</v>
      </c>
      <c r="L46" s="24">
        <f>(L14/$B$46*2)-K46</f>
        <v>10370.859118855667</v>
      </c>
      <c r="M46" s="24">
        <f>(M14/$B$46*2)-L46</f>
        <v>13505.738099745879</v>
      </c>
      <c r="N46" s="89"/>
      <c r="O46" s="43"/>
      <c r="Q46" s="181"/>
      <c r="R46" s="181"/>
      <c r="S46" s="181"/>
      <c r="T46" s="181"/>
      <c r="U46" s="181"/>
      <c r="V46" s="181"/>
      <c r="W46" s="181"/>
      <c r="X46" s="181"/>
      <c r="Y46" s="181"/>
    </row>
    <row r="47" spans="1:27" x14ac:dyDescent="0.2">
      <c r="A47" s="87" t="s">
        <v>199</v>
      </c>
      <c r="B47" s="115"/>
      <c r="C47" s="84"/>
      <c r="D47" s="24"/>
      <c r="E47" s="24">
        <v>1553.23</v>
      </c>
      <c r="F47" s="24">
        <v>1925.51</v>
      </c>
      <c r="G47" s="24"/>
      <c r="H47" s="24"/>
      <c r="I47" s="24">
        <v>131</v>
      </c>
      <c r="J47" s="24"/>
      <c r="K47" s="24"/>
      <c r="L47" s="24"/>
      <c r="M47" s="24"/>
      <c r="N47" s="89"/>
      <c r="O47" s="43"/>
      <c r="Q47" s="181"/>
      <c r="R47" s="181"/>
      <c r="S47" s="181"/>
      <c r="T47" s="181"/>
      <c r="U47" s="181"/>
      <c r="V47" s="181"/>
      <c r="W47" s="181"/>
      <c r="X47" s="181"/>
      <c r="Y47" s="181"/>
    </row>
    <row r="48" spans="1:27" x14ac:dyDescent="0.2">
      <c r="A48" s="87" t="s">
        <v>7</v>
      </c>
      <c r="B48" s="75">
        <f>rate!B46</f>
        <v>2.8557469339334854E-2</v>
      </c>
      <c r="C48" s="84"/>
      <c r="D48" s="24">
        <v>1944.65</v>
      </c>
      <c r="E48" s="24">
        <v>2683.65</v>
      </c>
      <c r="F48" s="24">
        <v>3656.71</v>
      </c>
      <c r="G48" s="24">
        <v>713</v>
      </c>
      <c r="H48" s="24">
        <v>1346</v>
      </c>
      <c r="I48" s="24">
        <v>1723</v>
      </c>
      <c r="J48" s="45">
        <f>J14*$B$48</f>
        <v>2449.4385570977779</v>
      </c>
      <c r="K48" s="45">
        <f>K14*$B$48</f>
        <v>3623.1584964457402</v>
      </c>
      <c r="L48" s="45">
        <f>L14*$B$48</f>
        <v>5456.9815829225226</v>
      </c>
      <c r="M48" s="45">
        <f>M14*$B$48</f>
        <v>8325.5361410431269</v>
      </c>
      <c r="N48" s="161"/>
      <c r="O48" s="43"/>
      <c r="Q48" s="181"/>
      <c r="R48" s="181"/>
      <c r="S48" s="181"/>
      <c r="T48" s="181"/>
      <c r="U48" s="181"/>
      <c r="V48" s="181"/>
      <c r="W48" s="181"/>
      <c r="X48" s="181"/>
      <c r="Y48" s="181"/>
    </row>
    <row r="49" spans="1:27" ht="16" thickBot="1" x14ac:dyDescent="0.25">
      <c r="A49" s="88" t="s">
        <v>6</v>
      </c>
      <c r="B49" s="116">
        <f>rate!B47</f>
        <v>7.9897154921756623</v>
      </c>
      <c r="C49" s="83"/>
      <c r="D49" s="22">
        <v>20674.54</v>
      </c>
      <c r="E49" s="22">
        <v>22635.37</v>
      </c>
      <c r="F49" s="22">
        <v>31134.46</v>
      </c>
      <c r="G49" s="22">
        <v>3552</v>
      </c>
      <c r="H49" s="22">
        <v>4101</v>
      </c>
      <c r="I49" s="22">
        <v>5757</v>
      </c>
      <c r="J49" s="22">
        <f>(J17/$B$49*2)-I49</f>
        <v>41616.355500473932</v>
      </c>
      <c r="K49" s="22">
        <f>(K17/$B$49*2)-J49</f>
        <v>31861.970805534715</v>
      </c>
      <c r="L49" s="22">
        <f>(L17/$B$49*2)-K49</f>
        <v>82106.406137455284</v>
      </c>
      <c r="M49" s="22">
        <f>(M17/$B$49*2)-L49</f>
        <v>94663.964065673645</v>
      </c>
      <c r="N49" s="162"/>
      <c r="O49" s="43"/>
      <c r="Q49" s="181"/>
      <c r="R49" s="181"/>
      <c r="S49" s="181"/>
      <c r="T49" s="181"/>
      <c r="U49" s="181"/>
      <c r="V49" s="181"/>
      <c r="W49" s="181"/>
      <c r="X49" s="181"/>
      <c r="Y49" s="181"/>
    </row>
    <row r="50" spans="1:27" ht="16" thickTop="1" x14ac:dyDescent="0.2">
      <c r="A50" s="86" t="s">
        <v>8</v>
      </c>
      <c r="B50" s="117"/>
      <c r="C50" s="118"/>
      <c r="D50" s="53">
        <v>62597.96</v>
      </c>
      <c r="E50" s="53">
        <v>65705.2</v>
      </c>
      <c r="F50" s="53">
        <v>83063.08</v>
      </c>
      <c r="G50" s="53">
        <v>12103</v>
      </c>
      <c r="H50" s="53">
        <v>26717</v>
      </c>
      <c r="I50" s="53">
        <v>27100</v>
      </c>
      <c r="J50" s="66">
        <f>SUM(J45:J49)</f>
        <v>201067.42835661658</v>
      </c>
      <c r="K50" s="66">
        <f t="shared" ref="K50:M50" si="32">SUM(K45:K49)</f>
        <v>265436.66278533119</v>
      </c>
      <c r="L50" s="66">
        <f t="shared" si="32"/>
        <v>436322.26672605111</v>
      </c>
      <c r="M50" s="66">
        <f t="shared" si="32"/>
        <v>632762.63750023406</v>
      </c>
      <c r="N50" s="161"/>
      <c r="O50" s="43"/>
      <c r="Q50" s="181"/>
      <c r="R50" s="181"/>
      <c r="S50" s="181"/>
      <c r="T50" s="181"/>
      <c r="U50" s="181"/>
      <c r="V50" s="181"/>
      <c r="W50" s="181"/>
      <c r="X50" s="181"/>
      <c r="Y50" s="181"/>
    </row>
    <row r="51" spans="1:27" x14ac:dyDescent="0.2">
      <c r="A51" s="87" t="s">
        <v>180</v>
      </c>
      <c r="B51" s="80"/>
      <c r="C51" s="84"/>
      <c r="D51" s="24"/>
      <c r="E51" s="24"/>
      <c r="F51" s="24"/>
      <c r="G51" s="24"/>
      <c r="H51" s="24"/>
      <c r="I51" s="24"/>
      <c r="J51" s="20"/>
      <c r="K51" s="20"/>
      <c r="L51" s="20"/>
      <c r="M51" s="20"/>
      <c r="N51" s="163"/>
      <c r="O51" s="43"/>
      <c r="Q51" s="181"/>
      <c r="R51" s="181"/>
      <c r="S51" s="181"/>
      <c r="T51" s="181"/>
      <c r="U51" s="181"/>
      <c r="V51" s="181"/>
      <c r="W51" s="181"/>
      <c r="X51" s="181"/>
      <c r="Y51" s="181"/>
    </row>
    <row r="52" spans="1:27" x14ac:dyDescent="0.2">
      <c r="A52" s="87" t="s">
        <v>11</v>
      </c>
      <c r="B52" s="75">
        <f>rate!B50</f>
        <v>1.987534735295944</v>
      </c>
      <c r="C52" s="84"/>
      <c r="D52" s="24">
        <v>59829.57</v>
      </c>
      <c r="E52" s="24">
        <v>100275.22</v>
      </c>
      <c r="F52" s="24">
        <v>113300.77</v>
      </c>
      <c r="G52" s="24">
        <v>10396</v>
      </c>
      <c r="H52" s="24">
        <v>12747</v>
      </c>
      <c r="I52" s="24">
        <v>18884</v>
      </c>
      <c r="J52" s="45">
        <f>J14/$B$52</f>
        <v>43155.097616152874</v>
      </c>
      <c r="K52" s="45">
        <f>K14/$B$52</f>
        <v>63834.121554030899</v>
      </c>
      <c r="L52" s="45">
        <f>L14/$B$52</f>
        <v>96143.082347653792</v>
      </c>
      <c r="M52" s="45">
        <f>M14/$B$52</f>
        <v>146682.31780397447</v>
      </c>
      <c r="N52" s="161"/>
      <c r="O52" s="43"/>
      <c r="Q52" s="181"/>
      <c r="R52" s="181"/>
      <c r="S52" s="181"/>
      <c r="T52" s="181"/>
      <c r="U52" s="181"/>
      <c r="V52" s="181"/>
      <c r="W52" s="181"/>
      <c r="X52" s="181"/>
      <c r="Y52" s="181"/>
    </row>
    <row r="53" spans="1:27" ht="16" thickBot="1" x14ac:dyDescent="0.25">
      <c r="A53" s="88" t="s">
        <v>14</v>
      </c>
      <c r="B53" s="83">
        <f>rate!B51</f>
        <v>360.55750000000006</v>
      </c>
      <c r="C53" s="83"/>
      <c r="D53" s="22">
        <v>3761.45</v>
      </c>
      <c r="E53" s="22">
        <v>4566.5200000000004</v>
      </c>
      <c r="F53" s="22">
        <v>4215.4799999999996</v>
      </c>
      <c r="G53" s="22">
        <v>339</v>
      </c>
      <c r="H53" s="22">
        <v>313</v>
      </c>
      <c r="I53" s="22">
        <v>257</v>
      </c>
      <c r="J53" s="67">
        <f>$B$53</f>
        <v>360.55750000000006</v>
      </c>
      <c r="K53" s="67">
        <f>$B$53</f>
        <v>360.55750000000006</v>
      </c>
      <c r="L53" s="67">
        <f t="shared" ref="L53:M53" si="33">$B$53</f>
        <v>360.55750000000006</v>
      </c>
      <c r="M53" s="67">
        <f t="shared" si="33"/>
        <v>360.55750000000006</v>
      </c>
      <c r="N53" s="162"/>
      <c r="O53" s="43"/>
      <c r="Q53" s="181"/>
      <c r="R53" s="181"/>
      <c r="S53" s="181"/>
      <c r="T53" s="181"/>
      <c r="U53" s="181"/>
      <c r="V53" s="181"/>
      <c r="W53" s="181"/>
      <c r="X53" s="181"/>
      <c r="Y53" s="181"/>
    </row>
    <row r="54" spans="1:27" ht="16" thickTop="1" x14ac:dyDescent="0.2">
      <c r="A54" s="86" t="s">
        <v>19</v>
      </c>
      <c r="B54" s="117"/>
      <c r="C54" s="118"/>
      <c r="D54" s="53">
        <v>226640.76</v>
      </c>
      <c r="E54" s="53">
        <v>286553.71999999997</v>
      </c>
      <c r="F54" s="53">
        <v>297396.14</v>
      </c>
      <c r="G54" s="53">
        <v>34309</v>
      </c>
      <c r="H54" s="53">
        <v>52148</v>
      </c>
      <c r="I54" s="53">
        <v>62131</v>
      </c>
      <c r="J54" s="66">
        <f>SUM(J50:J53)</f>
        <v>244583.08347276945</v>
      </c>
      <c r="K54" s="66">
        <f t="shared" ref="K54:L54" si="34">SUM(K50:K53)</f>
        <v>329631.34183936211</v>
      </c>
      <c r="L54" s="66">
        <f t="shared" si="34"/>
        <v>532825.90657370491</v>
      </c>
      <c r="M54" s="66">
        <f>SUM(M50:M53)</f>
        <v>779805.51280420856</v>
      </c>
      <c r="N54" s="164"/>
      <c r="O54" s="43"/>
      <c r="P54" s="171"/>
      <c r="Q54" s="181"/>
      <c r="R54" s="181"/>
      <c r="S54" s="181"/>
      <c r="T54" s="181"/>
      <c r="U54" s="181"/>
      <c r="V54" s="181"/>
      <c r="W54" s="181"/>
      <c r="X54" s="181"/>
      <c r="Y54" s="181"/>
      <c r="Z54" s="171"/>
      <c r="AA54" s="171"/>
    </row>
    <row r="55" spans="1:27" x14ac:dyDescent="0.2">
      <c r="A55" s="87"/>
      <c r="B55" s="78"/>
      <c r="C55" s="84"/>
      <c r="D55" s="24"/>
      <c r="E55" s="24"/>
      <c r="F55" s="24"/>
      <c r="G55" s="24"/>
      <c r="H55" s="24"/>
      <c r="I55" s="24"/>
      <c r="J55" s="45"/>
      <c r="K55" s="45"/>
      <c r="L55" s="45"/>
      <c r="M55" s="45"/>
      <c r="N55" s="161"/>
      <c r="O55" s="43"/>
      <c r="P55" s="173"/>
      <c r="Q55" s="182"/>
      <c r="R55" s="181"/>
      <c r="S55" s="181"/>
      <c r="T55" s="181"/>
      <c r="U55" s="181"/>
      <c r="V55" s="181"/>
      <c r="W55" s="181"/>
      <c r="X55" s="181"/>
      <c r="Y55" s="181"/>
      <c r="Z55" s="171"/>
      <c r="AA55" s="171"/>
    </row>
    <row r="56" spans="1:27" x14ac:dyDescent="0.2">
      <c r="A56" s="87" t="s">
        <v>20</v>
      </c>
      <c r="B56" s="78"/>
      <c r="C56" s="84"/>
      <c r="D56" s="24"/>
      <c r="E56" s="24"/>
      <c r="F56" s="24"/>
      <c r="G56" s="24"/>
      <c r="H56" s="24"/>
      <c r="I56" s="24"/>
      <c r="J56" s="45"/>
      <c r="K56" s="45"/>
      <c r="L56" s="45"/>
      <c r="M56" s="45"/>
      <c r="N56" s="161"/>
      <c r="O56" s="43"/>
      <c r="P56" s="173"/>
      <c r="Q56" s="182"/>
      <c r="R56" s="181"/>
      <c r="S56" s="181"/>
      <c r="T56" s="181"/>
      <c r="U56" s="181"/>
      <c r="V56" s="181"/>
      <c r="W56" s="181"/>
      <c r="X56" s="181"/>
      <c r="Y56" s="181"/>
      <c r="Z56" s="171"/>
      <c r="AA56" s="171"/>
    </row>
    <row r="57" spans="1:27" x14ac:dyDescent="0.2">
      <c r="A57" s="87" t="s">
        <v>21</v>
      </c>
      <c r="B57" s="78"/>
      <c r="C57" s="84"/>
      <c r="D57" s="24"/>
      <c r="E57" s="24"/>
      <c r="F57" s="24"/>
      <c r="G57" s="24"/>
      <c r="H57" s="24"/>
      <c r="I57" s="24"/>
      <c r="J57" s="45"/>
      <c r="K57" s="45"/>
      <c r="L57" s="45"/>
      <c r="M57" s="45"/>
      <c r="N57" s="161"/>
      <c r="O57" s="43"/>
      <c r="P57" s="173"/>
      <c r="Q57" s="182"/>
      <c r="R57" s="181"/>
      <c r="S57" s="181"/>
      <c r="T57" s="181"/>
      <c r="U57" s="181"/>
      <c r="V57" s="181"/>
      <c r="W57" s="181"/>
      <c r="X57" s="181"/>
      <c r="Y57" s="181"/>
      <c r="Z57" s="171"/>
      <c r="AA57" s="171"/>
    </row>
    <row r="58" spans="1:27" x14ac:dyDescent="0.2">
      <c r="A58" s="87" t="s">
        <v>22</v>
      </c>
      <c r="B58" s="115">
        <f>rate!B56</f>
        <v>6.5816232775544652</v>
      </c>
      <c r="C58" s="84"/>
      <c r="D58" s="24">
        <v>18603.41</v>
      </c>
      <c r="E58" s="24">
        <v>23902.5</v>
      </c>
      <c r="F58" s="24">
        <v>34044.51</v>
      </c>
      <c r="G58" s="24">
        <v>3771</v>
      </c>
      <c r="H58" s="24">
        <v>6051</v>
      </c>
      <c r="I58" s="24">
        <v>10025</v>
      </c>
      <c r="J58" s="106">
        <f>(J27/$B$58*2)-I58</f>
        <v>-6382.1586790640358</v>
      </c>
      <c r="K58" s="106">
        <f>(K27/$B$58*2)-J58</f>
        <v>11770.573687436869</v>
      </c>
      <c r="L58" s="106">
        <f>(L27/$B$58*2)-K58</f>
        <v>-3654.8698089896016</v>
      </c>
      <c r="M58" s="106">
        <f>(M27/$B$58*2)-L58</f>
        <v>16036.730536074985</v>
      </c>
      <c r="N58" s="161"/>
      <c r="O58" s="43"/>
      <c r="P58" s="173"/>
      <c r="Q58" s="182"/>
      <c r="R58" s="181"/>
      <c r="S58" s="181"/>
      <c r="T58" s="181"/>
      <c r="U58" s="181"/>
      <c r="V58" s="181"/>
      <c r="W58" s="181"/>
      <c r="X58" s="181"/>
      <c r="Y58" s="181"/>
      <c r="Z58" s="171"/>
      <c r="AA58" s="171"/>
    </row>
    <row r="59" spans="1:27" ht="16" thickBot="1" x14ac:dyDescent="0.25">
      <c r="A59" s="88" t="s">
        <v>24</v>
      </c>
      <c r="B59" s="81">
        <f>rate!B57</f>
        <v>5.7526833451346439E-2</v>
      </c>
      <c r="C59" s="83"/>
      <c r="D59" s="22">
        <v>7631.26</v>
      </c>
      <c r="E59" s="22">
        <v>10152.530000000001</v>
      </c>
      <c r="F59" s="22">
        <v>6302.92</v>
      </c>
      <c r="G59" s="22">
        <v>1163</v>
      </c>
      <c r="H59" s="22">
        <v>1458</v>
      </c>
      <c r="I59" s="22">
        <v>1447</v>
      </c>
      <c r="J59" s="67">
        <f>J14*$B$59</f>
        <v>4934.2062578837795</v>
      </c>
      <c r="K59" s="67">
        <f>K14*$B$59</f>
        <v>7298.5751263952679</v>
      </c>
      <c r="L59" s="67">
        <f>L14*$B$59</f>
        <v>10992.671197074655</v>
      </c>
      <c r="M59" s="67">
        <f>M14*$B$59</f>
        <v>16771.154519608033</v>
      </c>
      <c r="N59" s="162"/>
      <c r="O59" s="43"/>
      <c r="P59" s="173"/>
      <c r="Q59" s="182"/>
      <c r="R59" s="181"/>
      <c r="S59" s="181"/>
      <c r="T59" s="181"/>
      <c r="U59" s="181"/>
      <c r="V59" s="181"/>
      <c r="W59" s="181"/>
      <c r="X59" s="181"/>
      <c r="Y59" s="181"/>
      <c r="Z59" s="171"/>
      <c r="AA59" s="171"/>
    </row>
    <row r="60" spans="1:27" ht="16" thickTop="1" x14ac:dyDescent="0.2">
      <c r="A60" s="87" t="s">
        <v>29</v>
      </c>
      <c r="B60" s="78"/>
      <c r="C60" s="84"/>
      <c r="D60" s="24">
        <v>26234.67</v>
      </c>
      <c r="E60" s="24">
        <v>34055.03</v>
      </c>
      <c r="F60" s="24">
        <v>40347.43</v>
      </c>
      <c r="G60" s="24">
        <v>4934</v>
      </c>
      <c r="H60" s="24">
        <v>7509</v>
      </c>
      <c r="I60" s="24">
        <v>11472</v>
      </c>
      <c r="J60" s="170">
        <f>SUM(J58:J59)</f>
        <v>-1447.9524211802564</v>
      </c>
      <c r="K60" s="24">
        <f>SUM(K58:K59)</f>
        <v>19069.148813832137</v>
      </c>
      <c r="L60" s="24">
        <f t="shared" ref="L60:M60" si="35">SUM(L58:L59)</f>
        <v>7337.8013880850531</v>
      </c>
      <c r="M60" s="24">
        <f t="shared" si="35"/>
        <v>32807.885055683015</v>
      </c>
      <c r="N60" s="161"/>
      <c r="O60" s="43"/>
      <c r="P60" s="173"/>
      <c r="Q60" s="182"/>
      <c r="R60" s="181"/>
      <c r="S60" s="181"/>
      <c r="T60" s="181"/>
      <c r="U60" s="181"/>
      <c r="V60" s="181"/>
      <c r="W60" s="181"/>
      <c r="X60" s="181"/>
      <c r="Y60" s="181"/>
      <c r="Z60" s="171"/>
      <c r="AA60" s="171"/>
    </row>
    <row r="61" spans="1:27" x14ac:dyDescent="0.2">
      <c r="A61" s="87" t="s">
        <v>184</v>
      </c>
      <c r="B61" s="78"/>
      <c r="C61" s="84"/>
      <c r="D61" s="24"/>
      <c r="E61" s="24"/>
      <c r="F61" s="24"/>
      <c r="G61" s="24"/>
      <c r="H61" s="24"/>
      <c r="I61" s="24"/>
      <c r="J61" s="45"/>
      <c r="K61" s="45"/>
      <c r="L61" s="45"/>
      <c r="M61" s="45"/>
      <c r="N61" s="161"/>
      <c r="O61" s="43"/>
      <c r="P61" s="173"/>
      <c r="Q61" s="182"/>
      <c r="R61" s="181"/>
      <c r="S61" s="181"/>
      <c r="T61" s="181"/>
      <c r="U61" s="181"/>
      <c r="V61" s="181"/>
      <c r="W61" s="181"/>
      <c r="X61" s="181"/>
      <c r="Y61" s="181"/>
      <c r="Z61" s="171"/>
      <c r="AA61" s="171"/>
    </row>
    <row r="62" spans="1:27" x14ac:dyDescent="0.2">
      <c r="A62" s="87" t="s">
        <v>33</v>
      </c>
      <c r="B62" s="78">
        <f>rate!B60</f>
        <v>0.10855777782623195</v>
      </c>
      <c r="C62" s="84"/>
      <c r="D62" s="24">
        <v>8517.9</v>
      </c>
      <c r="E62" s="24">
        <v>11777.99</v>
      </c>
      <c r="F62" s="24">
        <v>9908.73</v>
      </c>
      <c r="G62" s="24">
        <v>1207</v>
      </c>
      <c r="H62" s="24">
        <v>1284</v>
      </c>
      <c r="I62" s="24">
        <v>2052</v>
      </c>
      <c r="J62" s="45">
        <f>J14*$B$62</f>
        <v>9311.245458090023</v>
      </c>
      <c r="K62" s="45">
        <f>K14*$B$62</f>
        <v>13773.000345819239</v>
      </c>
      <c r="L62" s="45">
        <f>L14*$B$62</f>
        <v>20744.057788929436</v>
      </c>
      <c r="M62" s="45">
        <f>M14*$B$62</f>
        <v>31648.522211270814</v>
      </c>
      <c r="N62" s="161"/>
      <c r="O62" s="43"/>
      <c r="P62" s="173"/>
      <c r="Q62" s="182"/>
      <c r="R62" s="181"/>
      <c r="S62" s="181"/>
      <c r="T62" s="181"/>
      <c r="U62" s="181"/>
      <c r="V62" s="181"/>
      <c r="W62" s="181"/>
      <c r="X62" s="181"/>
      <c r="Y62" s="181"/>
      <c r="Z62" s="171"/>
      <c r="AA62" s="171"/>
    </row>
    <row r="63" spans="1:27" ht="16" thickBot="1" x14ac:dyDescent="0.25">
      <c r="A63" s="100" t="s">
        <v>30</v>
      </c>
      <c r="B63" s="81">
        <f>rate!B61</f>
        <v>0.49168067071081389</v>
      </c>
      <c r="C63" s="83"/>
      <c r="D63" s="22">
        <v>58600.49</v>
      </c>
      <c r="E63" s="22">
        <v>94183.19</v>
      </c>
      <c r="F63" s="22">
        <v>94036.72</v>
      </c>
      <c r="G63" s="22">
        <v>11634</v>
      </c>
      <c r="H63" s="22">
        <v>9556</v>
      </c>
      <c r="I63" s="22">
        <v>5245</v>
      </c>
      <c r="J63" s="67">
        <f>J14*$B$63</f>
        <v>42172.560121071794</v>
      </c>
      <c r="K63" s="67">
        <f>K14*$B$63</f>
        <v>62380.772555721065</v>
      </c>
      <c r="L63" s="67">
        <f>L14*$B$63</f>
        <v>93954.136231960612</v>
      </c>
      <c r="M63" s="67">
        <f>M14*$B$63</f>
        <v>143342.71518298861</v>
      </c>
      <c r="N63" s="162"/>
      <c r="O63" s="43"/>
      <c r="P63" s="173"/>
      <c r="Q63" s="182"/>
      <c r="R63" s="181"/>
      <c r="S63" s="181"/>
      <c r="T63" s="181"/>
      <c r="U63" s="181"/>
      <c r="V63" s="181"/>
      <c r="W63" s="181"/>
      <c r="X63" s="181"/>
      <c r="Y63" s="181"/>
      <c r="Z63" s="171"/>
      <c r="AA63" s="171"/>
    </row>
    <row r="64" spans="1:27" ht="16" thickTop="1" x14ac:dyDescent="0.2">
      <c r="A64" s="86" t="s">
        <v>36</v>
      </c>
      <c r="B64" s="109"/>
      <c r="C64" s="118"/>
      <c r="D64" s="53">
        <v>93353.06</v>
      </c>
      <c r="E64" s="53">
        <v>140016.21</v>
      </c>
      <c r="F64" s="53">
        <v>144292.88</v>
      </c>
      <c r="G64" s="53">
        <v>17775</v>
      </c>
      <c r="H64" s="53">
        <v>18349</v>
      </c>
      <c r="I64" s="53">
        <v>18769</v>
      </c>
      <c r="J64" s="66">
        <f>SUM(J60:J63)</f>
        <v>50035.853157981561</v>
      </c>
      <c r="K64" s="66">
        <f t="shared" ref="K64:M64" si="36">SUM(K60:K63)</f>
        <v>95222.921715372446</v>
      </c>
      <c r="L64" s="66">
        <f t="shared" si="36"/>
        <v>122035.9954089751</v>
      </c>
      <c r="M64" s="66">
        <f t="shared" si="36"/>
        <v>207799.12244994246</v>
      </c>
      <c r="N64" s="161"/>
      <c r="O64" s="43"/>
      <c r="P64" s="173"/>
      <c r="Q64" s="182"/>
      <c r="R64" s="181"/>
      <c r="S64" s="181"/>
      <c r="T64" s="181"/>
      <c r="U64" s="181"/>
      <c r="V64" s="181"/>
      <c r="W64" s="181"/>
      <c r="X64" s="181"/>
      <c r="Y64" s="181"/>
      <c r="Z64" s="171"/>
      <c r="AA64" s="171"/>
    </row>
    <row r="65" spans="1:27" x14ac:dyDescent="0.2">
      <c r="A65" s="150" t="s">
        <v>200</v>
      </c>
      <c r="B65" s="75">
        <f>rate!B33</f>
        <v>4.1810108533748496</v>
      </c>
      <c r="C65" s="80"/>
      <c r="D65" s="45">
        <f>balance!B31+balance!B37</f>
        <v>6844.26</v>
      </c>
      <c r="E65" s="45">
        <f>balance!C31+balance!C37</f>
        <v>10214.867999999999</v>
      </c>
      <c r="F65" s="45">
        <f>balance!D31+balance!D37</f>
        <v>11971.371000000001</v>
      </c>
      <c r="G65" s="45">
        <f>balance!E31+balance!E37</f>
        <v>13419</v>
      </c>
      <c r="H65" s="45">
        <f>balance!F31+balance!F37</f>
        <v>11688</v>
      </c>
      <c r="I65" s="45">
        <f>balance!G31+balance!G37</f>
        <v>6834</v>
      </c>
      <c r="J65" s="135">
        <f>J14*$B$65</f>
        <v>358614.73123581655</v>
      </c>
      <c r="K65" s="135">
        <f>K14*$B$65</f>
        <v>530455.44117144693</v>
      </c>
      <c r="L65" s="135">
        <f>L14*$B$65</f>
        <v>798939.81339024159</v>
      </c>
      <c r="M65" s="135">
        <f>M14*$B$65</f>
        <v>1218916.0234138812</v>
      </c>
      <c r="N65" s="161"/>
      <c r="O65" s="43"/>
      <c r="P65" s="173"/>
      <c r="Q65" s="182"/>
      <c r="R65" s="181"/>
      <c r="S65" s="181"/>
      <c r="T65" s="181"/>
      <c r="U65" s="181"/>
      <c r="V65" s="181"/>
      <c r="W65" s="181"/>
      <c r="X65" s="181"/>
      <c r="Y65" s="181"/>
      <c r="Z65" s="171"/>
      <c r="AA65" s="171"/>
    </row>
    <row r="66" spans="1:27" x14ac:dyDescent="0.2">
      <c r="A66" s="87"/>
      <c r="B66" s="78"/>
      <c r="C66" s="84"/>
      <c r="D66" s="24"/>
      <c r="E66" s="24"/>
      <c r="F66" s="24"/>
      <c r="G66" s="24"/>
      <c r="H66" s="24"/>
      <c r="I66" s="24"/>
      <c r="J66" s="45"/>
      <c r="K66" s="45"/>
      <c r="L66" s="45"/>
      <c r="M66" s="45"/>
      <c r="N66" s="161"/>
      <c r="O66" s="43"/>
      <c r="P66" s="173"/>
      <c r="Q66" s="182"/>
      <c r="R66" s="181"/>
      <c r="S66" s="181"/>
      <c r="T66" s="181"/>
      <c r="U66" s="181"/>
      <c r="V66" s="181"/>
      <c r="W66" s="181"/>
      <c r="X66" s="181"/>
      <c r="Y66" s="181"/>
      <c r="Z66" s="171"/>
      <c r="AA66" s="171"/>
    </row>
    <row r="67" spans="1:27" x14ac:dyDescent="0.2">
      <c r="A67" s="87" t="s">
        <v>37</v>
      </c>
      <c r="B67" s="78"/>
      <c r="C67" s="84"/>
      <c r="D67" s="24"/>
      <c r="E67" s="24"/>
      <c r="F67" s="24"/>
      <c r="G67" s="24"/>
      <c r="H67" s="24"/>
      <c r="I67" s="43"/>
      <c r="J67" s="45"/>
      <c r="K67" s="45"/>
      <c r="L67" s="45"/>
      <c r="M67" s="45"/>
      <c r="N67" s="161"/>
      <c r="O67" s="43"/>
      <c r="P67" s="173"/>
      <c r="Q67" s="182"/>
      <c r="R67" s="181"/>
      <c r="S67" s="181"/>
      <c r="T67" s="181"/>
      <c r="U67" s="181"/>
      <c r="V67" s="181"/>
      <c r="W67" s="181"/>
      <c r="X67" s="181"/>
      <c r="Y67" s="181"/>
      <c r="Z67" s="171"/>
      <c r="AA67" s="171"/>
    </row>
    <row r="68" spans="1:27" x14ac:dyDescent="0.2">
      <c r="A68" s="87" t="s">
        <v>38</v>
      </c>
      <c r="B68" s="78"/>
      <c r="C68" s="84"/>
      <c r="D68" s="24"/>
      <c r="E68" s="24"/>
      <c r="F68" s="24"/>
      <c r="G68" s="24"/>
      <c r="H68" s="24"/>
      <c r="I68" s="43"/>
      <c r="J68" s="45"/>
      <c r="K68" s="43"/>
      <c r="L68" s="43"/>
      <c r="M68" s="43"/>
      <c r="N68" s="97"/>
      <c r="O68" s="43"/>
      <c r="P68" s="171"/>
      <c r="Q68" s="181"/>
      <c r="R68" s="181"/>
      <c r="S68" s="181"/>
      <c r="T68" s="181"/>
      <c r="U68" s="181"/>
      <c r="V68" s="181"/>
      <c r="W68" s="181"/>
      <c r="X68" s="181"/>
      <c r="Y68" s="181"/>
      <c r="Z68" s="171"/>
      <c r="AA68" s="171"/>
    </row>
    <row r="69" spans="1:27" x14ac:dyDescent="0.2">
      <c r="A69" s="87" t="s">
        <v>39</v>
      </c>
      <c r="B69" s="78">
        <f>rate!B66</f>
        <v>-0.34123239137852535</v>
      </c>
      <c r="C69" s="84"/>
      <c r="D69" s="156">
        <f>rate!C66</f>
        <v>-77737.27</v>
      </c>
      <c r="E69" s="24">
        <f>rate!D66</f>
        <v>91780.24</v>
      </c>
      <c r="F69" s="24">
        <f>rate!E66</f>
        <v>102491.2</v>
      </c>
      <c r="G69" s="24">
        <f>rate!F66</f>
        <v>12737</v>
      </c>
      <c r="H69" s="24">
        <f>rate!G66</f>
        <v>27260</v>
      </c>
      <c r="I69" s="24">
        <f>rate!H66</f>
        <v>29803</v>
      </c>
      <c r="J69" s="45">
        <f>$I$69*(1+$B$69)^(J43-$I$43)</f>
        <v>19633.25103974581</v>
      </c>
      <c r="K69" s="45">
        <f>$I$69*(1+$B$69)^(K43-$I$43)</f>
        <v>12933.749836918427</v>
      </c>
      <c r="L69" s="45">
        <f>$I$69*(1+$B$69)^(L43-$I$43)</f>
        <v>8520.3354505751395</v>
      </c>
      <c r="M69" s="45">
        <f>$I$69*(1+$B$69)^(M43-$I$43)</f>
        <v>5612.9210094281598</v>
      </c>
      <c r="N69" s="97"/>
      <c r="O69" s="43"/>
      <c r="P69" s="171"/>
      <c r="Q69" s="181"/>
      <c r="R69" s="181"/>
      <c r="S69" s="181"/>
      <c r="T69" s="181"/>
      <c r="U69" s="181"/>
      <c r="V69" s="181"/>
      <c r="W69" s="181"/>
      <c r="X69" s="181"/>
      <c r="Y69" s="181"/>
      <c r="Z69" s="171"/>
      <c r="AA69" s="171"/>
    </row>
    <row r="70" spans="1:27" x14ac:dyDescent="0.2">
      <c r="A70" s="87" t="s">
        <v>41</v>
      </c>
      <c r="B70" s="78"/>
      <c r="C70" s="84"/>
      <c r="D70" s="106">
        <v>-29972.37</v>
      </c>
      <c r="E70" s="106">
        <v>-49742.99</v>
      </c>
      <c r="F70" s="106">
        <v>-53178.32</v>
      </c>
      <c r="G70" s="106">
        <v>-6083</v>
      </c>
      <c r="H70" s="106">
        <v>-5399</v>
      </c>
      <c r="I70" s="106">
        <v>331</v>
      </c>
      <c r="J70" s="45">
        <f>J39</f>
        <v>-8953.5968151500019</v>
      </c>
      <c r="K70" s="45">
        <f>K39</f>
        <v>-13243.973922333123</v>
      </c>
      <c r="L70" s="45">
        <f>L39</f>
        <v>-19947.270275306975</v>
      </c>
      <c r="M70" s="45">
        <f>M39</f>
        <v>-30432.889880358129</v>
      </c>
      <c r="N70" s="97"/>
      <c r="O70" s="43"/>
      <c r="P70" s="171"/>
      <c r="Q70" s="181"/>
      <c r="R70" s="181"/>
      <c r="S70" s="181"/>
      <c r="T70" s="181"/>
      <c r="U70" s="181"/>
      <c r="V70" s="181"/>
      <c r="W70" s="181"/>
      <c r="X70" s="181"/>
      <c r="Y70" s="181"/>
      <c r="Z70" s="171"/>
      <c r="AA70" s="171"/>
    </row>
    <row r="71" spans="1:27" x14ac:dyDescent="0.2">
      <c r="A71" s="87" t="s">
        <v>42</v>
      </c>
      <c r="B71" s="78"/>
      <c r="C71" s="84"/>
      <c r="D71" s="106">
        <v>47529.11</v>
      </c>
      <c r="E71" s="106">
        <v>42372.42</v>
      </c>
      <c r="F71" s="106">
        <v>49232.43</v>
      </c>
      <c r="G71" s="106">
        <v>6618</v>
      </c>
      <c r="H71" s="106">
        <v>22225</v>
      </c>
      <c r="I71" s="106">
        <v>30189</v>
      </c>
      <c r="J71" s="45">
        <f>J54-J64</f>
        <v>194547.23031478788</v>
      </c>
      <c r="K71" s="45">
        <f>K54-K64</f>
        <v>234408.42012398966</v>
      </c>
      <c r="L71" s="45">
        <f>L54-L64</f>
        <v>410789.9111647298</v>
      </c>
      <c r="M71" s="45">
        <f>M54-M64</f>
        <v>572006.39035426616</v>
      </c>
      <c r="N71" s="97"/>
      <c r="O71" s="43"/>
      <c r="P71" s="171"/>
      <c r="Q71" s="181"/>
      <c r="R71" s="181"/>
      <c r="S71" s="181"/>
      <c r="T71" s="181"/>
      <c r="U71" s="181"/>
      <c r="V71" s="181"/>
      <c r="W71" s="181"/>
      <c r="X71" s="181"/>
      <c r="Y71" s="181"/>
      <c r="Z71" s="171"/>
      <c r="AA71" s="171"/>
    </row>
    <row r="72" spans="1:27" x14ac:dyDescent="0.2">
      <c r="A72" s="30" t="s">
        <v>43</v>
      </c>
      <c r="B72" s="165"/>
      <c r="C72" s="166"/>
      <c r="D72" s="167">
        <v>226640.76</v>
      </c>
      <c r="E72" s="167">
        <v>286553.71999999997</v>
      </c>
      <c r="F72" s="167">
        <v>297396.14</v>
      </c>
      <c r="G72" s="167">
        <v>34309</v>
      </c>
      <c r="H72" s="167">
        <v>52148</v>
      </c>
      <c r="I72" s="167">
        <v>62131</v>
      </c>
      <c r="J72" s="168">
        <f>J71+J64</f>
        <v>244583.08347276945</v>
      </c>
      <c r="K72" s="168">
        <f>K71+K64</f>
        <v>329631.34183936211</v>
      </c>
      <c r="L72" s="168">
        <f>L71+L64</f>
        <v>532825.90657370491</v>
      </c>
      <c r="M72" s="168">
        <f>M71+M64</f>
        <v>779805.51280420856</v>
      </c>
      <c r="N72" s="169"/>
      <c r="O72" s="43"/>
      <c r="P72" s="171"/>
      <c r="Q72" s="181"/>
      <c r="R72" s="181"/>
      <c r="S72" s="181"/>
      <c r="T72" s="181"/>
      <c r="U72" s="181"/>
      <c r="V72" s="181"/>
      <c r="W72" s="181"/>
      <c r="X72" s="181"/>
      <c r="Y72" s="181"/>
      <c r="Z72" s="171"/>
      <c r="AA72" s="171"/>
    </row>
    <row r="73" spans="1:27" x14ac:dyDescent="0.2">
      <c r="P73" s="171"/>
      <c r="Q73" s="171"/>
      <c r="R73" s="171"/>
      <c r="S73" s="171"/>
      <c r="T73" s="171"/>
      <c r="U73" s="171"/>
      <c r="V73" s="171"/>
      <c r="W73" s="171"/>
      <c r="X73" s="171"/>
      <c r="Y73" s="171"/>
      <c r="Z73" s="171"/>
      <c r="AA73" s="171"/>
    </row>
    <row r="74" spans="1:27" x14ac:dyDescent="0.2">
      <c r="A74" s="190" t="s">
        <v>181</v>
      </c>
      <c r="B74" s="325" t="s">
        <v>136</v>
      </c>
      <c r="C74" s="326"/>
      <c r="D74" s="327" t="s">
        <v>162</v>
      </c>
      <c r="E74" s="328"/>
      <c r="F74" s="328"/>
      <c r="G74" s="328"/>
      <c r="H74" s="328"/>
      <c r="I74" s="329"/>
      <c r="J74" s="330" t="s">
        <v>163</v>
      </c>
      <c r="K74" s="330"/>
      <c r="L74" s="330"/>
      <c r="M74" s="330"/>
      <c r="N74" s="40" t="s">
        <v>161</v>
      </c>
      <c r="O74" s="43"/>
      <c r="P74" s="171"/>
      <c r="Q74" s="171"/>
      <c r="R74" s="171"/>
      <c r="S74" s="171"/>
      <c r="T74" s="171"/>
      <c r="U74" s="171"/>
      <c r="V74" s="171"/>
      <c r="W74" s="171"/>
      <c r="X74" s="171"/>
      <c r="Y74" s="171"/>
      <c r="Z74" s="171"/>
      <c r="AA74" s="171"/>
    </row>
    <row r="75" spans="1:27" x14ac:dyDescent="0.2">
      <c r="A75" s="61" t="s">
        <v>185</v>
      </c>
      <c r="B75" s="74" t="s">
        <v>160</v>
      </c>
      <c r="C75" s="74" t="s">
        <v>164</v>
      </c>
      <c r="D75" s="32">
        <v>2016</v>
      </c>
      <c r="E75" s="32">
        <v>2017</v>
      </c>
      <c r="F75" s="32">
        <v>2018</v>
      </c>
      <c r="G75" s="32">
        <v>2019</v>
      </c>
      <c r="H75" s="32">
        <v>2020</v>
      </c>
      <c r="I75" s="32">
        <v>2021</v>
      </c>
      <c r="J75" s="32">
        <v>2022</v>
      </c>
      <c r="K75" s="32">
        <v>2023</v>
      </c>
      <c r="L75" s="32">
        <v>2024</v>
      </c>
      <c r="M75" s="32">
        <v>2025</v>
      </c>
      <c r="N75" s="32">
        <v>2026</v>
      </c>
      <c r="O75" s="43"/>
      <c r="P75" s="171"/>
      <c r="Q75" s="171"/>
      <c r="R75" s="171"/>
      <c r="S75" s="171"/>
      <c r="T75" s="171"/>
      <c r="U75" s="171"/>
      <c r="V75" s="171"/>
      <c r="W75" s="171"/>
      <c r="X75" s="171"/>
      <c r="Y75" s="171"/>
      <c r="Z75" s="171"/>
      <c r="AA75" s="171"/>
    </row>
    <row r="76" spans="1:27" ht="16" x14ac:dyDescent="0.2">
      <c r="A76" s="63" t="s">
        <v>186</v>
      </c>
      <c r="B76" s="191"/>
      <c r="C76" s="80"/>
      <c r="D76" s="2"/>
      <c r="E76" s="2"/>
      <c r="F76" s="2"/>
      <c r="G76" s="2"/>
      <c r="H76" s="2"/>
      <c r="I76" s="43"/>
      <c r="J76" s="43"/>
      <c r="K76" s="43"/>
      <c r="L76" s="43"/>
      <c r="M76" s="43"/>
      <c r="N76" s="97"/>
      <c r="P76" s="171"/>
      <c r="Q76" s="171"/>
      <c r="R76" s="171"/>
      <c r="S76" s="171"/>
      <c r="T76" s="171"/>
      <c r="U76" s="171"/>
      <c r="V76" s="171"/>
      <c r="W76" s="171"/>
      <c r="X76" s="171"/>
      <c r="Y76" s="171"/>
      <c r="Z76" s="171"/>
      <c r="AA76" s="171"/>
    </row>
    <row r="77" spans="1:27" ht="16" x14ac:dyDescent="0.2">
      <c r="A77" s="64" t="s">
        <v>187</v>
      </c>
      <c r="B77" s="191"/>
      <c r="C77" s="80"/>
      <c r="D77" s="183">
        <f t="shared" ref="D77:M77" si="37">D39</f>
        <v>-773.04600000000005</v>
      </c>
      <c r="E77" s="183">
        <f t="shared" si="37"/>
        <v>-2240.578</v>
      </c>
      <c r="F77" s="183">
        <f t="shared" si="37"/>
        <v>-1062.5820000000001</v>
      </c>
      <c r="G77" s="183">
        <f t="shared" si="37"/>
        <v>-775</v>
      </c>
      <c r="H77" s="183">
        <f t="shared" si="37"/>
        <v>862</v>
      </c>
      <c r="I77" s="183">
        <f t="shared" si="37"/>
        <v>5644</v>
      </c>
      <c r="J77" s="183">
        <f t="shared" si="37"/>
        <v>-8953.5968151500019</v>
      </c>
      <c r="K77" s="183">
        <f t="shared" si="37"/>
        <v>-13243.973922333123</v>
      </c>
      <c r="L77" s="183">
        <f t="shared" si="37"/>
        <v>-19947.270275306975</v>
      </c>
      <c r="M77" s="183">
        <f t="shared" si="37"/>
        <v>-30432.889880358129</v>
      </c>
      <c r="N77" s="97"/>
    </row>
    <row r="78" spans="1:27" ht="16" x14ac:dyDescent="0.2">
      <c r="A78" s="64" t="s">
        <v>188</v>
      </c>
      <c r="B78" s="191"/>
      <c r="C78" s="80"/>
      <c r="D78" s="2"/>
      <c r="E78" s="2"/>
      <c r="F78" s="2"/>
      <c r="G78" s="2"/>
      <c r="H78" s="2"/>
      <c r="I78" s="43"/>
      <c r="J78" s="43"/>
      <c r="K78" s="43"/>
      <c r="L78" s="43"/>
      <c r="M78" s="43"/>
      <c r="N78" s="97"/>
      <c r="O78" s="43"/>
      <c r="P78" s="171"/>
      <c r="Q78" s="171"/>
      <c r="R78" s="171"/>
      <c r="S78" s="171"/>
      <c r="T78" s="171"/>
      <c r="U78" s="171"/>
      <c r="V78" s="171"/>
      <c r="W78" s="171"/>
      <c r="X78" s="171"/>
      <c r="Y78" s="171"/>
      <c r="Z78" s="171"/>
      <c r="AA78" s="171"/>
    </row>
    <row r="79" spans="1:27" ht="16" x14ac:dyDescent="0.2">
      <c r="A79" s="64" t="s">
        <v>190</v>
      </c>
      <c r="B79" s="191">
        <f>rate!B77</f>
        <v>0.79395027150887454</v>
      </c>
      <c r="C79" s="80"/>
      <c r="D79" s="192">
        <f>cashflow!B5</f>
        <v>947.09899999999993</v>
      </c>
      <c r="E79" s="192">
        <f>cashflow!C5</f>
        <v>1636.0030000000002</v>
      </c>
      <c r="F79" s="192">
        <f>cashflow!D5</f>
        <v>1901.05</v>
      </c>
      <c r="G79" s="192">
        <f>cashflow!E5</f>
        <v>2154</v>
      </c>
      <c r="H79" s="192">
        <f>cashflow!F5</f>
        <v>2322</v>
      </c>
      <c r="I79" s="192">
        <f>cashflow!G5</f>
        <v>2911</v>
      </c>
      <c r="J79" s="159">
        <f>J14*$B$80</f>
        <v>0</v>
      </c>
      <c r="K79" s="159">
        <f>K14*$B$80</f>
        <v>0</v>
      </c>
      <c r="L79" s="159">
        <f>L14*$B$80</f>
        <v>0</v>
      </c>
      <c r="M79" s="159">
        <f>M14*$B$80</f>
        <v>0</v>
      </c>
      <c r="N79" s="97"/>
      <c r="O79" s="43"/>
      <c r="P79" s="171"/>
      <c r="Q79" s="171"/>
      <c r="R79" s="171"/>
      <c r="S79" s="171"/>
      <c r="T79" s="171"/>
      <c r="U79" s="171"/>
      <c r="V79" s="171"/>
      <c r="W79" s="171"/>
      <c r="X79" s="171"/>
      <c r="Y79" s="171"/>
      <c r="Z79" s="171"/>
      <c r="AA79" s="171"/>
    </row>
    <row r="80" spans="1:27" x14ac:dyDescent="0.2">
      <c r="A80" s="15" t="s">
        <v>191</v>
      </c>
      <c r="B80" s="191"/>
      <c r="C80" s="80"/>
      <c r="D80" s="2"/>
      <c r="E80" s="2"/>
      <c r="F80" s="2"/>
      <c r="G80" s="2"/>
      <c r="H80" s="2"/>
      <c r="I80" s="43"/>
      <c r="J80" s="43"/>
      <c r="K80" s="43"/>
      <c r="L80" s="43"/>
      <c r="M80" s="43"/>
      <c r="N80" s="97"/>
      <c r="O80" s="43"/>
      <c r="P80" s="171"/>
      <c r="Q80" s="171"/>
      <c r="R80" s="171"/>
      <c r="S80" s="171"/>
      <c r="T80" s="171"/>
      <c r="U80" s="171"/>
      <c r="V80" s="171"/>
      <c r="W80" s="171"/>
      <c r="X80" s="171"/>
      <c r="Y80" s="171"/>
      <c r="Z80" s="171"/>
      <c r="AA80" s="171"/>
    </row>
    <row r="81" spans="1:27" ht="16" x14ac:dyDescent="0.2">
      <c r="A81" s="64" t="s">
        <v>193</v>
      </c>
      <c r="B81" s="191"/>
      <c r="C81" s="80"/>
      <c r="D81" s="91">
        <f t="shared" ref="D81:M81" si="38">D46</f>
        <v>4991.42</v>
      </c>
      <c r="E81" s="91">
        <f t="shared" si="38"/>
        <v>5153.8100000000004</v>
      </c>
      <c r="F81" s="91">
        <f t="shared" si="38"/>
        <v>9490.2199999999993</v>
      </c>
      <c r="G81" s="91">
        <f t="shared" si="38"/>
        <v>1324</v>
      </c>
      <c r="H81" s="91">
        <f t="shared" si="38"/>
        <v>1886</v>
      </c>
      <c r="I81" s="91">
        <f t="shared" si="38"/>
        <v>1913</v>
      </c>
      <c r="J81" s="91">
        <f t="shared" si="38"/>
        <v>5111.6836778740526</v>
      </c>
      <c r="K81" s="91">
        <f t="shared" si="38"/>
        <v>5279.0821074450923</v>
      </c>
      <c r="L81" s="91">
        <f t="shared" si="38"/>
        <v>10370.859118855667</v>
      </c>
      <c r="M81" s="91">
        <f t="shared" si="38"/>
        <v>13505.738099745879</v>
      </c>
      <c r="N81" s="97"/>
      <c r="O81" s="43"/>
      <c r="P81" s="171"/>
      <c r="Q81" s="171"/>
      <c r="R81" s="171"/>
      <c r="S81" s="171"/>
      <c r="T81" s="171"/>
      <c r="U81" s="171"/>
      <c r="V81" s="171"/>
      <c r="W81" s="171"/>
      <c r="X81" s="171"/>
      <c r="Y81" s="171"/>
      <c r="Z81" s="171"/>
      <c r="AA81" s="171"/>
    </row>
    <row r="82" spans="1:27" ht="16" x14ac:dyDescent="0.2">
      <c r="A82" s="64" t="s">
        <v>194</v>
      </c>
      <c r="B82" s="191"/>
      <c r="C82" s="80"/>
      <c r="D82" s="91">
        <f t="shared" ref="D82:M82" si="39">D49</f>
        <v>20674.54</v>
      </c>
      <c r="E82" s="91">
        <f t="shared" si="39"/>
        <v>22635.37</v>
      </c>
      <c r="F82" s="91">
        <f t="shared" si="39"/>
        <v>31134.46</v>
      </c>
      <c r="G82" s="91">
        <f t="shared" si="39"/>
        <v>3552</v>
      </c>
      <c r="H82" s="91">
        <f t="shared" si="39"/>
        <v>4101</v>
      </c>
      <c r="I82" s="91">
        <f t="shared" si="39"/>
        <v>5757</v>
      </c>
      <c r="J82" s="91">
        <f t="shared" si="39"/>
        <v>41616.355500473932</v>
      </c>
      <c r="K82" s="91">
        <f t="shared" si="39"/>
        <v>31861.970805534715</v>
      </c>
      <c r="L82" s="91">
        <f t="shared" si="39"/>
        <v>82106.406137455284</v>
      </c>
      <c r="M82" s="91">
        <f t="shared" si="39"/>
        <v>94663.964065673645</v>
      </c>
      <c r="N82" s="97"/>
      <c r="O82" s="43"/>
    </row>
    <row r="83" spans="1:27" ht="16" x14ac:dyDescent="0.2">
      <c r="A83" s="64" t="s">
        <v>192</v>
      </c>
      <c r="B83" s="191"/>
      <c r="C83" s="80"/>
      <c r="D83" s="91">
        <f t="shared" ref="D83:M83" si="40">D48</f>
        <v>1944.65</v>
      </c>
      <c r="E83" s="91">
        <f t="shared" si="40"/>
        <v>2683.65</v>
      </c>
      <c r="F83" s="91">
        <f t="shared" si="40"/>
        <v>3656.71</v>
      </c>
      <c r="G83" s="91">
        <f t="shared" si="40"/>
        <v>713</v>
      </c>
      <c r="H83" s="91">
        <f t="shared" si="40"/>
        <v>1346</v>
      </c>
      <c r="I83" s="91">
        <f t="shared" si="40"/>
        <v>1723</v>
      </c>
      <c r="J83" s="91">
        <f t="shared" si="40"/>
        <v>2449.4385570977779</v>
      </c>
      <c r="K83" s="91">
        <f t="shared" si="40"/>
        <v>3623.1584964457402</v>
      </c>
      <c r="L83" s="91">
        <f t="shared" si="40"/>
        <v>5456.9815829225226</v>
      </c>
      <c r="M83" s="91">
        <f t="shared" si="40"/>
        <v>8325.5361410431269</v>
      </c>
      <c r="N83" s="97"/>
      <c r="O83" s="43"/>
    </row>
    <row r="84" spans="1:27" ht="16" x14ac:dyDescent="0.2">
      <c r="A84" s="64" t="s">
        <v>195</v>
      </c>
      <c r="B84" s="191"/>
      <c r="C84" s="80"/>
      <c r="D84" s="2"/>
      <c r="E84" s="2"/>
      <c r="F84" s="2"/>
      <c r="G84" s="2"/>
      <c r="H84" s="2"/>
      <c r="I84" s="43"/>
      <c r="J84" s="43"/>
      <c r="K84" s="43"/>
      <c r="L84" s="43"/>
      <c r="M84" s="43"/>
      <c r="N84" s="97"/>
      <c r="O84" s="43"/>
    </row>
    <row r="85" spans="1:27" ht="16" x14ac:dyDescent="0.2">
      <c r="A85" s="64" t="s">
        <v>196</v>
      </c>
      <c r="B85" s="191"/>
      <c r="C85" s="80"/>
      <c r="D85" s="91">
        <f t="shared" ref="D85:M85" si="41">D58</f>
        <v>18603.41</v>
      </c>
      <c r="E85" s="91">
        <f t="shared" si="41"/>
        <v>23902.5</v>
      </c>
      <c r="F85" s="91">
        <f t="shared" si="41"/>
        <v>34044.51</v>
      </c>
      <c r="G85" s="91">
        <f t="shared" si="41"/>
        <v>3771</v>
      </c>
      <c r="H85" s="91">
        <f t="shared" si="41"/>
        <v>6051</v>
      </c>
      <c r="I85" s="91">
        <f t="shared" si="41"/>
        <v>10025</v>
      </c>
      <c r="J85" s="106">
        <f t="shared" si="41"/>
        <v>-6382.1586790640358</v>
      </c>
      <c r="K85" s="106">
        <f t="shared" si="41"/>
        <v>11770.573687436869</v>
      </c>
      <c r="L85" s="106">
        <f t="shared" si="41"/>
        <v>-3654.8698089896016</v>
      </c>
      <c r="M85" s="106">
        <f t="shared" si="41"/>
        <v>16036.730536074985</v>
      </c>
      <c r="N85" s="97"/>
      <c r="O85" s="43"/>
    </row>
    <row r="86" spans="1:27" ht="16" x14ac:dyDescent="0.2">
      <c r="A86" s="64" t="s">
        <v>197</v>
      </c>
      <c r="B86" s="191"/>
      <c r="C86" s="80"/>
      <c r="D86" s="91">
        <f t="shared" ref="D86:M86" si="42">D62</f>
        <v>8517.9</v>
      </c>
      <c r="E86" s="91">
        <f t="shared" si="42"/>
        <v>11777.99</v>
      </c>
      <c r="F86" s="91">
        <f t="shared" si="42"/>
        <v>9908.73</v>
      </c>
      <c r="G86" s="91">
        <f t="shared" si="42"/>
        <v>1207</v>
      </c>
      <c r="H86" s="91">
        <f t="shared" si="42"/>
        <v>1284</v>
      </c>
      <c r="I86" s="91">
        <f t="shared" si="42"/>
        <v>2052</v>
      </c>
      <c r="J86" s="91">
        <f t="shared" si="42"/>
        <v>9311.245458090023</v>
      </c>
      <c r="K86" s="91">
        <f t="shared" si="42"/>
        <v>13773.000345819239</v>
      </c>
      <c r="L86" s="91">
        <f t="shared" si="42"/>
        <v>20744.057788929436</v>
      </c>
      <c r="M86" s="91">
        <f t="shared" si="42"/>
        <v>31648.522211270814</v>
      </c>
      <c r="N86" s="97"/>
      <c r="O86" s="43"/>
      <c r="P86" s="171"/>
      <c r="Q86" s="171"/>
      <c r="R86" s="171"/>
      <c r="S86" s="171"/>
      <c r="T86" s="171"/>
      <c r="U86" s="171"/>
      <c r="V86" s="171"/>
      <c r="W86" s="171"/>
      <c r="X86" s="171"/>
      <c r="Y86" s="171"/>
      <c r="Z86" s="171"/>
      <c r="AA86" s="171"/>
    </row>
    <row r="87" spans="1:27" ht="16" x14ac:dyDescent="0.2">
      <c r="A87" s="63" t="s">
        <v>189</v>
      </c>
      <c r="B87" s="193"/>
      <c r="C87" s="185"/>
      <c r="D87" s="194">
        <f>D77+D79-D81-D82-D83+D85+D86</f>
        <v>-315.24700000000121</v>
      </c>
      <c r="E87" s="194">
        <f t="shared" ref="E87:I87" si="43">E77+E79-E81-E82-E83+E85+E86</f>
        <v>4603.0850000000009</v>
      </c>
      <c r="F87" s="194">
        <f t="shared" si="43"/>
        <v>510.31800000000294</v>
      </c>
      <c r="G87" s="194">
        <f t="shared" si="43"/>
        <v>768</v>
      </c>
      <c r="H87" s="194">
        <f t="shared" si="43"/>
        <v>3186</v>
      </c>
      <c r="I87" s="194">
        <f t="shared" si="43"/>
        <v>11239</v>
      </c>
      <c r="J87" s="194">
        <f t="shared" ref="J87" si="44">J77+J79-J81-J82-J83+J85+J86</f>
        <v>-55201.987771569773</v>
      </c>
      <c r="K87" s="194">
        <f t="shared" ref="K87" si="45">K77+K79-K81-K82-K83+K85+K86</f>
        <v>-28464.611298502568</v>
      </c>
      <c r="L87" s="194">
        <f t="shared" ref="L87" si="46">L77+L79-L81-L82-L83+L85+L86</f>
        <v>-100792.32913460063</v>
      </c>
      <c r="M87" s="194">
        <f t="shared" ref="M87" si="47">M77+M79-M81-M82-M83+M85+M86</f>
        <v>-99242.87543947497</v>
      </c>
      <c r="N87" s="169"/>
      <c r="O87" s="43"/>
      <c r="P87" s="171"/>
      <c r="Q87" s="171"/>
      <c r="R87" s="171"/>
      <c r="S87" s="171"/>
      <c r="T87" s="171"/>
      <c r="U87" s="171"/>
      <c r="V87" s="171"/>
      <c r="W87" s="171"/>
      <c r="X87" s="171"/>
      <c r="Y87" s="171"/>
      <c r="Z87" s="171"/>
      <c r="AA87" s="171"/>
    </row>
    <row r="88" spans="1:27" x14ac:dyDescent="0.2">
      <c r="B88" s="21"/>
      <c r="C88" s="19"/>
      <c r="N88" s="43"/>
      <c r="O88" s="43"/>
      <c r="P88" s="171"/>
      <c r="Q88" s="171"/>
      <c r="R88" s="171"/>
      <c r="S88" s="171"/>
      <c r="T88" s="171"/>
      <c r="U88" s="171"/>
      <c r="V88" s="171"/>
      <c r="W88" s="171"/>
      <c r="X88" s="171"/>
      <c r="Y88" s="171"/>
      <c r="Z88" s="171"/>
      <c r="AA88" s="171"/>
    </row>
    <row r="89" spans="1:27" x14ac:dyDescent="0.2">
      <c r="I89" s="19"/>
      <c r="J89" s="43"/>
      <c r="K89" s="43"/>
      <c r="L89" s="43"/>
      <c r="M89" s="43"/>
      <c r="N89" s="43"/>
      <c r="O89" s="43"/>
    </row>
    <row r="90" spans="1:27" x14ac:dyDescent="0.2">
      <c r="I90" s="19"/>
      <c r="J90" s="43"/>
      <c r="K90" s="43"/>
      <c r="L90" s="43"/>
      <c r="M90" s="43"/>
      <c r="N90" s="43"/>
    </row>
    <row r="91" spans="1:27" x14ac:dyDescent="0.2">
      <c r="A91" s="19"/>
      <c r="B91" s="21"/>
      <c r="C91" s="19"/>
      <c r="I91" s="19"/>
      <c r="J91" s="43"/>
      <c r="K91" s="43"/>
      <c r="L91" s="43"/>
      <c r="M91" s="43"/>
      <c r="N91" s="43"/>
    </row>
  </sheetData>
  <mergeCells count="9">
    <mergeCell ref="B74:C74"/>
    <mergeCell ref="D74:I74"/>
    <mergeCell ref="J74:M74"/>
    <mergeCell ref="J6:M6"/>
    <mergeCell ref="D6:I6"/>
    <mergeCell ref="B6:C6"/>
    <mergeCell ref="B42:C42"/>
    <mergeCell ref="D42:I42"/>
    <mergeCell ref="J42:M42"/>
  </mergeCells>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DCF</vt:lpstr>
      <vt:lpstr>Revenue</vt:lpstr>
      <vt:lpstr>income</vt:lpstr>
      <vt:lpstr>balance</vt:lpstr>
      <vt:lpstr>cashflow</vt:lpstr>
      <vt:lpstr>Debt</vt:lpstr>
      <vt:lpstr>Competitors</vt:lpstr>
      <vt:lpstr>valuation</vt:lpstr>
      <vt:lpstr>rate</vt:lpstr>
      <vt:lpstr>forcast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2022-02-08T00:48:27Z</dcterms:created>
  <dcterms:modified xsi:type="dcterms:W3CDTF">2022-02-22T03:12:45Z</dcterms:modified>
</cp:coreProperties>
</file>