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defaultThemeVersion="166925"/>
  <mc:AlternateContent xmlns:mc="http://schemas.openxmlformats.org/markup-compatibility/2006">
    <mc:Choice Requires="x15">
      <x15ac:absPath xmlns:x15ac="http://schemas.microsoft.com/office/spreadsheetml/2010/11/ac" url="/Users/vl/Desktop/PycharmProjects/GitHub/Fundamental/Direct valuation/"/>
    </mc:Choice>
  </mc:AlternateContent>
  <xr:revisionPtr revIDLastSave="0" documentId="13_ncr:1_{563E2ED9-DD6C-1C40-9601-79FC7E47072E}" xr6:coauthVersionLast="47" xr6:coauthVersionMax="47" xr10:uidLastSave="{00000000-0000-0000-0000-000000000000}"/>
  <bookViews>
    <workbookView xWindow="45880" yWindow="500" windowWidth="48580" windowHeight="28300" xr2:uid="{FB38C9C3-63EC-E541-8926-FAD826E7071A}"/>
  </bookViews>
  <sheets>
    <sheet name="DCF" sheetId="1" r:id="rId1"/>
    <sheet name="Revenue" sheetId="2" r:id="rId2"/>
    <sheet name="Financial Statements" sheetId="3" r:id="rId3"/>
  </sheets>
  <externalReferences>
    <externalReference r:id="rId4"/>
  </externalReference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C43" i="1" l="1"/>
  <c r="E8" i="1"/>
  <c r="F8" i="1"/>
  <c r="G8" i="1"/>
  <c r="E5" i="1"/>
  <c r="F5" i="1"/>
  <c r="G5" i="1"/>
  <c r="H5" i="1"/>
  <c r="I5" i="1"/>
  <c r="J5" i="1"/>
  <c r="K5" i="1"/>
  <c r="L5" i="1"/>
  <c r="M5" i="1"/>
  <c r="N5" i="1"/>
  <c r="O5" i="1"/>
  <c r="R11" i="3"/>
  <c r="S11" i="3"/>
  <c r="T11" i="3"/>
  <c r="U11" i="3"/>
  <c r="V11" i="3"/>
  <c r="W11" i="3"/>
  <c r="X11" i="3"/>
  <c r="Y11" i="3"/>
  <c r="Z11" i="3"/>
  <c r="I3" i="3"/>
  <c r="E3" i="3"/>
  <c r="E31" i="3"/>
  <c r="F3" i="3"/>
  <c r="F31" i="3"/>
  <c r="G3" i="3"/>
  <c r="G31" i="3"/>
  <c r="H3" i="3"/>
  <c r="H31" i="3"/>
  <c r="I31" i="3"/>
  <c r="I5" i="3"/>
  <c r="F32" i="3"/>
  <c r="G32" i="3"/>
  <c r="H32" i="3"/>
  <c r="I32" i="3"/>
  <c r="I6" i="3"/>
  <c r="H33" i="3"/>
  <c r="I33" i="3"/>
  <c r="I7" i="3"/>
  <c r="I9" i="3"/>
  <c r="I10" i="3"/>
  <c r="H121" i="3"/>
  <c r="I121" i="3"/>
  <c r="I85" i="3"/>
  <c r="H122" i="3"/>
  <c r="I122" i="3"/>
  <c r="I88" i="3"/>
  <c r="H125" i="3"/>
  <c r="I125" i="3"/>
  <c r="I91" i="3"/>
  <c r="E28" i="3"/>
  <c r="F28" i="3"/>
  <c r="G28" i="3"/>
  <c r="H28" i="3"/>
  <c r="I28" i="3"/>
  <c r="I14" i="3"/>
  <c r="I16" i="3"/>
  <c r="E27" i="3"/>
  <c r="F27" i="3"/>
  <c r="G27" i="3"/>
  <c r="H27" i="3"/>
  <c r="I27" i="3"/>
  <c r="I17" i="3"/>
  <c r="I18" i="3"/>
  <c r="E34" i="3"/>
  <c r="F34" i="3"/>
  <c r="G34" i="3"/>
  <c r="H34" i="3"/>
  <c r="I34" i="3"/>
  <c r="I19" i="3"/>
  <c r="I20" i="3"/>
  <c r="E42" i="3"/>
  <c r="G42" i="3"/>
  <c r="H42" i="3"/>
  <c r="I42" i="3"/>
  <c r="I25" i="3"/>
  <c r="I23" i="3"/>
  <c r="V24" i="3"/>
  <c r="J3" i="3"/>
  <c r="J5" i="3"/>
  <c r="J6" i="3"/>
  <c r="J7" i="3"/>
  <c r="J9" i="3"/>
  <c r="J10" i="3"/>
  <c r="J121" i="3"/>
  <c r="J85" i="3"/>
  <c r="J122" i="3"/>
  <c r="J88" i="3"/>
  <c r="J125" i="3"/>
  <c r="J91" i="3"/>
  <c r="J28" i="3"/>
  <c r="J14" i="3"/>
  <c r="J16" i="3"/>
  <c r="J17" i="3"/>
  <c r="J18" i="3"/>
  <c r="J34" i="3"/>
  <c r="J19" i="3"/>
  <c r="J20" i="3"/>
  <c r="J42" i="3"/>
  <c r="J25" i="3"/>
  <c r="J23" i="3"/>
  <c r="W24" i="3"/>
  <c r="K3" i="3"/>
  <c r="K5" i="3"/>
  <c r="K6" i="3"/>
  <c r="K7" i="3"/>
  <c r="K9" i="3"/>
  <c r="K10" i="3"/>
  <c r="K121" i="3"/>
  <c r="K85" i="3"/>
  <c r="K122" i="3"/>
  <c r="K88" i="3"/>
  <c r="K125" i="3"/>
  <c r="K91" i="3"/>
  <c r="K28" i="3"/>
  <c r="K14" i="3"/>
  <c r="K16" i="3"/>
  <c r="K17" i="3"/>
  <c r="K18" i="3"/>
  <c r="K34" i="3"/>
  <c r="K19" i="3"/>
  <c r="K20" i="3"/>
  <c r="K42" i="3"/>
  <c r="K25" i="3"/>
  <c r="K23" i="3"/>
  <c r="X24" i="3"/>
  <c r="L3" i="3"/>
  <c r="L5" i="3"/>
  <c r="L6" i="3"/>
  <c r="L7" i="3"/>
  <c r="L9" i="3"/>
  <c r="L10" i="3"/>
  <c r="L121" i="3"/>
  <c r="L85" i="3"/>
  <c r="L122" i="3"/>
  <c r="L88" i="3"/>
  <c r="L125" i="3"/>
  <c r="L91" i="3"/>
  <c r="L28" i="3"/>
  <c r="L14" i="3"/>
  <c r="L16" i="3"/>
  <c r="L17" i="3"/>
  <c r="L18" i="3"/>
  <c r="L34" i="3"/>
  <c r="L19" i="3"/>
  <c r="L20" i="3"/>
  <c r="L42" i="3"/>
  <c r="L25" i="3"/>
  <c r="L23" i="3"/>
  <c r="Y24" i="3"/>
  <c r="M3" i="3"/>
  <c r="M5" i="3"/>
  <c r="M6" i="3"/>
  <c r="M7" i="3"/>
  <c r="M9" i="3"/>
  <c r="M10" i="3"/>
  <c r="M121" i="3"/>
  <c r="M85" i="3"/>
  <c r="M122" i="3"/>
  <c r="M88" i="3"/>
  <c r="M125" i="3"/>
  <c r="M91" i="3"/>
  <c r="M28" i="3"/>
  <c r="M14" i="3"/>
  <c r="M16" i="3"/>
  <c r="M17" i="3"/>
  <c r="M18" i="3"/>
  <c r="M34" i="3"/>
  <c r="M19" i="3"/>
  <c r="M20" i="3"/>
  <c r="M42" i="3"/>
  <c r="M25" i="3"/>
  <c r="M23" i="3"/>
  <c r="Z24" i="3"/>
  <c r="U24" i="3"/>
  <c r="E41" i="3"/>
  <c r="G41" i="3"/>
  <c r="H41" i="3"/>
  <c r="I41" i="3"/>
  <c r="I24" i="3"/>
  <c r="I22" i="3"/>
  <c r="J41" i="3"/>
  <c r="J24" i="3"/>
  <c r="J22" i="3"/>
  <c r="K41" i="3"/>
  <c r="K24" i="3"/>
  <c r="K22" i="3"/>
  <c r="L41" i="3"/>
  <c r="L24" i="3"/>
  <c r="L22" i="3"/>
  <c r="M41" i="3"/>
  <c r="M24" i="3"/>
  <c r="M22" i="3"/>
  <c r="N41" i="3"/>
  <c r="N42" i="3"/>
  <c r="F225" i="3"/>
  <c r="G225" i="3"/>
  <c r="H225" i="3"/>
  <c r="I225" i="3"/>
  <c r="I185" i="3"/>
  <c r="I97" i="3"/>
  <c r="E226" i="3"/>
  <c r="F226" i="3"/>
  <c r="G226" i="3"/>
  <c r="I226" i="3"/>
  <c r="I191" i="3"/>
  <c r="E108" i="3"/>
  <c r="F108" i="3"/>
  <c r="G108" i="3"/>
  <c r="H108" i="3"/>
  <c r="I108" i="3"/>
  <c r="I66" i="3"/>
  <c r="E111" i="3"/>
  <c r="F111" i="3"/>
  <c r="G111" i="3"/>
  <c r="H111" i="3"/>
  <c r="I111" i="3"/>
  <c r="I69" i="3"/>
  <c r="G227" i="3"/>
  <c r="H227" i="3"/>
  <c r="I227" i="3"/>
  <c r="I193" i="3"/>
  <c r="E228" i="3"/>
  <c r="F228" i="3"/>
  <c r="G228" i="3"/>
  <c r="H228" i="3"/>
  <c r="I228" i="3"/>
  <c r="I194" i="3"/>
  <c r="E229" i="3"/>
  <c r="F229" i="3"/>
  <c r="G229" i="3"/>
  <c r="H229" i="3"/>
  <c r="I229" i="3"/>
  <c r="I196" i="3"/>
  <c r="E230" i="3"/>
  <c r="F230" i="3"/>
  <c r="G230" i="3"/>
  <c r="H230" i="3"/>
  <c r="I230" i="3"/>
  <c r="I197" i="3"/>
  <c r="E231" i="3"/>
  <c r="F231" i="3"/>
  <c r="G231" i="3"/>
  <c r="H231" i="3"/>
  <c r="I231" i="3"/>
  <c r="I199" i="3"/>
  <c r="I201" i="3"/>
  <c r="I129" i="3"/>
  <c r="E221" i="3"/>
  <c r="F221" i="3"/>
  <c r="G221" i="3"/>
  <c r="H221" i="3"/>
  <c r="I221" i="3"/>
  <c r="I131" i="3"/>
  <c r="E105" i="3"/>
  <c r="F105" i="3"/>
  <c r="G105" i="3"/>
  <c r="H105" i="3"/>
  <c r="I105" i="3"/>
  <c r="I61" i="3"/>
  <c r="I148" i="3"/>
  <c r="E106" i="3"/>
  <c r="F106" i="3"/>
  <c r="G106" i="3"/>
  <c r="H106" i="3"/>
  <c r="I106" i="3"/>
  <c r="I62" i="3"/>
  <c r="I149" i="3"/>
  <c r="E107" i="3"/>
  <c r="F107" i="3"/>
  <c r="G107" i="3"/>
  <c r="H107" i="3"/>
  <c r="I107" i="3"/>
  <c r="I63" i="3"/>
  <c r="I151" i="3"/>
  <c r="E116" i="3"/>
  <c r="F116" i="3"/>
  <c r="G116" i="3"/>
  <c r="H116" i="3"/>
  <c r="I116" i="3"/>
  <c r="I80" i="3"/>
  <c r="I152" i="3"/>
  <c r="E117" i="3"/>
  <c r="F117" i="3"/>
  <c r="G117" i="3"/>
  <c r="H117" i="3"/>
  <c r="I117" i="3"/>
  <c r="I81" i="3"/>
  <c r="I153" i="3"/>
  <c r="E118" i="3"/>
  <c r="F118" i="3"/>
  <c r="G118" i="3"/>
  <c r="H118" i="3"/>
  <c r="I118" i="3"/>
  <c r="I82" i="3"/>
  <c r="I154" i="3"/>
  <c r="E120" i="3"/>
  <c r="F120" i="3"/>
  <c r="G120" i="3"/>
  <c r="H120" i="3"/>
  <c r="I120" i="3"/>
  <c r="I84" i="3"/>
  <c r="I156" i="3"/>
  <c r="I157" i="3"/>
  <c r="E113" i="3"/>
  <c r="F113" i="3"/>
  <c r="G113" i="3"/>
  <c r="H113" i="3"/>
  <c r="I113" i="3"/>
  <c r="I75" i="3"/>
  <c r="I158" i="3"/>
  <c r="I163" i="3"/>
  <c r="I164" i="3"/>
  <c r="E223" i="3"/>
  <c r="F223" i="3"/>
  <c r="G223" i="3"/>
  <c r="H223" i="3"/>
  <c r="I223" i="3"/>
  <c r="I167" i="3"/>
  <c r="G109" i="3"/>
  <c r="H109" i="3"/>
  <c r="I109" i="3"/>
  <c r="I67" i="3"/>
  <c r="I168" i="3"/>
  <c r="I175" i="3"/>
  <c r="I216" i="3"/>
  <c r="I58" i="3"/>
  <c r="J225" i="3"/>
  <c r="J185" i="3"/>
  <c r="J97" i="3"/>
  <c r="J226" i="3"/>
  <c r="J191" i="3"/>
  <c r="J108" i="3"/>
  <c r="J66" i="3"/>
  <c r="J111" i="3"/>
  <c r="J69" i="3"/>
  <c r="J227" i="3"/>
  <c r="J193" i="3"/>
  <c r="J228" i="3"/>
  <c r="J194" i="3"/>
  <c r="J229" i="3"/>
  <c r="J196" i="3"/>
  <c r="J230" i="3"/>
  <c r="J197" i="3"/>
  <c r="J231" i="3"/>
  <c r="J199" i="3"/>
  <c r="J201" i="3"/>
  <c r="J129" i="3"/>
  <c r="J221" i="3"/>
  <c r="J131" i="3"/>
  <c r="J105" i="3"/>
  <c r="J61" i="3"/>
  <c r="J148" i="3"/>
  <c r="J106" i="3"/>
  <c r="J62" i="3"/>
  <c r="J149" i="3"/>
  <c r="J107" i="3"/>
  <c r="J63" i="3"/>
  <c r="J151" i="3"/>
  <c r="J116" i="3"/>
  <c r="J80" i="3"/>
  <c r="J152" i="3"/>
  <c r="J81" i="3"/>
  <c r="J153" i="3"/>
  <c r="J118" i="3"/>
  <c r="J82" i="3"/>
  <c r="J154" i="3"/>
  <c r="J120" i="3"/>
  <c r="J84" i="3"/>
  <c r="J156" i="3"/>
  <c r="J157" i="3"/>
  <c r="J113" i="3"/>
  <c r="J75" i="3"/>
  <c r="J158" i="3"/>
  <c r="J163" i="3"/>
  <c r="J164" i="3"/>
  <c r="J223" i="3"/>
  <c r="J167" i="3"/>
  <c r="J109" i="3"/>
  <c r="J67" i="3"/>
  <c r="J168" i="3"/>
  <c r="J175" i="3"/>
  <c r="J216" i="3"/>
  <c r="J58" i="3"/>
  <c r="K225" i="3"/>
  <c r="K185" i="3"/>
  <c r="K97" i="3"/>
  <c r="K226" i="3"/>
  <c r="K191" i="3"/>
  <c r="K108" i="3"/>
  <c r="K66" i="3"/>
  <c r="K111" i="3"/>
  <c r="K69" i="3"/>
  <c r="K227" i="3"/>
  <c r="K193" i="3"/>
  <c r="K228" i="3"/>
  <c r="K194" i="3"/>
  <c r="K229" i="3"/>
  <c r="K196" i="3"/>
  <c r="K230" i="3"/>
  <c r="K197" i="3"/>
  <c r="K231" i="3"/>
  <c r="K199" i="3"/>
  <c r="K201" i="3"/>
  <c r="K129" i="3"/>
  <c r="K221" i="3"/>
  <c r="K131" i="3"/>
  <c r="K105" i="3"/>
  <c r="K61" i="3"/>
  <c r="K148" i="3"/>
  <c r="K106" i="3"/>
  <c r="K62" i="3"/>
  <c r="K149" i="3"/>
  <c r="K107" i="3"/>
  <c r="K63" i="3"/>
  <c r="K151" i="3"/>
  <c r="K116" i="3"/>
  <c r="K80" i="3"/>
  <c r="K152" i="3"/>
  <c r="K81" i="3"/>
  <c r="K153" i="3"/>
  <c r="K118" i="3"/>
  <c r="K82" i="3"/>
  <c r="K154" i="3"/>
  <c r="K120" i="3"/>
  <c r="K84" i="3"/>
  <c r="K156" i="3"/>
  <c r="K157" i="3"/>
  <c r="K113" i="3"/>
  <c r="K75" i="3"/>
  <c r="K158" i="3"/>
  <c r="K163" i="3"/>
  <c r="K164" i="3"/>
  <c r="K223" i="3"/>
  <c r="K167" i="3"/>
  <c r="K109" i="3"/>
  <c r="K67" i="3"/>
  <c r="K168" i="3"/>
  <c r="K175" i="3"/>
  <c r="K216" i="3"/>
  <c r="K58" i="3"/>
  <c r="L225" i="3"/>
  <c r="L185" i="3"/>
  <c r="L97" i="3"/>
  <c r="L226" i="3"/>
  <c r="L191" i="3"/>
  <c r="L108" i="3"/>
  <c r="L66" i="3"/>
  <c r="L111" i="3"/>
  <c r="L69" i="3"/>
  <c r="L227" i="3"/>
  <c r="L193" i="3"/>
  <c r="L228" i="3"/>
  <c r="L194" i="3"/>
  <c r="L229" i="3"/>
  <c r="L196" i="3"/>
  <c r="L230" i="3"/>
  <c r="L197" i="3"/>
  <c r="L231" i="3"/>
  <c r="L199" i="3"/>
  <c r="L201" i="3"/>
  <c r="L129" i="3"/>
  <c r="L221" i="3"/>
  <c r="L131" i="3"/>
  <c r="L105" i="3"/>
  <c r="L61" i="3"/>
  <c r="L148" i="3"/>
  <c r="L106" i="3"/>
  <c r="L62" i="3"/>
  <c r="L149" i="3"/>
  <c r="L107" i="3"/>
  <c r="L63" i="3"/>
  <c r="L151" i="3"/>
  <c r="L116" i="3"/>
  <c r="L80" i="3"/>
  <c r="L152" i="3"/>
  <c r="L81" i="3"/>
  <c r="L153" i="3"/>
  <c r="L118" i="3"/>
  <c r="L82" i="3"/>
  <c r="L154" i="3"/>
  <c r="L120" i="3"/>
  <c r="L84" i="3"/>
  <c r="L156" i="3"/>
  <c r="L157" i="3"/>
  <c r="L113" i="3"/>
  <c r="L75" i="3"/>
  <c r="L158" i="3"/>
  <c r="L163" i="3"/>
  <c r="L164" i="3"/>
  <c r="L223" i="3"/>
  <c r="L167" i="3"/>
  <c r="L109" i="3"/>
  <c r="L67" i="3"/>
  <c r="L168" i="3"/>
  <c r="L175" i="3"/>
  <c r="L216" i="3"/>
  <c r="L58" i="3"/>
  <c r="M225" i="3"/>
  <c r="M185" i="3"/>
  <c r="M97" i="3"/>
  <c r="M226" i="3"/>
  <c r="M191" i="3"/>
  <c r="M108" i="3"/>
  <c r="M66" i="3"/>
  <c r="M111" i="3"/>
  <c r="M69" i="3"/>
  <c r="M227" i="3"/>
  <c r="M193" i="3"/>
  <c r="M228" i="3"/>
  <c r="M194" i="3"/>
  <c r="M229" i="3"/>
  <c r="M196" i="3"/>
  <c r="M230" i="3"/>
  <c r="M197" i="3"/>
  <c r="M231" i="3"/>
  <c r="M199" i="3"/>
  <c r="M201" i="3"/>
  <c r="M129" i="3"/>
  <c r="M221" i="3"/>
  <c r="M131" i="3"/>
  <c r="M105" i="3"/>
  <c r="M61" i="3"/>
  <c r="M148" i="3"/>
  <c r="M106" i="3"/>
  <c r="M62" i="3"/>
  <c r="M149" i="3"/>
  <c r="M107" i="3"/>
  <c r="M63" i="3"/>
  <c r="M151" i="3"/>
  <c r="M116" i="3"/>
  <c r="M80" i="3"/>
  <c r="M152" i="3"/>
  <c r="M81" i="3"/>
  <c r="M153" i="3"/>
  <c r="M118" i="3"/>
  <c r="M82" i="3"/>
  <c r="M154" i="3"/>
  <c r="M120" i="3"/>
  <c r="M84" i="3"/>
  <c r="M156" i="3"/>
  <c r="M157" i="3"/>
  <c r="M113" i="3"/>
  <c r="M75" i="3"/>
  <c r="M158" i="3"/>
  <c r="M163" i="3"/>
  <c r="M164" i="3"/>
  <c r="M223" i="3"/>
  <c r="M167" i="3"/>
  <c r="M109" i="3"/>
  <c r="M67" i="3"/>
  <c r="M168" i="3"/>
  <c r="M175" i="3"/>
  <c r="M216" i="3"/>
  <c r="M58" i="3"/>
  <c r="H216" i="3"/>
  <c r="J19" i="1"/>
  <c r="S9" i="1"/>
  <c r="S10" i="1"/>
  <c r="S14" i="1"/>
  <c r="B45" i="1"/>
  <c r="J45" i="1"/>
  <c r="B54" i="1"/>
  <c r="B67" i="1"/>
  <c r="B68" i="1"/>
  <c r="B77" i="1"/>
  <c r="B76" i="1"/>
  <c r="B66" i="1"/>
  <c r="B65" i="1"/>
  <c r="B74" i="1"/>
  <c r="O14" i="1"/>
  <c r="O12" i="1"/>
  <c r="O8" i="1"/>
  <c r="O18" i="1"/>
  <c r="O21" i="1"/>
  <c r="O23" i="1"/>
  <c r="O25" i="1"/>
  <c r="B44" i="1"/>
  <c r="C44" i="1"/>
  <c r="K14" i="1"/>
  <c r="K12" i="1"/>
  <c r="K8" i="1"/>
  <c r="K18" i="1"/>
  <c r="K21" i="1"/>
  <c r="K23" i="1"/>
  <c r="K25" i="1"/>
  <c r="K31" i="1"/>
  <c r="L14" i="1"/>
  <c r="L12" i="1"/>
  <c r="L8" i="1"/>
  <c r="L18" i="1"/>
  <c r="L21" i="1"/>
  <c r="L23" i="1"/>
  <c r="L25" i="1"/>
  <c r="L31" i="1"/>
  <c r="M14" i="1"/>
  <c r="M12" i="1"/>
  <c r="M8" i="1"/>
  <c r="M18" i="1"/>
  <c r="M21" i="1"/>
  <c r="M23" i="1"/>
  <c r="M25" i="1"/>
  <c r="M31" i="1"/>
  <c r="N14" i="1"/>
  <c r="N12" i="1"/>
  <c r="N8" i="1"/>
  <c r="N18" i="1"/>
  <c r="N21" i="1"/>
  <c r="N23" i="1"/>
  <c r="N25" i="1"/>
  <c r="N31" i="1"/>
  <c r="O31" i="1"/>
  <c r="H31" i="1"/>
  <c r="K44" i="1"/>
  <c r="R39" i="1"/>
  <c r="R40" i="1"/>
  <c r="S39" i="1"/>
  <c r="S40" i="1"/>
  <c r="C53" i="1"/>
  <c r="D44" i="1"/>
  <c r="L44" i="1"/>
  <c r="D53" i="1"/>
  <c r="E44" i="1"/>
  <c r="M44" i="1"/>
  <c r="E53" i="1"/>
  <c r="F44" i="1"/>
  <c r="N44" i="1"/>
  <c r="F53" i="1"/>
  <c r="G44" i="1"/>
  <c r="O44" i="1"/>
  <c r="G53" i="1"/>
  <c r="C45" i="1"/>
  <c r="K32" i="1"/>
  <c r="L32" i="1"/>
  <c r="M32" i="1"/>
  <c r="N32" i="1"/>
  <c r="O32" i="1"/>
  <c r="H32" i="1"/>
  <c r="K45" i="1"/>
  <c r="R41" i="1"/>
  <c r="S41" i="1"/>
  <c r="C54" i="1"/>
  <c r="D45" i="1"/>
  <c r="L45" i="1"/>
  <c r="D54" i="1"/>
  <c r="E45" i="1"/>
  <c r="M45" i="1"/>
  <c r="E54" i="1"/>
  <c r="F45" i="1"/>
  <c r="N45" i="1"/>
  <c r="F54" i="1"/>
  <c r="G45" i="1"/>
  <c r="O45" i="1"/>
  <c r="G54" i="1"/>
  <c r="B46" i="1"/>
  <c r="C46" i="1"/>
  <c r="K33" i="1"/>
  <c r="L33" i="1"/>
  <c r="M33" i="1"/>
  <c r="N33" i="1"/>
  <c r="O33" i="1"/>
  <c r="H33" i="1"/>
  <c r="K46" i="1"/>
  <c r="R42" i="1"/>
  <c r="S42" i="1"/>
  <c r="C55" i="1"/>
  <c r="D46" i="1"/>
  <c r="L46" i="1"/>
  <c r="D55" i="1"/>
  <c r="E46" i="1"/>
  <c r="M46" i="1"/>
  <c r="E55" i="1"/>
  <c r="F46" i="1"/>
  <c r="N46" i="1"/>
  <c r="F55" i="1"/>
  <c r="G46" i="1"/>
  <c r="O46" i="1"/>
  <c r="G55" i="1"/>
  <c r="B47" i="1"/>
  <c r="C47" i="1"/>
  <c r="K34" i="1"/>
  <c r="L34" i="1"/>
  <c r="M34" i="1"/>
  <c r="N34" i="1"/>
  <c r="O34" i="1"/>
  <c r="H34" i="1"/>
  <c r="K47" i="1"/>
  <c r="R43" i="1"/>
  <c r="S43" i="1"/>
  <c r="C56" i="1"/>
  <c r="D47" i="1"/>
  <c r="L47" i="1"/>
  <c r="D56" i="1"/>
  <c r="E47" i="1"/>
  <c r="M47" i="1"/>
  <c r="E56" i="1"/>
  <c r="F47" i="1"/>
  <c r="N47" i="1"/>
  <c r="F56" i="1"/>
  <c r="G47" i="1"/>
  <c r="O47" i="1"/>
  <c r="G56" i="1"/>
  <c r="B43" i="1"/>
  <c r="D43" i="1"/>
  <c r="K30" i="1"/>
  <c r="L30" i="1"/>
  <c r="M30" i="1"/>
  <c r="N30" i="1"/>
  <c r="O30" i="1"/>
  <c r="H30" i="1"/>
  <c r="L43" i="1"/>
  <c r="D52" i="1"/>
  <c r="E43" i="1"/>
  <c r="M43" i="1"/>
  <c r="E52" i="1"/>
  <c r="F43" i="1"/>
  <c r="N43" i="1"/>
  <c r="F52" i="1"/>
  <c r="G43" i="1"/>
  <c r="O43" i="1"/>
  <c r="G52" i="1"/>
  <c r="K43" i="1"/>
  <c r="C52" i="1"/>
  <c r="E67" i="1"/>
  <c r="M67" i="1"/>
  <c r="E76" i="1"/>
  <c r="D65" i="1"/>
  <c r="L65" i="1"/>
  <c r="D74" i="1"/>
  <c r="E65" i="1"/>
  <c r="M65" i="1"/>
  <c r="E74" i="1"/>
  <c r="F65" i="1"/>
  <c r="N65" i="1"/>
  <c r="F74" i="1"/>
  <c r="G65" i="1"/>
  <c r="O65" i="1"/>
  <c r="G74" i="1"/>
  <c r="D66" i="1"/>
  <c r="L66" i="1"/>
  <c r="D75" i="1"/>
  <c r="E66" i="1"/>
  <c r="M66" i="1"/>
  <c r="E75" i="1"/>
  <c r="F66" i="1"/>
  <c r="N66" i="1"/>
  <c r="F75" i="1"/>
  <c r="G66" i="1"/>
  <c r="O66" i="1"/>
  <c r="G75" i="1"/>
  <c r="D67" i="1"/>
  <c r="L67" i="1"/>
  <c r="D76" i="1"/>
  <c r="F67" i="1"/>
  <c r="N67" i="1"/>
  <c r="F76" i="1"/>
  <c r="G67" i="1"/>
  <c r="O67" i="1"/>
  <c r="G76" i="1"/>
  <c r="D68" i="1"/>
  <c r="L68" i="1"/>
  <c r="D77" i="1"/>
  <c r="E68" i="1"/>
  <c r="M68" i="1"/>
  <c r="E77" i="1"/>
  <c r="F68" i="1"/>
  <c r="N68" i="1"/>
  <c r="F77" i="1"/>
  <c r="G68" i="1"/>
  <c r="O68" i="1"/>
  <c r="G77" i="1"/>
  <c r="B69" i="1"/>
  <c r="D69" i="1"/>
  <c r="L69" i="1"/>
  <c r="D78" i="1"/>
  <c r="E69" i="1"/>
  <c r="M69" i="1"/>
  <c r="E78" i="1"/>
  <c r="F69" i="1"/>
  <c r="N69" i="1"/>
  <c r="F78" i="1"/>
  <c r="G69" i="1"/>
  <c r="O69" i="1"/>
  <c r="G78" i="1"/>
  <c r="C66" i="1"/>
  <c r="K66" i="1"/>
  <c r="C75" i="1"/>
  <c r="C67" i="1"/>
  <c r="K67" i="1"/>
  <c r="C76" i="1"/>
  <c r="C68" i="1"/>
  <c r="K68" i="1"/>
  <c r="C77" i="1"/>
  <c r="C69" i="1"/>
  <c r="K69" i="1"/>
  <c r="C78" i="1"/>
  <c r="C65" i="1"/>
  <c r="K65" i="1"/>
  <c r="C74" i="1"/>
  <c r="E225" i="3"/>
  <c r="F216" i="3"/>
  <c r="G216" i="3"/>
  <c r="E216" i="3"/>
  <c r="F227" i="3"/>
  <c r="E227" i="3"/>
  <c r="H226" i="3"/>
  <c r="E178" i="3"/>
  <c r="F178" i="3"/>
  <c r="G178" i="3"/>
  <c r="H178" i="3"/>
  <c r="I178" i="3"/>
  <c r="J178" i="3"/>
  <c r="K178" i="3"/>
  <c r="L178" i="3"/>
  <c r="M178" i="3"/>
  <c r="E179" i="3"/>
  <c r="F179" i="3"/>
  <c r="G179" i="3"/>
  <c r="H179" i="3"/>
  <c r="I179" i="3"/>
  <c r="J179" i="3"/>
  <c r="K179" i="3"/>
  <c r="L179" i="3"/>
  <c r="M179" i="3"/>
  <c r="E181" i="3"/>
  <c r="F181" i="3"/>
  <c r="G181" i="3"/>
  <c r="H181" i="3"/>
  <c r="I181" i="3"/>
  <c r="J181" i="3"/>
  <c r="K181" i="3"/>
  <c r="L181" i="3"/>
  <c r="M181" i="3"/>
  <c r="F148" i="3"/>
  <c r="F149" i="3"/>
  <c r="F151" i="3"/>
  <c r="F152" i="3"/>
  <c r="F153" i="3"/>
  <c r="F154" i="3"/>
  <c r="F155" i="3"/>
  <c r="F156" i="3"/>
  <c r="F157" i="3"/>
  <c r="G148" i="3"/>
  <c r="G149" i="3"/>
  <c r="G151" i="3"/>
  <c r="G152" i="3"/>
  <c r="G153" i="3"/>
  <c r="G154" i="3"/>
  <c r="G155" i="3"/>
  <c r="G156" i="3"/>
  <c r="G157" i="3"/>
  <c r="H148" i="3"/>
  <c r="H149" i="3"/>
  <c r="H151" i="3"/>
  <c r="H152" i="3"/>
  <c r="H153" i="3"/>
  <c r="H154" i="3"/>
  <c r="H156" i="3"/>
  <c r="H157" i="3"/>
  <c r="E148" i="3"/>
  <c r="E149" i="3"/>
  <c r="E151" i="3"/>
  <c r="E152" i="3"/>
  <c r="E153" i="3"/>
  <c r="E154" i="3"/>
  <c r="E155" i="3"/>
  <c r="E156" i="3"/>
  <c r="E157" i="3"/>
  <c r="H110" i="3"/>
  <c r="F110" i="3"/>
  <c r="G110" i="3"/>
  <c r="J110" i="3"/>
  <c r="J68" i="3"/>
  <c r="K110" i="3"/>
  <c r="K68" i="3"/>
  <c r="L110" i="3"/>
  <c r="L68" i="3"/>
  <c r="M110" i="3"/>
  <c r="M68" i="3"/>
  <c r="I110" i="3"/>
  <c r="I68" i="3"/>
  <c r="E110" i="3"/>
  <c r="I99" i="3"/>
  <c r="J99" i="3"/>
  <c r="J100" i="3"/>
  <c r="K99" i="3"/>
  <c r="K100" i="3"/>
  <c r="L99" i="3"/>
  <c r="L100" i="3"/>
  <c r="M99" i="3"/>
  <c r="M100" i="3"/>
  <c r="I100" i="3"/>
  <c r="K33" i="3"/>
  <c r="M33" i="3"/>
  <c r="L33" i="3"/>
  <c r="J33" i="3"/>
  <c r="U23" i="3"/>
  <c r="V23" i="3"/>
  <c r="W23" i="3"/>
  <c r="X23" i="3"/>
  <c r="Y23" i="3"/>
  <c r="Z23" i="3"/>
  <c r="H28" i="2"/>
  <c r="E123" i="3"/>
  <c r="F123" i="3"/>
  <c r="G123" i="3"/>
  <c r="H123" i="3"/>
  <c r="J123" i="3"/>
  <c r="J89" i="3"/>
  <c r="J92" i="3"/>
  <c r="J86" i="3"/>
  <c r="J93" i="3"/>
  <c r="J101" i="3"/>
  <c r="K123" i="3"/>
  <c r="K89" i="3"/>
  <c r="K92" i="3"/>
  <c r="K86" i="3"/>
  <c r="K93" i="3"/>
  <c r="K101" i="3"/>
  <c r="L123" i="3"/>
  <c r="L89" i="3"/>
  <c r="L92" i="3"/>
  <c r="L86" i="3"/>
  <c r="L93" i="3"/>
  <c r="L101" i="3"/>
  <c r="M123" i="3"/>
  <c r="M89" i="3"/>
  <c r="M92" i="3"/>
  <c r="M86" i="3"/>
  <c r="M93" i="3"/>
  <c r="M101" i="3"/>
  <c r="I123" i="3"/>
  <c r="I89" i="3"/>
  <c r="I92" i="3"/>
  <c r="I86" i="3"/>
  <c r="I93" i="3"/>
  <c r="I101" i="3"/>
  <c r="N107" i="3"/>
  <c r="N117" i="3"/>
  <c r="N118" i="3"/>
  <c r="E119" i="3"/>
  <c r="F119" i="3"/>
  <c r="N119" i="3"/>
  <c r="N120" i="3"/>
  <c r="E121" i="3"/>
  <c r="F121" i="3"/>
  <c r="G121" i="3"/>
  <c r="N121" i="3"/>
  <c r="E122" i="3"/>
  <c r="F122" i="3"/>
  <c r="G122" i="3"/>
  <c r="N122" i="3"/>
  <c r="N123" i="3"/>
  <c r="E125" i="3"/>
  <c r="F125" i="3"/>
  <c r="G125" i="3"/>
  <c r="N125" i="3"/>
  <c r="N116" i="3"/>
  <c r="N106" i="3"/>
  <c r="N108" i="3"/>
  <c r="E109" i="3"/>
  <c r="F109" i="3"/>
  <c r="N109" i="3"/>
  <c r="N110" i="3"/>
  <c r="N111" i="3"/>
  <c r="E112" i="3"/>
  <c r="F112" i="3"/>
  <c r="G112" i="3"/>
  <c r="H112" i="3"/>
  <c r="N112" i="3"/>
  <c r="N113" i="3"/>
  <c r="N105" i="3"/>
  <c r="I119" i="3"/>
  <c r="M32" i="3"/>
  <c r="L32" i="3"/>
  <c r="K9" i="2"/>
  <c r="J9" i="2"/>
  <c r="K10" i="2"/>
  <c r="I19" i="2"/>
  <c r="I21" i="2"/>
  <c r="I24" i="2"/>
  <c r="I27" i="2"/>
  <c r="I28" i="2"/>
  <c r="G28" i="2"/>
  <c r="F9" i="2"/>
  <c r="E9" i="2"/>
  <c r="F10" i="2"/>
  <c r="G9" i="2"/>
  <c r="G10" i="2"/>
  <c r="H9" i="2"/>
  <c r="H10" i="2"/>
  <c r="P10" i="2"/>
  <c r="E28" i="2"/>
  <c r="I17" i="2"/>
  <c r="I13" i="2"/>
  <c r="I18" i="2"/>
  <c r="I20" i="2"/>
  <c r="E37" i="2"/>
  <c r="F37" i="2"/>
  <c r="G37" i="2"/>
  <c r="H37" i="2"/>
  <c r="I37" i="2"/>
  <c r="I22" i="2"/>
  <c r="I23" i="2"/>
  <c r="E38" i="2"/>
  <c r="F38" i="2"/>
  <c r="G38" i="2"/>
  <c r="H38" i="2"/>
  <c r="I38" i="2"/>
  <c r="I25" i="2"/>
  <c r="E39" i="2"/>
  <c r="F39" i="2"/>
  <c r="G39" i="2"/>
  <c r="H39" i="2"/>
  <c r="I39" i="2"/>
  <c r="I26" i="2"/>
  <c r="I46" i="3"/>
  <c r="J17" i="2"/>
  <c r="J18" i="2"/>
  <c r="J19" i="2"/>
  <c r="J20" i="2"/>
  <c r="J21" i="2"/>
  <c r="J37" i="2"/>
  <c r="J22" i="2"/>
  <c r="J36" i="2"/>
  <c r="J23" i="2"/>
  <c r="J24" i="2"/>
  <c r="J38" i="2"/>
  <c r="J25" i="2"/>
  <c r="J39" i="2"/>
  <c r="J26" i="2"/>
  <c r="J27" i="2"/>
  <c r="J46" i="3"/>
  <c r="M17" i="2"/>
  <c r="M18" i="2"/>
  <c r="M19" i="2"/>
  <c r="M20" i="2"/>
  <c r="M21" i="2"/>
  <c r="K37" i="2"/>
  <c r="K22" i="2"/>
  <c r="L37" i="2"/>
  <c r="L22" i="2"/>
  <c r="M37" i="2"/>
  <c r="M22" i="2"/>
  <c r="K36" i="2"/>
  <c r="K23" i="2"/>
  <c r="L36" i="2"/>
  <c r="L23" i="2"/>
  <c r="M36" i="2"/>
  <c r="M23" i="2"/>
  <c r="M24" i="2"/>
  <c r="K38" i="2"/>
  <c r="K25" i="2"/>
  <c r="L38" i="2"/>
  <c r="L25" i="2"/>
  <c r="M38" i="2"/>
  <c r="M25" i="2"/>
  <c r="K39" i="2"/>
  <c r="K26" i="2"/>
  <c r="L39" i="2"/>
  <c r="L26" i="2"/>
  <c r="M39" i="2"/>
  <c r="M26" i="2"/>
  <c r="M27" i="2"/>
  <c r="L17" i="2"/>
  <c r="L18" i="2"/>
  <c r="L19" i="2"/>
  <c r="L20" i="2"/>
  <c r="L21" i="2"/>
  <c r="L24" i="2"/>
  <c r="L27" i="2"/>
  <c r="M49" i="3"/>
  <c r="K17" i="2"/>
  <c r="K18" i="2"/>
  <c r="K19" i="2"/>
  <c r="K20" i="2"/>
  <c r="K21" i="2"/>
  <c r="K24" i="2"/>
  <c r="K27" i="2"/>
  <c r="K46" i="3"/>
  <c r="K49" i="3"/>
  <c r="J49" i="3"/>
  <c r="I49" i="3"/>
  <c r="H49" i="3"/>
  <c r="G49" i="3"/>
  <c r="F49" i="3"/>
  <c r="G14" i="1"/>
  <c r="G12" i="1"/>
  <c r="J32" i="3"/>
  <c r="K32" i="3"/>
  <c r="D34" i="3"/>
  <c r="M46" i="3"/>
  <c r="L9" i="2"/>
  <c r="M9" i="2"/>
  <c r="E12" i="3"/>
  <c r="G18" i="1"/>
  <c r="G21" i="1"/>
  <c r="G23" i="1"/>
  <c r="G25" i="1"/>
  <c r="S7" i="3"/>
  <c r="T7" i="3"/>
  <c r="U7" i="3"/>
  <c r="V7" i="3"/>
  <c r="W7" i="3"/>
  <c r="X7" i="3"/>
  <c r="Y7" i="3"/>
  <c r="Z7" i="3"/>
  <c r="R7" i="3"/>
  <c r="I9" i="2"/>
  <c r="F28" i="2"/>
  <c r="P28" i="2"/>
  <c r="E102" i="3"/>
  <c r="G52" i="3"/>
  <c r="E17" i="2"/>
  <c r="E18" i="2"/>
  <c r="E19" i="2"/>
  <c r="E21" i="2"/>
  <c r="G50" i="3"/>
  <c r="E12" i="1"/>
  <c r="E14" i="1"/>
  <c r="E15" i="1"/>
  <c r="E18" i="1"/>
  <c r="E19" i="1"/>
  <c r="E23" i="1"/>
  <c r="L29" i="1"/>
  <c r="S20" i="3"/>
  <c r="T20" i="3"/>
  <c r="U20" i="3"/>
  <c r="S21" i="3"/>
  <c r="T21" i="3"/>
  <c r="U21" i="3"/>
  <c r="S22" i="3"/>
  <c r="T22" i="3"/>
  <c r="U22" i="3"/>
  <c r="S23" i="3"/>
  <c r="T23" i="3"/>
  <c r="S15" i="3"/>
  <c r="T15" i="3"/>
  <c r="U15" i="3"/>
  <c r="S16" i="3"/>
  <c r="T16" i="3"/>
  <c r="U16" i="3"/>
  <c r="S17" i="3"/>
  <c r="T17" i="3"/>
  <c r="U17" i="3"/>
  <c r="S10" i="3"/>
  <c r="T10" i="3"/>
  <c r="U10" i="3"/>
  <c r="S12" i="3"/>
  <c r="T12" i="3"/>
  <c r="U12" i="3"/>
  <c r="S4" i="3"/>
  <c r="T4" i="3"/>
  <c r="U4" i="3"/>
  <c r="S5" i="3"/>
  <c r="T5" i="3"/>
  <c r="U5" i="3"/>
  <c r="S6" i="3"/>
  <c r="T6" i="3"/>
  <c r="U6" i="3"/>
  <c r="R23" i="3"/>
  <c r="R22" i="3"/>
  <c r="R21" i="3"/>
  <c r="R20" i="3"/>
  <c r="R17" i="3"/>
  <c r="R16" i="3"/>
  <c r="R15" i="3"/>
  <c r="R12" i="3"/>
  <c r="R10" i="3"/>
  <c r="R6" i="3"/>
  <c r="R5" i="3"/>
  <c r="R4" i="3"/>
  <c r="E9" i="1"/>
  <c r="E25" i="1"/>
  <c r="E26" i="1"/>
  <c r="S18" i="1"/>
  <c r="D166" i="3"/>
  <c r="F12" i="2"/>
  <c r="F13" i="2"/>
  <c r="F17" i="2"/>
  <c r="F18" i="2"/>
  <c r="F19" i="2"/>
  <c r="F21" i="2"/>
  <c r="G17" i="2"/>
  <c r="G18" i="2"/>
  <c r="G19" i="2"/>
  <c r="G20" i="2"/>
  <c r="G21" i="2"/>
  <c r="H17" i="2"/>
  <c r="E24" i="2"/>
  <c r="H18" i="2"/>
  <c r="H19" i="2"/>
  <c r="H20" i="2"/>
  <c r="H21" i="2"/>
  <c r="H24" i="2"/>
  <c r="J31" i="2"/>
  <c r="K33" i="2"/>
  <c r="K34" i="2"/>
  <c r="J32" i="2"/>
  <c r="J33" i="2"/>
  <c r="J34" i="2"/>
  <c r="O27" i="2"/>
  <c r="H21" i="1"/>
  <c r="I21" i="1"/>
  <c r="J21" i="1"/>
  <c r="H18" i="1"/>
  <c r="I18" i="1"/>
  <c r="J18" i="1"/>
  <c r="H14" i="1"/>
  <c r="I14" i="1"/>
  <c r="J14" i="1"/>
  <c r="H12" i="1"/>
  <c r="I12" i="1"/>
  <c r="J12" i="1"/>
  <c r="N73" i="1"/>
  <c r="O73" i="1"/>
  <c r="L73" i="1"/>
  <c r="K73" i="1"/>
  <c r="F73" i="1"/>
  <c r="G73" i="1"/>
  <c r="D73" i="1"/>
  <c r="C73" i="1"/>
  <c r="N64" i="1"/>
  <c r="O64" i="1"/>
  <c r="L64" i="1"/>
  <c r="K64" i="1"/>
  <c r="F64" i="1"/>
  <c r="G64" i="1"/>
  <c r="D64" i="1"/>
  <c r="C64" i="1"/>
  <c r="N51" i="1"/>
  <c r="O51" i="1"/>
  <c r="L51" i="1"/>
  <c r="K51" i="1"/>
  <c r="F51" i="1"/>
  <c r="G51" i="1"/>
  <c r="D51" i="1"/>
  <c r="C51" i="1"/>
  <c r="N42" i="1"/>
  <c r="O42" i="1"/>
  <c r="L42" i="1"/>
  <c r="K42" i="1"/>
  <c r="F42" i="1"/>
  <c r="G42" i="1"/>
  <c r="D42" i="1"/>
  <c r="C42" i="1"/>
  <c r="M29" i="1"/>
  <c r="N29" i="1"/>
  <c r="O29" i="1"/>
  <c r="F23" i="1"/>
  <c r="F21" i="1"/>
  <c r="O19" i="1"/>
  <c r="N19" i="1"/>
  <c r="M19" i="1"/>
  <c r="L19" i="1"/>
  <c r="K19" i="1"/>
  <c r="I19" i="1"/>
  <c r="H19" i="1"/>
  <c r="G19" i="1"/>
  <c r="F19" i="1"/>
  <c r="F18" i="1"/>
  <c r="F14" i="1"/>
  <c r="S12" i="1"/>
  <c r="S13" i="1"/>
  <c r="F12" i="1"/>
  <c r="S8" i="1"/>
  <c r="F10" i="1"/>
  <c r="S6" i="1" a="1"/>
  <c r="S6" i="1"/>
  <c r="S5" i="1" a="1"/>
  <c r="S5" i="1"/>
  <c r="D223" i="3"/>
  <c r="C223" i="3"/>
  <c r="D221" i="3"/>
  <c r="C221" i="3"/>
  <c r="F102" i="3"/>
  <c r="G102" i="3"/>
  <c r="H102" i="3"/>
  <c r="E92" i="3"/>
  <c r="F92" i="3"/>
  <c r="G92" i="3"/>
  <c r="H92" i="3"/>
  <c r="E124" i="3"/>
  <c r="F124" i="3"/>
  <c r="K71" i="3"/>
  <c r="J71" i="3"/>
  <c r="L71" i="3"/>
  <c r="M71" i="3"/>
  <c r="I71" i="3"/>
  <c r="D107" i="3"/>
  <c r="C107" i="3"/>
  <c r="D106" i="3"/>
  <c r="D105" i="3"/>
  <c r="H76" i="3"/>
  <c r="G76" i="3"/>
  <c r="F76" i="3"/>
  <c r="E76" i="3"/>
  <c r="D76" i="3"/>
  <c r="C76" i="3"/>
  <c r="H53" i="3"/>
  <c r="G53" i="3"/>
  <c r="F53" i="3"/>
  <c r="E53" i="3"/>
  <c r="D53" i="3"/>
  <c r="H52" i="3"/>
  <c r="F52" i="3"/>
  <c r="E52" i="3"/>
  <c r="D52" i="3"/>
  <c r="H50" i="3"/>
  <c r="F50" i="3"/>
  <c r="E50" i="3"/>
  <c r="D50" i="3"/>
  <c r="H48" i="3"/>
  <c r="G48" i="3"/>
  <c r="F48" i="3"/>
  <c r="E48" i="3"/>
  <c r="D48" i="3"/>
  <c r="H47" i="3"/>
  <c r="G47" i="3"/>
  <c r="F47" i="3"/>
  <c r="E47" i="3"/>
  <c r="H46" i="3"/>
  <c r="G46" i="3"/>
  <c r="F46" i="3"/>
  <c r="E46" i="3"/>
  <c r="H40" i="3"/>
  <c r="G40" i="3"/>
  <c r="F40" i="3"/>
  <c r="E40" i="3"/>
  <c r="D40" i="3"/>
  <c r="C40" i="3"/>
  <c r="H39" i="3"/>
  <c r="G39" i="3"/>
  <c r="F39" i="3"/>
  <c r="E39" i="3"/>
  <c r="D39" i="3"/>
  <c r="C39" i="3"/>
  <c r="H37" i="3"/>
  <c r="G37" i="3"/>
  <c r="F37" i="3"/>
  <c r="E37" i="3"/>
  <c r="D37" i="3"/>
  <c r="C37" i="3"/>
  <c r="G33" i="3"/>
  <c r="F33" i="3"/>
  <c r="E33" i="3"/>
  <c r="D33" i="3"/>
  <c r="C33" i="3"/>
  <c r="E32" i="3"/>
  <c r="D32" i="3"/>
  <c r="C32" i="3"/>
  <c r="D31" i="3"/>
  <c r="C31" i="3"/>
  <c r="D27" i="3"/>
  <c r="C27" i="3"/>
  <c r="D12" i="3"/>
  <c r="C12" i="3"/>
  <c r="C38" i="3"/>
  <c r="M11" i="3"/>
  <c r="L11" i="3"/>
  <c r="K11" i="3"/>
  <c r="J11" i="3"/>
  <c r="I11" i="3"/>
  <c r="H11" i="3"/>
  <c r="H12" i="3"/>
  <c r="G11" i="3"/>
  <c r="G12" i="3"/>
  <c r="F11" i="3"/>
  <c r="F12" i="3"/>
  <c r="B11" i="3"/>
  <c r="D39" i="2"/>
  <c r="D38" i="2"/>
  <c r="D37" i="2"/>
  <c r="H36" i="2"/>
  <c r="G36" i="2"/>
  <c r="H34" i="2"/>
  <c r="G34" i="2"/>
  <c r="I34" i="2"/>
  <c r="H33" i="2"/>
  <c r="G33" i="2"/>
  <c r="F33" i="2"/>
  <c r="E33" i="2"/>
  <c r="H32" i="2"/>
  <c r="G32" i="2"/>
  <c r="F32" i="2"/>
  <c r="E32" i="2"/>
  <c r="H31" i="2"/>
  <c r="G31" i="2"/>
  <c r="F31" i="2"/>
  <c r="E31" i="2"/>
  <c r="N27" i="2"/>
  <c r="K31" i="2"/>
  <c r="T9" i="2"/>
  <c r="J10" i="2"/>
  <c r="I37" i="3"/>
  <c r="E51" i="3"/>
  <c r="J6" i="1"/>
  <c r="I33" i="2"/>
  <c r="I32" i="2"/>
  <c r="G24" i="2"/>
  <c r="I10" i="2"/>
  <c r="K32" i="2"/>
  <c r="H15" i="1"/>
  <c r="N7" i="2"/>
  <c r="O7" i="2"/>
  <c r="L10" i="2"/>
  <c r="I31" i="2"/>
  <c r="M10" i="2"/>
  <c r="I6" i="1"/>
  <c r="S11" i="1"/>
  <c r="G10" i="1"/>
  <c r="F6" i="1"/>
  <c r="F15" i="1"/>
  <c r="H6" i="1"/>
  <c r="F25" i="1"/>
  <c r="F26" i="1"/>
  <c r="F16" i="1"/>
  <c r="H16" i="1"/>
  <c r="H8" i="1"/>
  <c r="H9" i="1"/>
  <c r="I8" i="1"/>
  <c r="I9" i="1"/>
  <c r="I15" i="1"/>
  <c r="J16" i="1"/>
  <c r="I16" i="1"/>
  <c r="G15" i="1"/>
  <c r="J15" i="1"/>
  <c r="J8" i="1"/>
  <c r="F9" i="1"/>
  <c r="I23" i="1"/>
  <c r="H23" i="1"/>
  <c r="L112" i="3"/>
  <c r="L72" i="3"/>
  <c r="M112" i="3"/>
  <c r="M72" i="3"/>
  <c r="I112" i="3"/>
  <c r="I72" i="3"/>
  <c r="J112" i="3"/>
  <c r="J72" i="3"/>
  <c r="K112" i="3"/>
  <c r="K72" i="3"/>
  <c r="J119" i="3"/>
  <c r="K119" i="3"/>
  <c r="L119" i="3"/>
  <c r="M119" i="3"/>
  <c r="J27" i="3"/>
  <c r="M31" i="3"/>
  <c r="D51" i="3"/>
  <c r="D38" i="3"/>
  <c r="L31" i="3"/>
  <c r="E38" i="3"/>
  <c r="I40" i="3"/>
  <c r="J40" i="3"/>
  <c r="K40" i="3"/>
  <c r="L40" i="3"/>
  <c r="M40" i="3"/>
  <c r="K27" i="3"/>
  <c r="L27" i="3"/>
  <c r="I39" i="3"/>
  <c r="J39" i="3"/>
  <c r="K39" i="3"/>
  <c r="L39" i="3"/>
  <c r="M39" i="3"/>
  <c r="H38" i="3"/>
  <c r="H51" i="3"/>
  <c r="F51" i="3"/>
  <c r="F38" i="3"/>
  <c r="G38" i="3"/>
  <c r="G51" i="3"/>
  <c r="M27" i="3"/>
  <c r="L4" i="3"/>
  <c r="Y20" i="3"/>
  <c r="L46" i="3"/>
  <c r="J31" i="3"/>
  <c r="K31" i="3"/>
  <c r="N23" i="2"/>
  <c r="O23" i="2"/>
  <c r="F24" i="2"/>
  <c r="F27" i="1"/>
  <c r="I25" i="1"/>
  <c r="I26" i="1"/>
  <c r="H25" i="1"/>
  <c r="H26" i="1"/>
  <c r="H10" i="1"/>
  <c r="I10" i="1"/>
  <c r="G9" i="1"/>
  <c r="J10" i="1"/>
  <c r="G26" i="1"/>
  <c r="J9" i="1"/>
  <c r="J117" i="3"/>
  <c r="K117" i="3"/>
  <c r="L117" i="3"/>
  <c r="M117" i="3"/>
  <c r="K4" i="3"/>
  <c r="X20" i="3"/>
  <c r="J37" i="3"/>
  <c r="K37" i="3"/>
  <c r="N39" i="3"/>
  <c r="N46" i="3"/>
  <c r="N40" i="3"/>
  <c r="I38" i="3"/>
  <c r="Z16" i="3"/>
  <c r="Z17" i="3"/>
  <c r="X16" i="3"/>
  <c r="X17" i="3"/>
  <c r="Y16" i="3"/>
  <c r="Y17" i="3"/>
  <c r="W17" i="3"/>
  <c r="W16" i="3"/>
  <c r="V17" i="3"/>
  <c r="V16" i="3"/>
  <c r="J54" i="1"/>
  <c r="B55" i="1"/>
  <c r="K6" i="1"/>
  <c r="I27" i="1"/>
  <c r="H27" i="1"/>
  <c r="B53" i="1"/>
  <c r="J44" i="1"/>
  <c r="J53" i="1"/>
  <c r="L48" i="3"/>
  <c r="L37" i="3"/>
  <c r="M37" i="3"/>
  <c r="I64" i="3"/>
  <c r="J38" i="3"/>
  <c r="K38" i="3"/>
  <c r="L38" i="3"/>
  <c r="M38" i="3"/>
  <c r="I4" i="3"/>
  <c r="I48" i="3"/>
  <c r="J48" i="3"/>
  <c r="J4" i="3"/>
  <c r="K48" i="3"/>
  <c r="M48" i="3"/>
  <c r="M4" i="3"/>
  <c r="L47" i="3"/>
  <c r="J68" i="1"/>
  <c r="J77" i="1"/>
  <c r="Z21" i="3"/>
  <c r="J67" i="1"/>
  <c r="J76" i="1"/>
  <c r="K47" i="3"/>
  <c r="W20" i="3"/>
  <c r="W21" i="3"/>
  <c r="I47" i="3"/>
  <c r="V20" i="3"/>
  <c r="Y21" i="3"/>
  <c r="M47" i="3"/>
  <c r="Z20" i="3"/>
  <c r="J66" i="1"/>
  <c r="J75" i="1"/>
  <c r="J46" i="1"/>
  <c r="J55" i="1"/>
  <c r="B56" i="1"/>
  <c r="J28" i="2"/>
  <c r="N22" i="2"/>
  <c r="O22" i="2"/>
  <c r="J69" i="1"/>
  <c r="J78" i="1"/>
  <c r="B78" i="1"/>
  <c r="B52" i="1"/>
  <c r="J43" i="1"/>
  <c r="J52" i="1"/>
  <c r="L49" i="3"/>
  <c r="N37" i="3"/>
  <c r="J64" i="3"/>
  <c r="V5" i="3"/>
  <c r="L12" i="3"/>
  <c r="N48" i="3"/>
  <c r="N38" i="3"/>
  <c r="J12" i="3"/>
  <c r="M50" i="3"/>
  <c r="M12" i="3"/>
  <c r="J47" i="3"/>
  <c r="B75" i="1"/>
  <c r="J65" i="1"/>
  <c r="J74" i="1"/>
  <c r="W6" i="3"/>
  <c r="W4" i="3"/>
  <c r="W5" i="3"/>
  <c r="J23" i="1"/>
  <c r="J25" i="1"/>
  <c r="J27" i="1"/>
  <c r="V21" i="3"/>
  <c r="V6" i="3"/>
  <c r="V4" i="3"/>
  <c r="N47" i="3"/>
  <c r="J47" i="1"/>
  <c r="J56" i="1"/>
  <c r="X21" i="3"/>
  <c r="Y12" i="3"/>
  <c r="W12" i="3"/>
  <c r="Z12" i="3"/>
  <c r="O16" i="1"/>
  <c r="L50" i="3"/>
  <c r="I50" i="3"/>
  <c r="I12" i="3"/>
  <c r="I51" i="3"/>
  <c r="N49" i="3"/>
  <c r="J50" i="3"/>
  <c r="K12" i="3"/>
  <c r="L51" i="3"/>
  <c r="K50" i="3"/>
  <c r="M51" i="3"/>
  <c r="K64" i="3"/>
  <c r="M52" i="3"/>
  <c r="J26" i="1"/>
  <c r="X4" i="3"/>
  <c r="X5" i="3"/>
  <c r="X6" i="3"/>
  <c r="L52" i="3"/>
  <c r="I52" i="3"/>
  <c r="V12" i="3"/>
  <c r="M6" i="1"/>
  <c r="K28" i="2"/>
  <c r="L6" i="1"/>
  <c r="L15" i="1"/>
  <c r="L9" i="1"/>
  <c r="N10" i="1"/>
  <c r="M10" i="1"/>
  <c r="N16" i="1"/>
  <c r="K16" i="1"/>
  <c r="K15" i="1"/>
  <c r="L16" i="1"/>
  <c r="M16" i="1"/>
  <c r="J51" i="3"/>
  <c r="K51" i="3"/>
  <c r="J52" i="3"/>
  <c r="N50" i="3"/>
  <c r="K52" i="3"/>
  <c r="M64" i="3"/>
  <c r="L64" i="3"/>
  <c r="M15" i="1"/>
  <c r="M9" i="1"/>
  <c r="M53" i="3"/>
  <c r="Y4" i="3"/>
  <c r="Y5" i="3"/>
  <c r="Z4" i="3"/>
  <c r="Z5" i="3"/>
  <c r="Y6" i="3"/>
  <c r="L53" i="3"/>
  <c r="X12" i="3"/>
  <c r="Z6" i="3"/>
  <c r="I53" i="3"/>
  <c r="O10" i="1"/>
  <c r="M28" i="2"/>
  <c r="O9" i="1"/>
  <c r="L28" i="2"/>
  <c r="L26" i="1"/>
  <c r="K9" i="1"/>
  <c r="K10" i="1"/>
  <c r="L10" i="1"/>
  <c r="N51" i="3"/>
  <c r="N52" i="3"/>
  <c r="N10" i="2"/>
  <c r="L27" i="1"/>
  <c r="N6" i="1"/>
  <c r="N15" i="1"/>
  <c r="N9" i="1"/>
  <c r="O15" i="1"/>
  <c r="O6" i="1"/>
  <c r="K53" i="3"/>
  <c r="J53" i="3"/>
  <c r="O26" i="1"/>
  <c r="N27" i="1"/>
  <c r="N26" i="1"/>
  <c r="M26" i="1"/>
  <c r="M27" i="1"/>
  <c r="K27" i="1"/>
  <c r="K26" i="1"/>
  <c r="O27" i="1"/>
  <c r="N52" i="1"/>
  <c r="N53" i="3"/>
  <c r="L55" i="1"/>
  <c r="N74" i="1"/>
  <c r="O76" i="1"/>
  <c r="M78" i="1"/>
  <c r="O75" i="1"/>
  <c r="O52" i="1"/>
  <c r="M54" i="1"/>
  <c r="N55" i="1"/>
  <c r="M55" i="1"/>
  <c r="O55" i="1"/>
  <c r="K55" i="1"/>
  <c r="L56" i="1"/>
  <c r="L52" i="1"/>
  <c r="K52" i="1"/>
  <c r="M52" i="1"/>
  <c r="L53" i="1"/>
  <c r="L54" i="1"/>
  <c r="M56" i="1"/>
  <c r="N56" i="1"/>
  <c r="O54" i="1"/>
  <c r="K53" i="1"/>
  <c r="N54" i="1"/>
  <c r="K56" i="1"/>
  <c r="O53" i="1"/>
  <c r="N53" i="1"/>
  <c r="K54" i="1"/>
  <c r="O56" i="1"/>
  <c r="O74" i="1"/>
  <c r="M75" i="1"/>
  <c r="L76" i="1"/>
  <c r="N78" i="1"/>
  <c r="K74" i="1"/>
  <c r="L78" i="1"/>
  <c r="K75" i="1"/>
  <c r="O78" i="1"/>
  <c r="L77" i="1"/>
  <c r="M76" i="1"/>
  <c r="N77" i="1"/>
  <c r="K78" i="1"/>
  <c r="O77" i="1"/>
  <c r="L74" i="1"/>
  <c r="M77" i="1"/>
  <c r="M74" i="1"/>
  <c r="K76" i="1"/>
  <c r="L75" i="1"/>
  <c r="N76" i="1"/>
  <c r="K77" i="1"/>
  <c r="N75" i="1"/>
  <c r="M53" i="1"/>
  <c r="I76" i="3"/>
  <c r="I77" i="3"/>
  <c r="V15" i="3"/>
  <c r="V22" i="3"/>
  <c r="V10" i="3"/>
  <c r="J76" i="3"/>
  <c r="J77" i="3"/>
  <c r="W22" i="3"/>
  <c r="W15" i="3"/>
  <c r="W10" i="3"/>
  <c r="K76" i="3"/>
  <c r="K77" i="3"/>
  <c r="X15" i="3"/>
  <c r="X22" i="3"/>
  <c r="X10" i="3"/>
  <c r="M76" i="3"/>
  <c r="M77" i="3"/>
  <c r="L76" i="3"/>
  <c r="L77" i="3"/>
  <c r="Y22" i="3"/>
  <c r="Y15" i="3"/>
  <c r="Y10" i="3"/>
  <c r="Z15" i="3"/>
  <c r="Z22" i="3"/>
  <c r="Z10"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tc={8568886A-E766-7844-A8CF-11EFF6D85465}</author>
    <author>tc={A1950392-E495-BF47-9E9F-A1C8F1417553}</author>
  </authors>
  <commentList>
    <comment ref="F10" authorId="0" shapeId="0" xr:uid="{8568886A-E766-7844-A8CF-11EFF6D85465}">
      <text>
        <t xml:space="preserve">[Threaded comment]
Your version of Excel allows you to read this threaded comment; however, any edits to it will get removed if the file is opened in a newer version of Excel. Learn more: https://go.microsoft.com/fwlink/?linkid=870924
Comment:
    very bad and irregular year, exclude 2016~2017
</t>
      </text>
    </comment>
    <comment ref="B18" authorId="1" shapeId="0" xr:uid="{A1950392-E495-BF47-9E9F-A1C8F1417553}">
      <text>
        <t xml:space="preserve">[Threaded comment]
Your version of Excel allows you to read this threaded comment; however, any edits to it will get removed if the file is opened in a newer version of Excel. Learn more: https://go.microsoft.com/fwlink/?linkid=870924
Comment:
    use tax provision?
</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tc={B55D1FD2-124E-7B4C-A8DD-F39C2806407D}</author>
    <author>tc={E93A2F9F-1177-9C4B-BEE0-32941EF37364}</author>
    <author>tc={18A2B793-9A60-0D4D-B7D8-ED326F66A5AD}</author>
    <author>tc={9814490C-E085-034F-979B-B7D5A7C29FD2}</author>
    <author>tc={742676E8-BE6B-E841-8564-EC7E53808807}</author>
    <author>tc={42480A5F-5406-DD4E-9E7B-EA70635B87A2}</author>
    <author>tc={BC0DC706-1BFA-EA42-ADF5-766AF6E86F44}</author>
    <author>tc={48507F03-E342-B647-82F9-304DF4029F86}</author>
    <author>tc={FA6E1852-9977-DE4A-BCCF-5769CD0319DC}</author>
    <author>tc={7D9F76E9-5DE1-7C40-8784-EAB1E71FA2D8}</author>
  </authors>
  <commentList>
    <comment ref="D10" authorId="0" shapeId="0" xr:uid="{B55D1FD2-124E-7B4C-A8DD-F39C2806407D}">
      <text>
        <t>[Threaded comment]
Your version of Excel allows you to read this threaded comment; however, any edits to it will get removed if the file is opened in a newer version of Excel. Learn more: https://go.microsoft.com/fwlink/?linkid=870924
Comment:
    rarely bad year, ignore?</t>
      </text>
    </comment>
    <comment ref="F25" authorId="1" shapeId="0" xr:uid="{E93A2F9F-1177-9C4B-BEE0-32941EF37364}">
      <text>
        <t xml:space="preserve">[Threaded comment]
Your version of Excel allows you to read this threaded comment; however, any edits to it will get removed if the file is opened in a newer version of Excel. Learn more: https://go.microsoft.com/fwlink/?linkid=870924
Comment:
    这一年的shares不统一 19年的表显示177， 21年的表显示887 见sheet1
</t>
      </text>
    </comment>
    <comment ref="I37" authorId="2" shapeId="0" xr:uid="{18A2B793-9A60-0D4D-B7D8-ED326F66A5AD}">
      <text>
        <t xml:space="preserve">[Threaded comment]
Your version of Excel allows you to read this threaded comment; however, any edits to it will get removed if the file is opened in a newer version of Excel. Learn more: https://go.microsoft.com/fwlink/?linkid=870924
Comment:
    negative number - adjusted by using only past 4 years 
</t>
      </text>
    </comment>
    <comment ref="G52" authorId="3" shapeId="0" xr:uid="{9814490C-E085-034F-979B-B7D5A7C29FD2}">
      <text>
        <t xml:space="preserve">[Threaded comment]
Your version of Excel allows you to read this threaded comment; however, any edits to it will get removed if the file is opened in a newer version of Excel. Learn more: https://go.microsoft.com/fwlink/?linkid=870924
Comment:
    遇到有些减小的负数 手动调整吗
</t>
      </text>
    </comment>
    <comment ref="B59" authorId="4" shapeId="0" xr:uid="{742676E8-BE6B-E841-8564-EC7E53808807}">
      <text>
        <t xml:space="preserve">[Threaded comment]
Your version of Excel allows you to read this threaded comment; however, any edits to it will get removed if the file is opened in a newer version of Excel. Learn more: https://go.microsoft.com/fwlink/?linkid=870924
Comment:
    ignore?
</t>
      </text>
    </comment>
    <comment ref="B98" authorId="5" shapeId="0" xr:uid="{42480A5F-5406-DD4E-9E7B-EA70635B87A2}">
      <text>
        <t>[Threaded comment]
Your version of Excel allows you to read this threaded comment; however, any edits to it will get removed if the file is opened in a newer version of Excel. Learn more: https://go.microsoft.com/fwlink/?linkid=870924
Comment:
    diff with comprehensive income on income statement?</t>
      </text>
    </comment>
    <comment ref="E102" authorId="6" shapeId="0" xr:uid="{BC0DC706-1BFA-EA42-ADF5-766AF6E86F44}">
      <text>
        <t>[Threaded comment]
Your version of Excel allows you to read this threaded comment; however, any edits to it will get removed if the file is opened in a newer version of Excel. Learn more: https://go.microsoft.com/fwlink/?linkid=870924
Comment:
    historical dont balance</t>
      </text>
    </comment>
    <comment ref="B106" authorId="7" shapeId="0" xr:uid="{48507F03-E342-B647-82F9-304DF4029F86}">
      <text>
        <t xml:space="preserve">[Threaded comment]
Your version of Excel allows you to read this threaded comment; however, any edits to it will get removed if the file is opened in a newer version of Excel. Learn more: https://go.microsoft.com/fwlink/?linkid=870924
Comment:
    怎么理解turnover ratio and days
</t>
      </text>
    </comment>
    <comment ref="B128" authorId="8" shapeId="0" xr:uid="{FA6E1852-9977-DE4A-BCCF-5769CD0319DC}">
      <text>
        <t>[Threaded comment]
Your version of Excel allows you to read this threaded comment; however, any edits to it will get removed if the file is opened in a newer version of Excel. Learn more: https://go.microsoft.com/fwlink/?linkid=870924
Comment:
    是不是笔记之外的其他项目直接不考虑了?  然后重新计算最后的汇总
Reply:
    还有很多其他项目 数额会不会相差太大了？</t>
      </text>
    </comment>
    <comment ref="B144" authorId="9" shapeId="0" xr:uid="{7D9F76E9-5DE1-7C40-8784-EAB1E71FA2D8}">
      <text>
        <t>[Threaded comment]
Your version of Excel allows you to read this threaded comment; however, any edits to it will get removed if the file is opened in a newer version of Excel. Learn more: https://go.microsoft.com/fwlink/?linkid=870924
Comment:
    grey are original, but  do not match with number calculating from balance sheet
also, lease vehicles is not current asset? see picture, listed after total current asset</t>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2">
    <bk>
      <extLst>
        <ext uri="{3e2802c4-a4d2-4d8b-9148-e3be6c30e623}">
          <xlrd:rvb i="2"/>
        </ext>
      </extLst>
    </bk>
    <bk>
      <extLst>
        <ext uri="{3e2802c4-a4d2-4d8b-9148-e3be6c30e623}">
          <xlrd:rvb i="5"/>
        </ext>
      </extLst>
    </bk>
  </futureMetadata>
  <cellMetadata count="1">
    <bk>
      <rc t="1" v="0"/>
    </bk>
  </cellMetadata>
  <valueMetadata count="2">
    <bk>
      <rc t="2" v="0"/>
    </bk>
    <bk>
      <rc t="2" v="1"/>
    </bk>
  </valueMetadata>
</metadata>
</file>

<file path=xl/sharedStrings.xml><?xml version="1.0" encoding="utf-8"?>
<sst xmlns="http://schemas.openxmlformats.org/spreadsheetml/2006/main" count="334" uniqueCount="245">
  <si>
    <t>Unit in thousand</t>
  </si>
  <si>
    <t>Revenue Recognition</t>
  </si>
  <si>
    <t>Production Capacity in 2022~2023</t>
  </si>
  <si>
    <t>Model S</t>
  </si>
  <si>
    <t>Fremont</t>
  </si>
  <si>
    <t>Model X</t>
  </si>
  <si>
    <t>Gigafactory Shanghai</t>
  </si>
  <si>
    <t>Model 3</t>
  </si>
  <si>
    <t>Gigafactory Berlin</t>
  </si>
  <si>
    <t>Model Y</t>
  </si>
  <si>
    <t>Gigafactory Texas</t>
  </si>
  <si>
    <t>Total Unit</t>
  </si>
  <si>
    <t>Total Production</t>
  </si>
  <si>
    <t>Average Selling Price Model S</t>
  </si>
  <si>
    <t>Average Selling Price Model X</t>
  </si>
  <si>
    <t>Average Selling Price Model 3</t>
  </si>
  <si>
    <t>Average Selling Price Model Y</t>
  </si>
  <si>
    <t>Revenue Model S</t>
  </si>
  <si>
    <t>Revenue Model X</t>
  </si>
  <si>
    <t>Revenue Model 3</t>
  </si>
  <si>
    <t>Revenue Model Y</t>
  </si>
  <si>
    <t>Total Automotive sales</t>
  </si>
  <si>
    <t>Automotive leasing</t>
  </si>
  <si>
    <t>Automotive regulatory credits</t>
  </si>
  <si>
    <t>Total automotive revenues</t>
  </si>
  <si>
    <t>Energy generation and storage</t>
  </si>
  <si>
    <t>Services and other</t>
  </si>
  <si>
    <t>Total Revenues(M)</t>
  </si>
  <si>
    <t>Growth</t>
  </si>
  <si>
    <t>Unit change</t>
  </si>
  <si>
    <t>avg unit</t>
  </si>
  <si>
    <t>avg price</t>
  </si>
  <si>
    <t>Total Revenues</t>
  </si>
  <si>
    <t>Income Statement</t>
  </si>
  <si>
    <t>COGS</t>
  </si>
  <si>
    <t>Gross Profit</t>
  </si>
  <si>
    <t>Research and development</t>
  </si>
  <si>
    <t>Selling, general and administrative</t>
  </si>
  <si>
    <t>Restructuring and other</t>
  </si>
  <si>
    <t>Total operating expenses</t>
  </si>
  <si>
    <t>EBIT</t>
  </si>
  <si>
    <t>EBITDA</t>
  </si>
  <si>
    <t>Interest income</t>
  </si>
  <si>
    <t>Interest expense</t>
  </si>
  <si>
    <t>Other income (expense), net</t>
  </si>
  <si>
    <t>Pre-tax Income</t>
  </si>
  <si>
    <t>Provision for income taxes</t>
  </si>
  <si>
    <t>Net Income</t>
  </si>
  <si>
    <t>Basic EPS</t>
  </si>
  <si>
    <t>Diluted EPS</t>
  </si>
  <si>
    <t>Shares outstanding</t>
  </si>
  <si>
    <t xml:space="preserve">Effective Tax Rate </t>
  </si>
  <si>
    <t xml:space="preserve">Effective Interest Rate </t>
  </si>
  <si>
    <t>% Margins</t>
  </si>
  <si>
    <t>Selling General &amp; Administrative Expense</t>
  </si>
  <si>
    <t>Capital Expenditures</t>
  </si>
  <si>
    <t>Average</t>
  </si>
  <si>
    <t xml:space="preserve">YoY Growth </t>
  </si>
  <si>
    <t>operating cost</t>
  </si>
  <si>
    <t>Pre-tax Income EBT</t>
  </si>
  <si>
    <t>Net income (loss)</t>
  </si>
  <si>
    <t>Balance Sheet</t>
  </si>
  <si>
    <t>Current assets</t>
  </si>
  <si>
    <t>Cash and cash equivalents</t>
  </si>
  <si>
    <t>Restricted cash</t>
  </si>
  <si>
    <t>Short-term marketable securities</t>
  </si>
  <si>
    <t>Accounts receivable, net</t>
  </si>
  <si>
    <t>Inventory</t>
  </si>
  <si>
    <t>Prepaid expenses and other current assets</t>
  </si>
  <si>
    <t>Total current assets</t>
  </si>
  <si>
    <t>NonCurrent Assets</t>
  </si>
  <si>
    <t>Operating lease vehicles, net</t>
  </si>
  <si>
    <t>Solar energy systems, net</t>
  </si>
  <si>
    <t>Property, plant and equipment, net</t>
  </si>
  <si>
    <t>Operating lease right-of-use assets</t>
  </si>
  <si>
    <t>Digital assets, net</t>
  </si>
  <si>
    <t>Intangible assets, net</t>
  </si>
  <si>
    <t>Goodwill</t>
  </si>
  <si>
    <t>MyPower customer notes receivable, net of current portion</t>
  </si>
  <si>
    <t>Restricted cash, net of current portion</t>
  </si>
  <si>
    <t>Other non-current assets</t>
  </si>
  <si>
    <t>Total non-current assets</t>
  </si>
  <si>
    <t>Total assets</t>
  </si>
  <si>
    <t>Current liabilities</t>
  </si>
  <si>
    <t>Accounts payable</t>
  </si>
  <si>
    <t>Accrued liabilities and other</t>
  </si>
  <si>
    <t>Deferred revenue</t>
  </si>
  <si>
    <t>Resale value guarantees</t>
  </si>
  <si>
    <t>Customer deposits</t>
  </si>
  <si>
    <t>Current portion of debt and finance leases</t>
  </si>
  <si>
    <t>Total current liabilities</t>
  </si>
  <si>
    <t>NonCurrent Liabilities</t>
  </si>
  <si>
    <t>Debt and finance leases, net of current portion</t>
  </si>
  <si>
    <t>Deferred revenue, net of current portion</t>
  </si>
  <si>
    <t>Resale value guarantees, net of current portion</t>
  </si>
  <si>
    <t>Other long-term liabilities</t>
  </si>
  <si>
    <t>Total liabilities</t>
  </si>
  <si>
    <t>Equity</t>
  </si>
  <si>
    <t>Common stock</t>
  </si>
  <si>
    <t>Additional paid-in capital</t>
  </si>
  <si>
    <t>Accumulated other comprehensive income</t>
  </si>
  <si>
    <t>Retained earnings (accumulated deficit)</t>
  </si>
  <si>
    <t>Total stockholders' equity</t>
  </si>
  <si>
    <t>Total liabilities and equity</t>
  </si>
  <si>
    <t>Accounts receivable, net (turnover days)</t>
  </si>
  <si>
    <t>Inventory (turnover days)</t>
  </si>
  <si>
    <t>Prepaid expenses and other current assets (% margin)</t>
  </si>
  <si>
    <t>Accounts payable (turnover days)</t>
  </si>
  <si>
    <t>Accrued liabilities and other (% margin)</t>
  </si>
  <si>
    <t>Deferred revenue (% margin)</t>
  </si>
  <si>
    <t>Resale value guarantees  (% margin)</t>
  </si>
  <si>
    <t>Customer deposits (% margin)</t>
  </si>
  <si>
    <t>∆ in working capital:</t>
  </si>
  <si>
    <t>Property, plant and equipment, net (turnover)</t>
  </si>
  <si>
    <t>Operating lease vehicles, net (margin %)</t>
  </si>
  <si>
    <t>Assets</t>
  </si>
  <si>
    <t>Liablities</t>
  </si>
  <si>
    <t>Total non-current liabilities</t>
  </si>
  <si>
    <t>Cashflow Statement</t>
  </si>
  <si>
    <t>Cash Flows from Operating Activities</t>
  </si>
  <si>
    <t>Adjustments to reconcile net income (loss) to net cash provided by operating activities:</t>
  </si>
  <si>
    <t>Depreciation, amortization and impairment</t>
  </si>
  <si>
    <t>Stock-based compensation</t>
  </si>
  <si>
    <t>Amortization of debt discounts and issuance costs</t>
  </si>
  <si>
    <t>Inventory and purchase commitments write-downs</t>
  </si>
  <si>
    <t>Loss on disposals of fixed assets</t>
  </si>
  <si>
    <t>Foreign currency transaction net unrealized (gain) loss</t>
  </si>
  <si>
    <t>Loss (gain) related to SolarCity acquisition</t>
  </si>
  <si>
    <t>Non-cash interest and other operating activities</t>
  </si>
  <si>
    <t>Digital assets gain, net</t>
  </si>
  <si>
    <t>Operating cash flow related to repayment of discounted convertible senior notes</t>
  </si>
  <si>
    <t>Changes in operating assets and liabilities:</t>
  </si>
  <si>
    <t>Accounts receivable</t>
  </si>
  <si>
    <t>Operating lease vehicles</t>
  </si>
  <si>
    <t>Accounts payable and accrued liabilities</t>
  </si>
  <si>
    <t>Resale value guarantee</t>
  </si>
  <si>
    <t>Net cash provided by operating activities</t>
  </si>
  <si>
    <t>Cash Flows from Investing Activities</t>
  </si>
  <si>
    <t>Purchases of property and equipment excluding finance leases, net of sales</t>
  </si>
  <si>
    <t>Purchases of solar energy systems, net of sales</t>
  </si>
  <si>
    <t>Purchases of digital assets</t>
  </si>
  <si>
    <t>Proceeds from sales of digital assets</t>
  </si>
  <si>
    <t>Purchases of marketable securities</t>
  </si>
  <si>
    <t>Receipt of government grants</t>
  </si>
  <si>
    <t>Purchase of intangible assets</t>
  </si>
  <si>
    <t>Business combinations, net of cash acquired</t>
  </si>
  <si>
    <t>Net cash used in investing activities</t>
  </si>
  <si>
    <t>Cash Flows from Financing Activities</t>
  </si>
  <si>
    <t>Proceeds from issuances of common stock in public offerings, net of issuance costs</t>
  </si>
  <si>
    <t>Proceeds from issuances of convertible and other debt</t>
  </si>
  <si>
    <t>Repayments of convertible and other debt</t>
  </si>
  <si>
    <t>Repayments of borrowings issued to related parties</t>
  </si>
  <si>
    <t>Collateralized lease repayments</t>
  </si>
  <si>
    <t>Proceeds from exercises of stock options and other stock issuances</t>
  </si>
  <si>
    <t>Principal payments on finance leases</t>
  </si>
  <si>
    <t>Debt issuance costs</t>
  </si>
  <si>
    <t>Purchase of convertible note hedges</t>
  </si>
  <si>
    <t>Proceeds from issuance of warrants</t>
  </si>
  <si>
    <t>Proceeds from investments by noncontrolling interests in subsidiaries</t>
  </si>
  <si>
    <t>Payments for settlements of warrants</t>
  </si>
  <si>
    <t>Distributions paid to noncontrolling interests in subsidiaries</t>
  </si>
  <si>
    <t>Payments for buy-outs of noncontrolling interests in subsidiaries</t>
  </si>
  <si>
    <t>Net cash (used in) provided by financing activities</t>
  </si>
  <si>
    <t>Effect of exchange rate changes on cash and cash equivalents and restricted cash</t>
  </si>
  <si>
    <t>Net (decrease) increase in cash and cash equivalents and restricted cash</t>
  </si>
  <si>
    <t>Cash and cash equivalents and restricted cash, beginning of period</t>
  </si>
  <si>
    <t>Cash and cash equivalents and restricted cash, end of period</t>
  </si>
  <si>
    <t>Supplemental Non-Cash Investing and Financing Activities</t>
  </si>
  <si>
    <t>Equity issued in connection with business combination</t>
  </si>
  <si>
    <t>Acquisitions of property and equipment included in liabilities</t>
  </si>
  <si>
    <t>Estimated fair value of facilities under build-to-suit leases</t>
  </si>
  <si>
    <t>Supplemental Disclosures</t>
  </si>
  <si>
    <t>Cash paid during the period for interest, net of amounts capitalized</t>
  </si>
  <si>
    <t>Cash paid during the period for taxes, net of refunds</t>
  </si>
  <si>
    <t xml:space="preserve">USD in millions </t>
  </si>
  <si>
    <t>Discounted Cash Flow Analysis</t>
  </si>
  <si>
    <t>WACC</t>
  </si>
  <si>
    <t>Revenue</t>
  </si>
  <si>
    <t>RF rate</t>
  </si>
  <si>
    <t>YoY Growth</t>
  </si>
  <si>
    <t>Beta</t>
  </si>
  <si>
    <t>Required Return</t>
  </si>
  <si>
    <t>Cost of Debt</t>
  </si>
  <si>
    <t>% Margin</t>
  </si>
  <si>
    <t>Effctive Tax Rate</t>
  </si>
  <si>
    <t>After-tax Cost of Debt</t>
  </si>
  <si>
    <t>Cost of Equity</t>
  </si>
  <si>
    <t xml:space="preserve">Less: Depreciation &amp; Amortization </t>
  </si>
  <si>
    <t>Equity/Capital</t>
  </si>
  <si>
    <t>Debt/Capital</t>
  </si>
  <si>
    <t xml:space="preserve"> EBIT</t>
  </si>
  <si>
    <t>Less: Income Tax Expense</t>
  </si>
  <si>
    <t>Effective Tax Rate</t>
  </si>
  <si>
    <t xml:space="preserve">Less: Capital Expenditures </t>
  </si>
  <si>
    <t>Unlevered Free Cash Flow</t>
  </si>
  <si>
    <t xml:space="preserve">NPV 5yr </t>
  </si>
  <si>
    <t xml:space="preserve">Period </t>
  </si>
  <si>
    <t>NVP of Terminal Value</t>
  </si>
  <si>
    <t>Enterprise Value</t>
  </si>
  <si>
    <t>Perpetuity Growth Rate</t>
  </si>
  <si>
    <t>Equity Value</t>
  </si>
  <si>
    <t>Implied Share Price</t>
  </si>
  <si>
    <t>Net Debt</t>
  </si>
  <si>
    <t xml:space="preserve">Exit Multiple </t>
  </si>
  <si>
    <t>EBITDA Exit Multiple</t>
  </si>
  <si>
    <t>Gordon Growth Model</t>
  </si>
  <si>
    <t>Cash</t>
  </si>
  <si>
    <t>Diluted Shares outstanding</t>
  </si>
  <si>
    <t>Net income to common stockholders</t>
  </si>
  <si>
    <t>NCI</t>
  </si>
  <si>
    <t>Diluted shares (M)</t>
  </si>
  <si>
    <t>Ratios</t>
  </si>
  <si>
    <t xml:space="preserve">Liquidity ratios </t>
  </si>
  <si>
    <t xml:space="preserve">Current ratio </t>
  </si>
  <si>
    <t xml:space="preserve">Acid-test ratio </t>
  </si>
  <si>
    <t xml:space="preserve">Cash ratio </t>
  </si>
  <si>
    <t xml:space="preserve">Operating cash flow ratio </t>
  </si>
  <si>
    <t xml:space="preserve">Leverage Financial Ratios </t>
  </si>
  <si>
    <t xml:space="preserve">Debt ratio </t>
  </si>
  <si>
    <t xml:space="preserve">Debt to equity ratio </t>
  </si>
  <si>
    <t xml:space="preserve">interest coverage ratio </t>
  </si>
  <si>
    <t>Asset turnover ratio</t>
  </si>
  <si>
    <t xml:space="preserve">Inventory turnover ratio </t>
  </si>
  <si>
    <t xml:space="preserve">Receivables turnover ratio </t>
  </si>
  <si>
    <t xml:space="preserve">Gross margin ratio </t>
  </si>
  <si>
    <t xml:space="preserve">Operating margin ratio </t>
  </si>
  <si>
    <t xml:space="preserve">Return on assets ratio </t>
  </si>
  <si>
    <t xml:space="preserve">Return on equity ratio </t>
  </si>
  <si>
    <t xml:space="preserve">Price-earnings ratio </t>
  </si>
  <si>
    <t>Efficiency Ratios</t>
  </si>
  <si>
    <t>10k 2019</t>
  </si>
  <si>
    <t>10k 2021</t>
  </si>
  <si>
    <t>NPV of Terminal Value</t>
  </si>
  <si>
    <t>avg</t>
  </si>
  <si>
    <t>Less: Increase in Working Capital</t>
  </si>
  <si>
    <t>Operating income</t>
  </si>
  <si>
    <t xml:space="preserve">Non-controlling interests </t>
  </si>
  <si>
    <t xml:space="preserve">Net Increase (Decrease) in Cash </t>
  </si>
  <si>
    <t>Increase in Short Term Debt (+)</t>
  </si>
  <si>
    <t>Increase in Long Term Debt (+)</t>
  </si>
  <si>
    <t>Increase in Common Shares (+)</t>
  </si>
  <si>
    <t>Payments:</t>
  </si>
  <si>
    <t>Proceeds:</t>
  </si>
  <si>
    <t>Expense:</t>
  </si>
  <si>
    <t>Profitability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</si>
</sst>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2" formatCode="_(&quot;$&quot;* #,##0_);_(&quot;$&quot;* \(#,##0\);_(&quot;$&quot;* &quot;-&quot;_);_(@_)"/>
    <numFmt numFmtId="43" formatCode="_(* #,##0.00_);_(* \(#,##0.00\);_(* &quot;-&quot;??_);_(@_)"/>
    <numFmt numFmtId="164" formatCode="General\A"/>
    <numFmt numFmtId="165" formatCode="General\P"/>
    <numFmt numFmtId="166" formatCode="#,##0.0"/>
    <numFmt numFmtId="167" formatCode="0.0%"/>
    <numFmt numFmtId="168" formatCode="_(* #,##0_);_(* \(#,##0\);_(* &quot;-&quot;??_);_(@_)"/>
    <numFmt numFmtId="169" formatCode="0\A"/>
    <numFmt numFmtId="170" formatCode="0\P"/>
    <numFmt numFmtId="171" formatCode="0\x"/>
    <numFmt numFmtId="172" formatCode="_(* #,##0.0_);_(* \(#,##0.0\);_(* &quot;-&quot;??_);_(@_)"/>
  </numFmts>
  <fonts count="28" x14ac:knownFonts="1">
    <font>
      <sz val="12"/>
      <color theme="1"/>
      <name val="Calibri"/>
      <family val="2"/>
      <scheme val="minor"/>
    </font>
    <font>
      <sz val="12"/>
      <color theme="1"/>
      <name val="Calibri"/>
      <family val="2"/>
      <scheme val="minor"/>
    </font>
    <font>
      <sz val="12"/>
      <color rgb="FF9C5700"/>
      <name val="Calibri"/>
      <family val="2"/>
      <scheme val="minor"/>
    </font>
    <font>
      <b/>
      <sz val="12"/>
      <color theme="0"/>
      <name val="Calibri"/>
      <family val="2"/>
      <scheme val="minor"/>
    </font>
    <font>
      <sz val="12"/>
      <color rgb="FFFF0000"/>
      <name val="Calibri"/>
      <family val="2"/>
      <scheme val="minor"/>
    </font>
    <font>
      <b/>
      <sz val="12"/>
      <color theme="1"/>
      <name val="Calibri"/>
      <family val="2"/>
      <scheme val="minor"/>
    </font>
    <font>
      <sz val="12"/>
      <color theme="0"/>
      <name val="Calibri"/>
      <family val="2"/>
      <scheme val="minor"/>
    </font>
    <font>
      <sz val="12"/>
      <name val="Calibri"/>
      <family val="2"/>
      <scheme val="minor"/>
    </font>
    <font>
      <i/>
      <sz val="12"/>
      <color theme="1"/>
      <name val="Calibri"/>
      <family val="2"/>
      <scheme val="minor"/>
    </font>
    <font>
      <b/>
      <i/>
      <sz val="12"/>
      <color theme="1"/>
      <name val="Calibri"/>
      <family val="2"/>
      <scheme val="minor"/>
    </font>
    <font>
      <sz val="12"/>
      <color theme="0" tint="-0.249977111117893"/>
      <name val="Calibri"/>
      <family val="2"/>
      <scheme val="minor"/>
    </font>
    <font>
      <b/>
      <sz val="12"/>
      <color theme="0" tint="-0.499984740745262"/>
      <name val="Calibri"/>
      <family val="2"/>
      <scheme val="minor"/>
    </font>
    <font>
      <sz val="12"/>
      <color rgb="FF00B0F0"/>
      <name val="Calibri"/>
      <family val="2"/>
      <scheme val="minor"/>
    </font>
    <font>
      <i/>
      <sz val="12"/>
      <color theme="0" tint="-0.499984740745262"/>
      <name val="Calibri"/>
      <family val="2"/>
      <scheme val="minor"/>
    </font>
    <font>
      <i/>
      <sz val="12"/>
      <name val="Calibri"/>
      <family val="2"/>
      <scheme val="minor"/>
    </font>
    <font>
      <i/>
      <sz val="12"/>
      <color rgb="FF00B0F0"/>
      <name val="Calibri"/>
      <family val="2"/>
      <scheme val="minor"/>
    </font>
    <font>
      <sz val="12"/>
      <color theme="0" tint="-0.499984740745262"/>
      <name val="Calibri"/>
      <family val="2"/>
      <scheme val="minor"/>
    </font>
    <font>
      <b/>
      <i/>
      <sz val="12"/>
      <name val="Calibri"/>
      <family val="2"/>
      <scheme val="minor"/>
    </font>
    <font>
      <i/>
      <sz val="12"/>
      <color rgb="FFFF0000"/>
      <name val="Calibri"/>
      <family val="2"/>
      <scheme val="minor"/>
    </font>
    <font>
      <sz val="12"/>
      <color theme="0" tint="-0.34998626667073579"/>
      <name val="Calibri"/>
      <family val="2"/>
      <scheme val="minor"/>
    </font>
    <font>
      <b/>
      <sz val="11"/>
      <color theme="1"/>
      <name val="Calibri"/>
      <family val="2"/>
    </font>
    <font>
      <b/>
      <sz val="11"/>
      <color theme="1"/>
      <name val="Calibri"/>
      <family val="2"/>
      <scheme val="minor"/>
    </font>
    <font>
      <sz val="11"/>
      <color theme="1"/>
      <name val="Calibri"/>
      <family val="2"/>
      <scheme val="minor"/>
    </font>
    <font>
      <u/>
      <sz val="12"/>
      <color theme="10"/>
      <name val="Calibri"/>
      <family val="2"/>
      <scheme val="minor"/>
    </font>
    <font>
      <sz val="12"/>
      <color theme="9"/>
      <name val="Calibri"/>
      <family val="2"/>
      <scheme val="minor"/>
    </font>
    <font>
      <b/>
      <sz val="12"/>
      <color theme="9"/>
      <name val="Calibri"/>
      <family val="2"/>
      <scheme val="minor"/>
    </font>
    <font>
      <sz val="10"/>
      <color rgb="FF000000"/>
      <name val="Tahoma"/>
      <family val="2"/>
    </font>
    <font>
      <sz val="12"/>
      <color theme="4"/>
      <name val="Calibri"/>
      <family val="2"/>
      <scheme val="minor"/>
    </font>
  </fonts>
  <fills count="6">
    <fill>
      <patternFill patternType="none"/>
    </fill>
    <fill>
      <patternFill patternType="gray125"/>
    </fill>
    <fill>
      <patternFill patternType="solid">
        <fgColor rgb="FFFFEB9C"/>
      </patternFill>
    </fill>
    <fill>
      <patternFill patternType="solid">
        <fgColor theme="0" tint="-4.9989318521683403E-2"/>
        <bgColor indexed="64"/>
      </patternFill>
    </fill>
    <fill>
      <patternFill patternType="solid">
        <fgColor theme="4" tint="-0.499984740745262"/>
        <bgColor indexed="64"/>
      </patternFill>
    </fill>
    <fill>
      <patternFill patternType="solid">
        <fgColor rgb="FFFFEB9C"/>
        <bgColor indexed="64"/>
      </patternFill>
    </fill>
  </fills>
  <borders count="14">
    <border>
      <left/>
      <right/>
      <top/>
      <bottom/>
      <diagonal/>
    </border>
    <border>
      <left/>
      <right/>
      <top/>
      <bottom style="thin">
        <color indexed="64"/>
      </bottom>
      <diagonal/>
    </border>
    <border>
      <left/>
      <right style="thin">
        <color indexed="64"/>
      </right>
      <top/>
      <bottom/>
      <diagonal/>
    </border>
    <border>
      <left/>
      <right style="thin">
        <color indexed="64"/>
      </right>
      <top/>
      <bottom style="thin">
        <color indexed="64"/>
      </bottom>
      <diagonal/>
    </border>
    <border>
      <left style="thin">
        <color auto="1"/>
      </left>
      <right/>
      <top/>
      <bottom/>
      <diagonal/>
    </border>
    <border>
      <left/>
      <right/>
      <top style="thin">
        <color indexed="64"/>
      </top>
      <bottom style="double">
        <color indexed="64"/>
      </bottom>
      <diagonal/>
    </border>
    <border>
      <left/>
      <right/>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s>
  <cellStyleXfs count="5">
    <xf numFmtId="0" fontId="0" fillId="0" borderId="0"/>
    <xf numFmtId="43" fontId="1" fillId="0" borderId="0" applyFont="0" applyFill="0" applyBorder="0" applyAlignment="0" applyProtection="0"/>
    <xf numFmtId="9" fontId="1" fillId="0" borderId="0" applyFont="0" applyFill="0" applyBorder="0" applyAlignment="0" applyProtection="0"/>
    <xf numFmtId="0" fontId="2" fillId="2" borderId="0" applyNumberFormat="0" applyBorder="0" applyAlignment="0" applyProtection="0"/>
    <xf numFmtId="0" fontId="23" fillId="0" borderId="0" applyNumberFormat="0" applyFill="0" applyBorder="0" applyAlignment="0" applyProtection="0"/>
  </cellStyleXfs>
  <cellXfs count="201">
    <xf numFmtId="0" fontId="0" fillId="0" borderId="0" xfId="0"/>
    <xf numFmtId="3" fontId="0" fillId="3" borderId="0" xfId="1" applyNumberFormat="1" applyFont="1" applyFill="1"/>
    <xf numFmtId="3" fontId="0" fillId="3" borderId="1" xfId="1" applyNumberFormat="1" applyFont="1" applyFill="1" applyBorder="1"/>
    <xf numFmtId="168" fontId="0" fillId="3" borderId="0" xfId="1" applyNumberFormat="1" applyFont="1" applyFill="1"/>
    <xf numFmtId="168" fontId="0" fillId="3" borderId="1" xfId="1" applyNumberFormat="1" applyFont="1" applyFill="1" applyBorder="1"/>
    <xf numFmtId="168" fontId="0" fillId="3" borderId="0" xfId="1" applyNumberFormat="1" applyFont="1" applyFill="1" applyBorder="1"/>
    <xf numFmtId="1" fontId="7" fillId="5" borderId="0" xfId="3" applyNumberFormat="1" applyFont="1" applyFill="1"/>
    <xf numFmtId="167" fontId="7" fillId="5" borderId="0" xfId="3" applyNumberFormat="1" applyFont="1" applyFill="1"/>
    <xf numFmtId="3" fontId="0" fillId="3" borderId="0" xfId="1" applyNumberFormat="1" applyFont="1" applyFill="1" applyBorder="1"/>
    <xf numFmtId="0" fontId="8" fillId="3" borderId="0" xfId="0" applyFont="1" applyFill="1" applyAlignment="1">
      <alignment horizontal="left"/>
    </xf>
    <xf numFmtId="0" fontId="8" fillId="3" borderId="0" xfId="0" applyFont="1" applyFill="1"/>
    <xf numFmtId="167" fontId="8" fillId="3" borderId="0" xfId="2" applyNumberFormat="1" applyFont="1" applyFill="1"/>
    <xf numFmtId="167" fontId="8" fillId="3" borderId="0" xfId="0" applyNumberFormat="1" applyFont="1" applyFill="1"/>
    <xf numFmtId="0" fontId="5" fillId="3" borderId="0" xfId="0" applyFont="1" applyFill="1"/>
    <xf numFmtId="0" fontId="0" fillId="3" borderId="0" xfId="0" applyFont="1" applyFill="1"/>
    <xf numFmtId="3" fontId="0" fillId="3" borderId="1" xfId="0" applyNumberFormat="1" applyFont="1" applyFill="1" applyBorder="1"/>
    <xf numFmtId="3" fontId="0" fillId="3" borderId="0" xfId="0" applyNumberFormat="1" applyFont="1" applyFill="1" applyBorder="1"/>
    <xf numFmtId="168" fontId="5" fillId="3" borderId="1" xfId="1" applyNumberFormat="1" applyFont="1" applyFill="1" applyBorder="1"/>
    <xf numFmtId="3" fontId="5" fillId="3" borderId="0" xfId="0" applyNumberFormat="1" applyFont="1" applyFill="1" applyBorder="1"/>
    <xf numFmtId="0" fontId="8" fillId="3" borderId="0" xfId="0" applyFont="1" applyFill="1" applyAlignment="1">
      <alignment horizontal="left" indent="1"/>
    </xf>
    <xf numFmtId="0" fontId="8" fillId="3" borderId="0" xfId="0" applyFont="1" applyFill="1" applyAlignment="1">
      <alignment horizontal="left" indent="2"/>
    </xf>
    <xf numFmtId="167" fontId="8" fillId="5" borderId="0" xfId="0" applyNumberFormat="1" applyFont="1" applyFill="1"/>
    <xf numFmtId="3" fontId="8" fillId="3" borderId="0" xfId="0" applyNumberFormat="1" applyFont="1" applyFill="1"/>
    <xf numFmtId="0" fontId="9" fillId="3" borderId="0" xfId="0" applyFont="1" applyFill="1"/>
    <xf numFmtId="0" fontId="8" fillId="5" borderId="0" xfId="0" applyFont="1" applyFill="1"/>
    <xf numFmtId="3" fontId="0" fillId="3" borderId="0" xfId="0" applyNumberFormat="1" applyFont="1" applyFill="1"/>
    <xf numFmtId="0" fontId="0" fillId="3" borderId="0" xfId="0" applyFont="1" applyFill="1" applyAlignment="1">
      <alignment horizontal="left" indent="2"/>
    </xf>
    <xf numFmtId="167" fontId="0" fillId="3" borderId="0" xfId="0" applyNumberFormat="1" applyFont="1" applyFill="1"/>
    <xf numFmtId="168" fontId="0" fillId="3" borderId="5" xfId="1" applyNumberFormat="1" applyFont="1" applyFill="1" applyBorder="1"/>
    <xf numFmtId="0" fontId="8" fillId="3" borderId="0" xfId="0" applyFont="1" applyFill="1" applyBorder="1"/>
    <xf numFmtId="3" fontId="0" fillId="3" borderId="6" xfId="1" applyNumberFormat="1" applyFont="1" applyFill="1" applyBorder="1"/>
    <xf numFmtId="167" fontId="8" fillId="3" borderId="0" xfId="0" applyNumberFormat="1" applyFont="1" applyFill="1" applyBorder="1"/>
    <xf numFmtId="167" fontId="8" fillId="3" borderId="0" xfId="2" applyNumberFormat="1" applyFont="1" applyFill="1" applyBorder="1"/>
    <xf numFmtId="0" fontId="10" fillId="3" borderId="0" xfId="0" applyFont="1" applyFill="1" applyAlignment="1">
      <alignment horizontal="left" indent="1"/>
    </xf>
    <xf numFmtId="3" fontId="10" fillId="3" borderId="0" xfId="1" applyNumberFormat="1" applyFont="1" applyFill="1" applyBorder="1"/>
    <xf numFmtId="3" fontId="10" fillId="3" borderId="0" xfId="1" applyNumberFormat="1" applyFont="1" applyFill="1"/>
    <xf numFmtId="3" fontId="10" fillId="3" borderId="0" xfId="0" applyNumberFormat="1" applyFont="1" applyFill="1"/>
    <xf numFmtId="0" fontId="10" fillId="3" borderId="0" xfId="0" applyFont="1" applyFill="1"/>
    <xf numFmtId="0" fontId="10" fillId="3" borderId="0" xfId="0" applyFont="1" applyFill="1" applyAlignment="1">
      <alignment horizontal="left" indent="3"/>
    </xf>
    <xf numFmtId="0" fontId="3" fillId="4" borderId="0" xfId="0" applyFont="1" applyFill="1" applyAlignment="1">
      <alignment horizontal="center" vertical="top"/>
    </xf>
    <xf numFmtId="164" fontId="11" fillId="4" borderId="0" xfId="0" applyNumberFormat="1" applyFont="1" applyFill="1" applyAlignment="1">
      <alignment horizontal="center" vertical="top"/>
    </xf>
    <xf numFmtId="164" fontId="3" fillId="4" borderId="0" xfId="0" applyNumberFormat="1" applyFont="1" applyFill="1" applyAlignment="1">
      <alignment horizontal="center" vertical="top"/>
    </xf>
    <xf numFmtId="165" fontId="3" fillId="4" borderId="0" xfId="0" applyNumberFormat="1" applyFont="1" applyFill="1" applyAlignment="1">
      <alignment horizontal="center" vertical="top"/>
    </xf>
    <xf numFmtId="3" fontId="0" fillId="3" borderId="0" xfId="0" applyNumberFormat="1" applyFont="1" applyFill="1" applyAlignment="1">
      <alignment horizontal="right"/>
    </xf>
    <xf numFmtId="3" fontId="12" fillId="3" borderId="0" xfId="0" applyNumberFormat="1" applyFont="1" applyFill="1" applyAlignment="1">
      <alignment horizontal="right"/>
    </xf>
    <xf numFmtId="0" fontId="0" fillId="3" borderId="1" xfId="0" applyFont="1" applyFill="1" applyBorder="1"/>
    <xf numFmtId="3" fontId="0" fillId="3" borderId="1" xfId="0" applyNumberFormat="1" applyFont="1" applyFill="1" applyBorder="1" applyAlignment="1">
      <alignment horizontal="right"/>
    </xf>
    <xf numFmtId="3" fontId="12" fillId="3" borderId="1" xfId="0" applyNumberFormat="1" applyFont="1" applyFill="1" applyBorder="1" applyAlignment="1">
      <alignment horizontal="right"/>
    </xf>
    <xf numFmtId="0" fontId="0" fillId="3" borderId="0" xfId="0" applyFont="1" applyFill="1" applyAlignment="1">
      <alignment horizontal="left"/>
    </xf>
    <xf numFmtId="166" fontId="0" fillId="3" borderId="0" xfId="0" applyNumberFormat="1" applyFont="1" applyFill="1" applyAlignment="1">
      <alignment horizontal="right"/>
    </xf>
    <xf numFmtId="3" fontId="7" fillId="3" borderId="0" xfId="0" applyNumberFormat="1" applyFont="1" applyFill="1"/>
    <xf numFmtId="3" fontId="12" fillId="3" borderId="0" xfId="0" applyNumberFormat="1" applyFont="1" applyFill="1"/>
    <xf numFmtId="0" fontId="5" fillId="3" borderId="0" xfId="0" applyFont="1" applyFill="1" applyAlignment="1">
      <alignment horizontal="left" vertical="center"/>
    </xf>
    <xf numFmtId="3" fontId="5" fillId="3" borderId="0" xfId="0" applyNumberFormat="1" applyFont="1" applyFill="1"/>
    <xf numFmtId="3" fontId="8" fillId="5" borderId="0" xfId="0" applyNumberFormat="1" applyFont="1" applyFill="1"/>
    <xf numFmtId="3" fontId="0" fillId="5" borderId="0" xfId="0" applyNumberFormat="1" applyFont="1" applyFill="1"/>
    <xf numFmtId="0" fontId="8" fillId="3" borderId="0" xfId="0" applyFont="1" applyFill="1" applyAlignment="1">
      <alignment horizontal="left" vertical="center"/>
    </xf>
    <xf numFmtId="167" fontId="13" fillId="3" borderId="0" xfId="1" applyNumberFormat="1" applyFont="1" applyFill="1"/>
    <xf numFmtId="167" fontId="13" fillId="3" borderId="0" xfId="1" applyNumberFormat="1" applyFont="1" applyFill="1" applyBorder="1"/>
    <xf numFmtId="167" fontId="14" fillId="3" borderId="0" xfId="1" applyNumberFormat="1" applyFont="1" applyFill="1" applyBorder="1"/>
    <xf numFmtId="167" fontId="14" fillId="3" borderId="0" xfId="1" applyNumberFormat="1" applyFont="1" applyFill="1"/>
    <xf numFmtId="167" fontId="15" fillId="2" borderId="0" xfId="3" applyNumberFormat="1" applyFont="1"/>
    <xf numFmtId="167" fontId="14" fillId="2" borderId="0" xfId="3" applyNumberFormat="1" applyFont="1"/>
    <xf numFmtId="167" fontId="13" fillId="3" borderId="0" xfId="0" applyNumberFormat="1" applyFont="1" applyFill="1" applyAlignment="1">
      <alignment horizontal="left"/>
    </xf>
    <xf numFmtId="164" fontId="11" fillId="4" borderId="0" xfId="0" applyNumberFormat="1" applyFont="1" applyFill="1" applyBorder="1" applyAlignment="1">
      <alignment horizontal="center" vertical="top"/>
    </xf>
    <xf numFmtId="164" fontId="3" fillId="4" borderId="0" xfId="0" applyNumberFormat="1" applyFont="1" applyFill="1" applyBorder="1" applyAlignment="1">
      <alignment horizontal="center" vertical="top"/>
    </xf>
    <xf numFmtId="3" fontId="11" fillId="3" borderId="0" xfId="1" applyNumberFormat="1" applyFont="1" applyFill="1"/>
    <xf numFmtId="3" fontId="11" fillId="3" borderId="0" xfId="1" applyNumberFormat="1" applyFont="1" applyFill="1" applyBorder="1"/>
    <xf numFmtId="3" fontId="5" fillId="3" borderId="0" xfId="1" applyNumberFormat="1" applyFont="1" applyFill="1" applyBorder="1"/>
    <xf numFmtId="3" fontId="5" fillId="3" borderId="0" xfId="1" applyNumberFormat="1" applyFont="1" applyFill="1"/>
    <xf numFmtId="3" fontId="16" fillId="3" borderId="1" xfId="1" applyNumberFormat="1" applyFont="1" applyFill="1" applyBorder="1"/>
    <xf numFmtId="3" fontId="16" fillId="3" borderId="0" xfId="1" applyNumberFormat="1" applyFont="1" applyFill="1"/>
    <xf numFmtId="3" fontId="16" fillId="3" borderId="0" xfId="1" applyNumberFormat="1" applyFont="1" applyFill="1" applyBorder="1"/>
    <xf numFmtId="3" fontId="16" fillId="3" borderId="1" xfId="0" applyNumberFormat="1" applyFont="1" applyFill="1" applyBorder="1"/>
    <xf numFmtId="3" fontId="17" fillId="3" borderId="0" xfId="1" applyNumberFormat="1" applyFont="1" applyFill="1" applyBorder="1"/>
    <xf numFmtId="3" fontId="11" fillId="3" borderId="0" xfId="0" applyNumberFormat="1" applyFont="1" applyFill="1"/>
    <xf numFmtId="3" fontId="11" fillId="3" borderId="0" xfId="0" applyNumberFormat="1" applyFont="1" applyFill="1" applyBorder="1"/>
    <xf numFmtId="0" fontId="7" fillId="3" borderId="0" xfId="0" applyFont="1" applyFill="1"/>
    <xf numFmtId="2" fontId="16" fillId="3" borderId="0" xfId="1" applyNumberFormat="1" applyFont="1" applyFill="1"/>
    <xf numFmtId="2" fontId="16" fillId="3" borderId="0" xfId="1" applyNumberFormat="1" applyFont="1" applyFill="1" applyBorder="1"/>
    <xf numFmtId="2" fontId="7" fillId="3" borderId="0" xfId="1" applyNumberFormat="1" applyFont="1" applyFill="1" applyBorder="1"/>
    <xf numFmtId="2" fontId="7" fillId="3" borderId="0" xfId="1" applyNumberFormat="1" applyFont="1" applyFill="1"/>
    <xf numFmtId="0" fontId="16" fillId="3" borderId="0" xfId="0" applyFont="1" applyFill="1"/>
    <xf numFmtId="3" fontId="7" fillId="3" borderId="0" xfId="1" applyNumberFormat="1" applyFont="1" applyFill="1" applyBorder="1"/>
    <xf numFmtId="3" fontId="7" fillId="3" borderId="0" xfId="1" applyNumberFormat="1" applyFont="1" applyFill="1"/>
    <xf numFmtId="43" fontId="0" fillId="3" borderId="0" xfId="0" applyNumberFormat="1" applyFont="1" applyFill="1"/>
    <xf numFmtId="168" fontId="8" fillId="3" borderId="0" xfId="1" applyNumberFormat="1" applyFont="1" applyFill="1" applyAlignment="1">
      <alignment horizontal="right"/>
    </xf>
    <xf numFmtId="0" fontId="14" fillId="3" borderId="0" xfId="0" applyFont="1" applyFill="1"/>
    <xf numFmtId="167" fontId="16" fillId="3" borderId="0" xfId="2" applyNumberFormat="1" applyFont="1" applyFill="1"/>
    <xf numFmtId="167" fontId="16" fillId="3" borderId="0" xfId="2" applyNumberFormat="1" applyFont="1" applyFill="1" applyBorder="1"/>
    <xf numFmtId="167" fontId="7" fillId="3" borderId="0" xfId="2" applyNumberFormat="1" applyFont="1" applyFill="1" applyBorder="1"/>
    <xf numFmtId="167" fontId="7" fillId="3" borderId="0" xfId="2" applyNumberFormat="1" applyFont="1" applyFill="1"/>
    <xf numFmtId="167" fontId="7" fillId="2" borderId="0" xfId="3" applyNumberFormat="1" applyFont="1"/>
    <xf numFmtId="43" fontId="7" fillId="3" borderId="0" xfId="0" applyNumberFormat="1" applyFont="1" applyFill="1"/>
    <xf numFmtId="42" fontId="14" fillId="3" borderId="0" xfId="1" applyNumberFormat="1" applyFont="1" applyFill="1" applyBorder="1" applyAlignment="1"/>
    <xf numFmtId="3" fontId="14" fillId="3" borderId="0" xfId="1" applyNumberFormat="1" applyFont="1" applyFill="1" applyBorder="1"/>
    <xf numFmtId="167" fontId="14" fillId="3" borderId="0" xfId="0" applyNumberFormat="1" applyFont="1" applyFill="1"/>
    <xf numFmtId="0" fontId="16" fillId="3" borderId="0" xfId="0" applyFont="1" applyFill="1" applyBorder="1"/>
    <xf numFmtId="0" fontId="0" fillId="3" borderId="0" xfId="0" applyFont="1" applyFill="1" applyBorder="1"/>
    <xf numFmtId="0" fontId="8" fillId="3" borderId="0" xfId="0" applyFont="1" applyFill="1" applyAlignment="1">
      <alignment horizontal="right"/>
    </xf>
    <xf numFmtId="167" fontId="7" fillId="3" borderId="0" xfId="3" applyNumberFormat="1" applyFont="1" applyFill="1"/>
    <xf numFmtId="3" fontId="14" fillId="3" borderId="0" xfId="1" applyNumberFormat="1" applyFont="1" applyFill="1" applyBorder="1" applyAlignment="1"/>
    <xf numFmtId="167" fontId="14" fillId="3" borderId="0" xfId="3" applyNumberFormat="1" applyFont="1" applyFill="1"/>
    <xf numFmtId="167" fontId="18" fillId="3" borderId="0" xfId="1" applyNumberFormat="1" applyFont="1" applyFill="1"/>
    <xf numFmtId="167" fontId="18" fillId="3" borderId="0" xfId="1" applyNumberFormat="1" applyFont="1" applyFill="1" applyBorder="1"/>
    <xf numFmtId="1" fontId="0" fillId="3" borderId="0" xfId="0" applyNumberFormat="1" applyFont="1" applyFill="1"/>
    <xf numFmtId="1" fontId="0" fillId="3" borderId="0" xfId="0" applyNumberFormat="1" applyFont="1" applyFill="1" applyBorder="1"/>
    <xf numFmtId="168" fontId="5" fillId="3" borderId="0" xfId="1" applyNumberFormat="1" applyFont="1" applyFill="1"/>
    <xf numFmtId="168" fontId="5" fillId="3" borderId="0" xfId="1" applyNumberFormat="1" applyFont="1" applyFill="1" applyBorder="1"/>
    <xf numFmtId="3" fontId="5" fillId="3" borderId="5" xfId="1" applyNumberFormat="1" applyFont="1" applyFill="1" applyBorder="1"/>
    <xf numFmtId="3" fontId="0" fillId="3" borderId="5" xfId="0" applyNumberFormat="1" applyFont="1" applyFill="1" applyBorder="1"/>
    <xf numFmtId="3" fontId="9" fillId="3" borderId="0" xfId="1" applyNumberFormat="1" applyFont="1" applyFill="1"/>
    <xf numFmtId="3" fontId="9" fillId="3" borderId="0" xfId="1" applyNumberFormat="1" applyFont="1" applyFill="1" applyBorder="1"/>
    <xf numFmtId="1" fontId="8" fillId="3" borderId="0" xfId="1" applyNumberFormat="1" applyFont="1" applyFill="1"/>
    <xf numFmtId="1" fontId="8" fillId="3" borderId="0" xfId="1" applyNumberFormat="1" applyFont="1" applyFill="1" applyBorder="1"/>
    <xf numFmtId="1" fontId="14" fillId="5" borderId="0" xfId="0" applyNumberFormat="1" applyFont="1" applyFill="1"/>
    <xf numFmtId="167" fontId="8" fillId="3" borderId="0" xfId="1" applyNumberFormat="1" applyFont="1" applyFill="1"/>
    <xf numFmtId="167" fontId="8" fillId="3" borderId="0" xfId="1" applyNumberFormat="1" applyFont="1" applyFill="1" applyBorder="1"/>
    <xf numFmtId="167" fontId="14" fillId="5" borderId="0" xfId="0" applyNumberFormat="1" applyFont="1" applyFill="1"/>
    <xf numFmtId="168" fontId="8" fillId="3" borderId="0" xfId="1" applyNumberFormat="1" applyFont="1" applyFill="1"/>
    <xf numFmtId="168" fontId="8" fillId="3" borderId="0" xfId="1" applyNumberFormat="1" applyFont="1" applyFill="1" applyBorder="1"/>
    <xf numFmtId="3" fontId="8" fillId="3" borderId="0" xfId="1" applyNumberFormat="1" applyFont="1" applyFill="1" applyBorder="1"/>
    <xf numFmtId="3" fontId="8" fillId="3" borderId="0" xfId="1" applyNumberFormat="1" applyFont="1" applyFill="1"/>
    <xf numFmtId="3" fontId="8" fillId="5" borderId="0" xfId="1" applyNumberFormat="1" applyFont="1" applyFill="1"/>
    <xf numFmtId="0" fontId="0" fillId="3" borderId="0" xfId="0" applyFont="1" applyFill="1" applyAlignment="1">
      <alignment horizontal="left" indent="1"/>
    </xf>
    <xf numFmtId="0" fontId="0" fillId="3" borderId="0" xfId="0" applyFont="1" applyFill="1" applyAlignment="1">
      <alignment horizontal="left" indent="3"/>
    </xf>
    <xf numFmtId="3" fontId="13" fillId="3" borderId="0" xfId="1" applyNumberFormat="1" applyFont="1" applyFill="1" applyBorder="1"/>
    <xf numFmtId="3" fontId="16" fillId="3" borderId="6" xfId="1" applyNumberFormat="1" applyFont="1" applyFill="1" applyBorder="1"/>
    <xf numFmtId="3" fontId="0" fillId="3" borderId="6" xfId="0" applyNumberFormat="1" applyFont="1" applyFill="1" applyBorder="1"/>
    <xf numFmtId="0" fontId="5" fillId="3" borderId="0" xfId="0" applyFont="1" applyFill="1" applyAlignment="1">
      <alignment horizontal="left" indent="1"/>
    </xf>
    <xf numFmtId="0" fontId="5" fillId="3" borderId="0" xfId="0" applyFont="1" applyFill="1" applyAlignment="1">
      <alignment horizontal="left"/>
    </xf>
    <xf numFmtId="3" fontId="14" fillId="3" borderId="0" xfId="1" applyNumberFormat="1" applyFont="1" applyFill="1" applyBorder="1" applyAlignment="1">
      <alignment horizontal="left" indent="1"/>
    </xf>
    <xf numFmtId="3" fontId="19" fillId="3" borderId="0" xfId="0" applyNumberFormat="1" applyFont="1" applyFill="1"/>
    <xf numFmtId="0" fontId="19" fillId="3" borderId="0" xfId="0" applyFont="1" applyFill="1"/>
    <xf numFmtId="167" fontId="19" fillId="3" borderId="0" xfId="0" applyNumberFormat="1" applyFont="1" applyFill="1"/>
    <xf numFmtId="166" fontId="0" fillId="3" borderId="0" xfId="0" applyNumberFormat="1" applyFont="1" applyFill="1"/>
    <xf numFmtId="167" fontId="4" fillId="3" borderId="0" xfId="0" applyNumberFormat="1" applyFont="1" applyFill="1"/>
    <xf numFmtId="0" fontId="5" fillId="3" borderId="7" xfId="0" applyFont="1" applyFill="1" applyBorder="1"/>
    <xf numFmtId="0" fontId="8" fillId="3" borderId="8" xfId="0" applyFont="1" applyFill="1" applyBorder="1"/>
    <xf numFmtId="167" fontId="8" fillId="3" borderId="9" xfId="2" applyNumberFormat="1" applyFont="1" applyFill="1" applyBorder="1"/>
    <xf numFmtId="0" fontId="0" fillId="3" borderId="3" xfId="0" applyFont="1" applyFill="1" applyBorder="1" applyAlignment="1">
      <alignment horizontal="right"/>
    </xf>
    <xf numFmtId="0" fontId="0" fillId="3" borderId="1" xfId="0" applyFont="1" applyFill="1" applyBorder="1" applyAlignment="1">
      <alignment horizontal="right"/>
    </xf>
    <xf numFmtId="0" fontId="0" fillId="3" borderId="0" xfId="0" applyFont="1" applyFill="1" applyAlignment="1">
      <alignment horizontal="right"/>
    </xf>
    <xf numFmtId="0" fontId="12" fillId="3" borderId="0" xfId="0" applyFont="1" applyFill="1"/>
    <xf numFmtId="167" fontId="0" fillId="3" borderId="2" xfId="0" applyNumberFormat="1" applyFont="1" applyFill="1" applyBorder="1"/>
    <xf numFmtId="167" fontId="0" fillId="3" borderId="3" xfId="0" applyNumberFormat="1" applyFont="1" applyFill="1" applyBorder="1" applyAlignment="1">
      <alignment horizontal="right"/>
    </xf>
    <xf numFmtId="167" fontId="0" fillId="3" borderId="1" xfId="0" applyNumberFormat="1" applyFont="1" applyFill="1" applyBorder="1" applyAlignment="1">
      <alignment horizontal="center"/>
    </xf>
    <xf numFmtId="167" fontId="12" fillId="3" borderId="1" xfId="0" applyNumberFormat="1" applyFont="1" applyFill="1" applyBorder="1" applyAlignment="1">
      <alignment horizontal="center"/>
    </xf>
    <xf numFmtId="0" fontId="0" fillId="3" borderId="0" xfId="0" applyFont="1" applyFill="1" applyAlignment="1">
      <alignment horizontal="center"/>
    </xf>
    <xf numFmtId="167" fontId="0" fillId="3" borderId="3" xfId="0" applyNumberFormat="1" applyFont="1" applyFill="1" applyBorder="1" applyAlignment="1">
      <alignment horizontal="center"/>
    </xf>
    <xf numFmtId="3" fontId="0" fillId="3" borderId="0" xfId="0" applyNumberFormat="1" applyFont="1" applyFill="1" applyAlignment="1">
      <alignment horizontal="center"/>
    </xf>
    <xf numFmtId="167" fontId="0" fillId="3" borderId="2" xfId="0" applyNumberFormat="1" applyFont="1" applyFill="1" applyBorder="1" applyAlignment="1">
      <alignment horizontal="center"/>
    </xf>
    <xf numFmtId="3" fontId="0" fillId="3" borderId="10" xfId="0" applyNumberFormat="1" applyFont="1" applyFill="1" applyBorder="1" applyAlignment="1">
      <alignment horizontal="center"/>
    </xf>
    <xf numFmtId="3" fontId="0" fillId="3" borderId="11" xfId="0" applyNumberFormat="1" applyFont="1" applyFill="1" applyBorder="1" applyAlignment="1">
      <alignment horizontal="center"/>
    </xf>
    <xf numFmtId="3" fontId="0" fillId="3" borderId="12" xfId="0" applyNumberFormat="1" applyFont="1" applyFill="1" applyBorder="1" applyAlignment="1">
      <alignment horizontal="center"/>
    </xf>
    <xf numFmtId="3" fontId="0" fillId="3" borderId="4" xfId="0" applyNumberFormat="1" applyFont="1" applyFill="1" applyBorder="1" applyAlignment="1">
      <alignment horizontal="center"/>
    </xf>
    <xf numFmtId="3" fontId="0" fillId="3" borderId="2" xfId="0" applyNumberFormat="1" applyFont="1" applyFill="1" applyBorder="1" applyAlignment="1">
      <alignment horizontal="center"/>
    </xf>
    <xf numFmtId="3" fontId="0" fillId="3" borderId="13" xfId="0" applyNumberFormat="1" applyFont="1" applyFill="1" applyBorder="1" applyAlignment="1">
      <alignment horizontal="center"/>
    </xf>
    <xf numFmtId="3" fontId="0" fillId="3" borderId="1" xfId="0" applyNumberFormat="1" applyFont="1" applyFill="1" applyBorder="1" applyAlignment="1">
      <alignment horizontal="center"/>
    </xf>
    <xf numFmtId="3" fontId="0" fillId="3" borderId="3" xfId="0" applyNumberFormat="1" applyFont="1" applyFill="1" applyBorder="1" applyAlignment="1">
      <alignment horizontal="center"/>
    </xf>
    <xf numFmtId="171" fontId="0" fillId="3" borderId="1" xfId="0" applyNumberFormat="1" applyFont="1" applyFill="1" applyBorder="1" applyAlignment="1">
      <alignment horizontal="center"/>
    </xf>
    <xf numFmtId="171" fontId="12" fillId="3" borderId="1" xfId="0" applyNumberFormat="1" applyFont="1" applyFill="1" applyBorder="1" applyAlignment="1">
      <alignment horizontal="center"/>
    </xf>
    <xf numFmtId="0" fontId="3" fillId="3" borderId="0" xfId="0" applyFont="1" applyFill="1" applyAlignment="1"/>
    <xf numFmtId="0" fontId="0" fillId="3" borderId="0" xfId="0" applyFill="1"/>
    <xf numFmtId="4" fontId="20" fillId="3" borderId="0" xfId="0" applyNumberFormat="1" applyFont="1" applyFill="1"/>
    <xf numFmtId="0" fontId="21" fillId="3" borderId="0" xfId="0" applyFont="1" applyFill="1"/>
    <xf numFmtId="4" fontId="0" fillId="3" borderId="0" xfId="0" applyNumberFormat="1" applyFill="1" applyAlignment="1">
      <alignment horizontal="left" indent="2"/>
    </xf>
    <xf numFmtId="0" fontId="0" fillId="3" borderId="0" xfId="0" applyFill="1" applyAlignment="1">
      <alignment horizontal="left" indent="2"/>
    </xf>
    <xf numFmtId="0" fontId="22" fillId="3" borderId="0" xfId="0" applyFont="1" applyFill="1" applyAlignment="1">
      <alignment horizontal="left" indent="2"/>
    </xf>
    <xf numFmtId="167" fontId="5" fillId="3" borderId="0" xfId="0" applyNumberFormat="1" applyFont="1" applyFill="1"/>
    <xf numFmtId="0" fontId="23" fillId="3" borderId="0" xfId="4" applyFill="1"/>
    <xf numFmtId="0" fontId="6" fillId="4" borderId="0" xfId="0" applyFont="1" applyFill="1"/>
    <xf numFmtId="169" fontId="6" fillId="4" borderId="0" xfId="0" applyNumberFormat="1" applyFont="1" applyFill="1"/>
    <xf numFmtId="170" fontId="6" fillId="4" borderId="0" xfId="0" applyNumberFormat="1" applyFont="1" applyFill="1"/>
    <xf numFmtId="0" fontId="6" fillId="4" borderId="0" xfId="0" applyFont="1" applyFill="1" applyAlignment="1">
      <alignment horizontal="center" vertical="center"/>
    </xf>
    <xf numFmtId="172" fontId="0" fillId="3" borderId="0" xfId="1" applyNumberFormat="1" applyFont="1" applyFill="1" applyBorder="1"/>
    <xf numFmtId="172" fontId="0" fillId="3" borderId="0" xfId="1" applyNumberFormat="1" applyFont="1" applyFill="1"/>
    <xf numFmtId="0" fontId="8" fillId="3" borderId="0" xfId="0" applyFont="1" applyFill="1" applyBorder="1" applyAlignment="1">
      <alignment horizontal="left" indent="2"/>
    </xf>
    <xf numFmtId="9" fontId="0" fillId="3" borderId="0" xfId="0" applyNumberFormat="1" applyFont="1" applyFill="1"/>
    <xf numFmtId="43" fontId="0" fillId="3" borderId="0" xfId="1" applyFont="1" applyFill="1"/>
    <xf numFmtId="0" fontId="0" fillId="3" borderId="0" xfId="0" applyFont="1" applyFill="1" applyAlignment="1">
      <alignment horizontal="center"/>
    </xf>
    <xf numFmtId="0" fontId="5" fillId="3" borderId="0" xfId="0" applyFont="1" applyFill="1" applyAlignment="1">
      <alignment horizontal="center"/>
    </xf>
    <xf numFmtId="0" fontId="3" fillId="4" borderId="0" xfId="0" applyFont="1" applyFill="1" applyAlignment="1">
      <alignment horizontal="center"/>
    </xf>
    <xf numFmtId="0" fontId="6" fillId="4" borderId="0" xfId="0" applyFont="1" applyFill="1" applyAlignment="1">
      <alignment horizontal="center"/>
    </xf>
    <xf numFmtId="0" fontId="6" fillId="3" borderId="0" xfId="0" applyFont="1" applyFill="1" applyAlignment="1">
      <alignment horizontal="center"/>
    </xf>
    <xf numFmtId="3" fontId="24" fillId="3" borderId="0" xfId="0" applyNumberFormat="1" applyFont="1" applyFill="1"/>
    <xf numFmtId="0" fontId="24" fillId="3" borderId="0" xfId="0" applyFont="1" applyFill="1"/>
    <xf numFmtId="3" fontId="25" fillId="3" borderId="0" xfId="1" applyNumberFormat="1" applyFont="1" applyFill="1" applyBorder="1"/>
    <xf numFmtId="167" fontId="0" fillId="3" borderId="0" xfId="2" applyNumberFormat="1" applyFont="1" applyFill="1"/>
    <xf numFmtId="4" fontId="5" fillId="3" borderId="0" xfId="0" applyNumberFormat="1" applyFont="1" applyFill="1"/>
    <xf numFmtId="172" fontId="0" fillId="3" borderId="0" xfId="0" applyNumberFormat="1" applyFont="1" applyFill="1"/>
    <xf numFmtId="0" fontId="7" fillId="3" borderId="0" xfId="0" applyFont="1" applyFill="1" applyAlignment="1">
      <alignment horizontal="left" indent="3"/>
    </xf>
    <xf numFmtId="0" fontId="14" fillId="3" borderId="0" xfId="0" applyFont="1" applyFill="1" applyAlignment="1">
      <alignment horizontal="left" indent="2"/>
    </xf>
    <xf numFmtId="167" fontId="0" fillId="3" borderId="0" xfId="0" applyNumberFormat="1" applyFont="1" applyFill="1" applyBorder="1"/>
    <xf numFmtId="3" fontId="7" fillId="3" borderId="0" xfId="3" applyNumberFormat="1" applyFont="1" applyFill="1"/>
    <xf numFmtId="167" fontId="0" fillId="3" borderId="0" xfId="1" applyNumberFormat="1" applyFont="1" applyFill="1"/>
    <xf numFmtId="167" fontId="27" fillId="3" borderId="0" xfId="3" applyNumberFormat="1" applyFont="1" applyFill="1"/>
    <xf numFmtId="2" fontId="0" fillId="3" borderId="0" xfId="0" applyNumberFormat="1" applyFont="1" applyFill="1"/>
    <xf numFmtId="2" fontId="5" fillId="3" borderId="0" xfId="0" applyNumberFormat="1" applyFont="1" applyFill="1"/>
    <xf numFmtId="167" fontId="7" fillId="3" borderId="0" xfId="0" applyNumberFormat="1" applyFont="1" applyFill="1"/>
    <xf numFmtId="0" fontId="0" fillId="3" borderId="0" xfId="0" applyFont="1" applyFill="1" applyAlignment="1">
      <alignment horizontal="center" vertical="center"/>
    </xf>
  </cellXfs>
  <cellStyles count="5">
    <cellStyle name="Comma" xfId="1" builtinId="3"/>
    <cellStyle name="Hyperlink" xfId="4" builtinId="8"/>
    <cellStyle name="Neutral" xfId="3" builtinId="28"/>
    <cellStyle name="Normal" xfId="0" builtinId="0"/>
    <cellStyle name="Percent" xfId="2" builtinId="5"/>
  </cellStyles>
  <dxfs count="0"/>
  <tableStyles count="0" defaultTableStyle="TableStyleMedium2" defaultPivotStyle="PivotStyleLight16"/>
  <colors>
    <mruColors>
      <color rgb="FFFFEB9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13" Type="http://schemas.microsoft.com/office/2017/06/relationships/rdSupportingPropertyBag" Target="richData/rdsupportingpropertybag.xml"/><Relationship Id="rId3" Type="http://schemas.openxmlformats.org/officeDocument/2006/relationships/worksheet" Target="worksheets/sheet3.xml"/><Relationship Id="rId7" Type="http://schemas.openxmlformats.org/officeDocument/2006/relationships/sharedStrings" Target="sharedStrings.xml"/><Relationship Id="rId12" Type="http://schemas.microsoft.com/office/2017/06/relationships/rdSupportingPropertyBagStructure" Target="richData/rdsupportingpropertybagstructure.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styles" Target="styles.xml"/><Relationship Id="rId11" Type="http://schemas.microsoft.com/office/2017/06/relationships/richStyles" Target="richData/richStyles.xml"/><Relationship Id="rId5" Type="http://schemas.openxmlformats.org/officeDocument/2006/relationships/theme" Target="theme/theme1.xml"/><Relationship Id="rId15" Type="http://schemas.microsoft.com/office/2017/10/relationships/person" Target="persons/person.xml"/><Relationship Id="rId10" Type="http://schemas.microsoft.com/office/2017/06/relationships/rdRichValueStructure" Target="richData/rdrichvaluestructure.xml"/><Relationship Id="rId4" Type="http://schemas.openxmlformats.org/officeDocument/2006/relationships/externalLink" Target="externalLinks/externalLink1.xml"/><Relationship Id="rId9" Type="http://schemas.microsoft.com/office/2017/06/relationships/rdRichValue" Target="richData/rdrichvalue.xml"/><Relationship Id="rId14" Type="http://schemas.microsoft.com/office/2017/06/relationships/rdRichValueTypes" Target="richData/rdRichValueTyp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TSLA%20DCF%20modeling.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CF"/>
      <sheetName val="Revenue"/>
      <sheetName val="income"/>
      <sheetName val="balance"/>
      <sheetName val="cashflow"/>
      <sheetName val="Debt"/>
      <sheetName val="Competitors"/>
    </sheetNames>
    <sheetDataSet>
      <sheetData sheetId="0" refreshError="1"/>
      <sheetData sheetId="1" refreshError="1"/>
      <sheetData sheetId="2" refreshError="1">
        <row r="2">
          <cell r="B2">
            <v>7000.1320000000005</v>
          </cell>
          <cell r="C2">
            <v>11758.751</v>
          </cell>
        </row>
        <row r="14">
          <cell r="B14">
            <v>-667.34</v>
          </cell>
          <cell r="C14">
            <v>-1632.086</v>
          </cell>
        </row>
        <row r="21">
          <cell r="B21">
            <v>26.698</v>
          </cell>
          <cell r="C21">
            <v>31.545999999999999</v>
          </cell>
        </row>
        <row r="30">
          <cell r="B30">
            <v>3.5771516772336767E-2</v>
          </cell>
          <cell r="C30">
            <v>1.4280463116876531E-2</v>
          </cell>
          <cell r="D30">
            <v>5.7563859486735439E-2</v>
          </cell>
          <cell r="E30">
            <v>0.16541353383458646</v>
          </cell>
          <cell r="F30">
            <v>0.2530329289428076</v>
          </cell>
          <cell r="G30">
            <v>0.11020022071574964</v>
          </cell>
          <cell r="H30">
            <v>0.14655263574496979</v>
          </cell>
          <cell r="I30">
            <v>0.14655263574496979</v>
          </cell>
          <cell r="J30">
            <v>0.14655263574496979</v>
          </cell>
          <cell r="K30">
            <v>0.14655263574496979</v>
          </cell>
          <cell r="L30">
            <v>0.14655263574496979</v>
          </cell>
        </row>
        <row r="31">
          <cell r="H31">
            <v>6.3135966114029801E-2</v>
          </cell>
        </row>
        <row r="54">
          <cell r="C54">
            <v>1.8983760345438689</v>
          </cell>
        </row>
        <row r="60">
          <cell r="C60"/>
        </row>
      </sheetData>
      <sheetData sheetId="3" refreshError="1">
        <row r="31">
          <cell r="B31">
            <v>984.21100000000001</v>
          </cell>
        </row>
        <row r="48">
          <cell r="G48">
            <v>30189</v>
          </cell>
        </row>
        <row r="49">
          <cell r="G49">
            <v>62131</v>
          </cell>
        </row>
      </sheetData>
      <sheetData sheetId="4" refreshError="1">
        <row r="5">
          <cell r="A5" t="str">
            <v>Depreciation, amortization and impairment</v>
          </cell>
          <cell r="B5">
            <v>947.09899999999993</v>
          </cell>
          <cell r="C5">
            <v>1636.0030000000002</v>
          </cell>
          <cell r="E5">
            <v>2154</v>
          </cell>
          <cell r="F5">
            <v>2322</v>
          </cell>
          <cell r="G5">
            <v>2911</v>
          </cell>
          <cell r="H5">
            <v>7352.9820557380226</v>
          </cell>
          <cell r="I5">
            <v>9407.9509367762421</v>
          </cell>
          <cell r="J5">
            <v>11203.761695047782</v>
          </cell>
          <cell r="K5">
            <v>11721.13086187535</v>
          </cell>
          <cell r="L5">
            <v>14097.770012408131</v>
          </cell>
        </row>
        <row r="16">
          <cell r="B16">
            <v>-1832.836</v>
          </cell>
          <cell r="C16">
            <v>-24.634999999999998</v>
          </cell>
        </row>
        <row r="17">
          <cell r="B17">
            <v>56.805999999999997</v>
          </cell>
          <cell r="C17">
            <v>-178.85</v>
          </cell>
        </row>
        <row r="18">
          <cell r="B18">
            <v>-49.352999999999994</v>
          </cell>
          <cell r="C18">
            <v>-1522.5729999999999</v>
          </cell>
        </row>
        <row r="19">
          <cell r="B19">
            <v>750.64</v>
          </cell>
          <cell r="C19">
            <v>-72.084000000000003</v>
          </cell>
        </row>
        <row r="20">
          <cell r="B20">
            <v>382.96199999999999</v>
          </cell>
          <cell r="C20">
            <v>-15.452999999999999</v>
          </cell>
        </row>
        <row r="21">
          <cell r="B21">
            <v>388.36099999999999</v>
          </cell>
          <cell r="C21">
            <v>388.20600000000002</v>
          </cell>
        </row>
        <row r="22">
          <cell r="B22">
            <v>326.93400000000003</v>
          </cell>
          <cell r="C22">
            <v>468.90200000000004</v>
          </cell>
        </row>
        <row r="23">
          <cell r="B23">
            <v>132.05699999999999</v>
          </cell>
          <cell r="C23">
            <v>170.02699999999999</v>
          </cell>
        </row>
        <row r="24">
          <cell r="B24">
            <v>-123.82899999999999</v>
          </cell>
          <cell r="C24">
            <v>208.71799999999999</v>
          </cell>
        </row>
        <row r="25">
          <cell r="B25">
            <v>0</v>
          </cell>
          <cell r="C25">
            <v>81.138999999999996</v>
          </cell>
        </row>
        <row r="29">
          <cell r="C29">
            <v>-3414.8139999999999</v>
          </cell>
        </row>
      </sheetData>
      <sheetData sheetId="5" refreshError="1"/>
      <sheetData sheetId="6" refreshError="1"/>
    </sheetDataSet>
  </externalBook>
</externalLink>
</file>

<file path=xl/persons/person.xml><?xml version="1.0" encoding="utf-8"?>
<personList xmlns="http://schemas.microsoft.com/office/spreadsheetml/2018/threadedcomments" xmlns:x="http://schemas.openxmlformats.org/spreadsheetml/2006/main">
  <person displayName="Qin Liu" id="{B8F391EE-7D78-864C-942F-B4C55F6B2D2F}" userId="S::ql2373@columbia.edu::78896682-b43a-42b2-b16b-874ca3b2fa3c" providerId="AD"/>
</personList>
</file>

<file path=xl/richData/rdRichValueTypes.xml><?xml version="1.0" encoding="utf-8"?>
<rvTypesInfo xmlns="http://schemas.microsoft.com/office/spreadsheetml/2017/richdata2">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6">
  <rv s="0">
    <v>https://www.bing.com/financeapi/forcetrigger?t=r6dwra&amp;q=US10Y&amp;form=skydnc</v>
    <v>Learn more on Bing</v>
  </rv>
  <rv s="1">
    <v>0</v>
    <v>US Treasury 10Y</v>
    <v>2</v>
    <v>3</v>
    <v>Finance</v>
    <v>4</v>
    <v>en-US</v>
    <v>r6dwra</v>
    <v>268435456</v>
    <v>1</v>
    <v>Powered by Refinitiv</v>
    <v>0.67190000000000005</v>
    <v>6.7530000000000003E-3</v>
    <v>US</v>
    <v>USD</v>
    <v>Bond</v>
    <v>44614.124039351853</v>
    <v>0</v>
    <v>48259</v>
    <v>US Treasury 10Y</v>
    <v>99.5</v>
    <v>100.17189999999999</v>
    <v>US10Y</v>
    <v>US Treasury 10Y</v>
    <v>1.8770999999999999E-2</v>
    <v>1.951E-2</v>
    <v>1.345E-2</v>
    <v>2.0449999999999999E-2</v>
  </rv>
  <rv s="2">
    <v>1</v>
  </rv>
  <rv s="0">
    <v>https://www.bing.com/financeapi/forcetrigger?t=a24kar&amp;q=XNAS%3aTSLA&amp;form=skydnc</v>
    <v>Learn more on Bing</v>
  </rv>
  <rv s="3">
    <v>5</v>
    <v>TESLA, INC. (XNAS:TSLA)</v>
    <v>6</v>
    <v>7</v>
    <v>Finance</v>
    <v>8</v>
    <v>en-US</v>
    <v>a24kar</v>
    <v>268435456</v>
    <v>1</v>
    <v>Powered by Refinitiv</v>
    <v>1243.49</v>
    <v>539.49</v>
    <v>2.0539999999999998</v>
    <v>-19.37</v>
    <v>-2.2103000000000001E-2</v>
    <v>-4.9800000000000004</v>
    <v>-5.8109999999999993E-3</v>
    <v>USD</v>
    <v>Tesla, Inc. designs, develops, manufactures, sells and leases electric vehicles and energy generation and storage systems, and offers services related to its sustainable energy products. The Company's segments include automotive, and energy generation and storage. The automotive segment includes the design, development, manufacturing, sales and leasing of electric vehicles as well as sales of automotive regulatory credits. The energy generation and storage segment include the design, manufacture, installation, sales and leasing of solar energy systems and energy storage products, services related to its products, and sales of solar energy system incentives. Its automotive products include Model 3, Model Y, Model S and Model X. Model 3 is a four-door sedan. Model Y is a sport utility vehicle (SUV) built on the Model 3 platform. Model S is a four-door sedan. Model X is an SUV. The Company's energy storage products include Powerwall, Powerpack and Megapack.</v>
    <v>99290</v>
    <v>Nasdaq Stock Market</v>
    <v>XNAS</v>
    <v>XNAS</v>
    <v>13101 Harold Green Road, AUSTIN, TX, 78725 US</v>
    <v>886.87</v>
    <v>Automobiles &amp; Auto Parts</v>
    <v>Stock</v>
    <v>44610.882986573437</v>
    <v>3</v>
    <v>837.61</v>
    <v>885695400000</v>
    <v>TESLA, INC.</v>
    <v>TESLA, INC.</v>
    <v>886</v>
    <v>178.06129999999999</v>
    <v>876.35</v>
    <v>856.98</v>
    <v>852</v>
    <v>1033508000</v>
    <v>TSLA</v>
    <v>TESLA, INC. (XNAS:TSLA)</v>
    <v>22833947</v>
    <v>27342543</v>
    <v>2003</v>
  </rv>
  <rv s="2">
    <v>4</v>
  </rv>
</rvData>
</file>

<file path=xl/richData/rdrichvaluestructure.xml><?xml version="1.0" encoding="utf-8"?>
<rvStructures xmlns="http://schemas.microsoft.com/office/spreadsheetml/2017/richdata" count="4">
  <s t="_hyperlink">
    <k n="Address" t="s"/>
    <k n="Text" t="s"/>
  </s>
  <s t="_linkedentitycore">
    <k n="_Display" t="spb"/>
    <k n="_DisplayString" t="s"/>
    <k n="_Flags" t="spb"/>
    <k n="_Format" t="spb"/>
    <k n="_Icon" t="s"/>
    <k n="_SubLabel" t="spb"/>
    <k n="%EntityCulture" t="s"/>
    <k n="%EntityId" t="s"/>
    <k n="%EntityServiceId"/>
    <k n="%IsRefreshable" t="b"/>
    <k n="%ProviderInfo" t="s"/>
    <k n="Change"/>
    <k n="Change (%)"/>
    <k n="Country/region" t="s"/>
    <k n="Currency" t="s"/>
    <k n="Instrument type" t="s"/>
    <k n="Last trade time"/>
    <k n="LearnMoreOnLink" t="r"/>
    <k n="Maturity"/>
    <k n="Name" t="s"/>
    <k n="Previous close"/>
    <k n="Price"/>
    <k n="Ticker symbol" t="s"/>
    <k n="UniqueName" t="s"/>
    <k n="Yield last month"/>
    <k n="Yield last week"/>
    <k n="Yield last year"/>
    <k n="Yield yesterday"/>
  </s>
  <s t="_linkedentity">
    <k n="%cvi" t="r"/>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rvStructures>
</file>

<file path=xl/richData/rdsupportingpropertybag.xml><?xml version="1.0" encoding="utf-8"?>
<supportingPropertyBags xmlns="http://schemas.microsoft.com/office/spreadsheetml/2017/richdata2">
  <spbArrays count="2">
    <a count="28">
      <v t="s">%EntityServiceId</v>
      <v t="s">_Format</v>
      <v t="s">%IsRefreshable</v>
      <v t="s">%EntityCulture</v>
      <v t="s">%EntityId</v>
      <v t="s">_Icon</v>
      <v t="s">_Display</v>
      <v t="s">Name</v>
      <v t="s">Price</v>
      <v t="s">_SubLabel</v>
      <v t="s">Last trade time</v>
      <v t="s">Ticker symbol</v>
      <v t="s">Change</v>
      <v t="s">Change (%)</v>
      <v t="s">Currency</v>
      <v t="s">Previous close</v>
      <v t="s">Yield yesterday</v>
      <v t="s">Yield last week</v>
      <v t="s">Yield last month</v>
      <v t="s">Yield last year</v>
      <v t="s">Maturity</v>
      <v t="s">Country/region</v>
      <v t="s">Instrument type</v>
      <v t="s">_Flags</v>
      <v t="s">UniqueName</v>
      <v t="s">_DisplayString</v>
      <v t="s">LearnMoreOnLink</v>
      <v t="s">%ProviderInfo</v>
    </a>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9">
    <spb s="0">
      <v>0</v>
      <v>Name</v>
      <v>LearnMoreOnLink</v>
    </spb>
    <spb s="1">
      <v>0</v>
      <v>0</v>
      <v>0</v>
    </spb>
    <spb s="2">
      <v>1</v>
      <v>1</v>
      <v>1</v>
    </spb>
    <spb s="3">
      <v>1</v>
      <v>2</v>
      <v>2</v>
      <v>3</v>
      <v>4</v>
      <v>2</v>
      <v>5</v>
      <v>4</v>
      <v>4</v>
      <v>4</v>
      <v>4</v>
      <v>6</v>
    </spb>
    <spb s="4">
      <v>GMT</v>
    </spb>
    <spb s="0">
      <v>1</v>
      <v>Name</v>
      <v>LearnMoreOnLink</v>
    </spb>
    <spb s="5">
      <v>1</v>
      <v>1</v>
      <v>1</v>
      <v>1</v>
    </spb>
    <spb s="6">
      <v>2</v>
      <v>7</v>
      <v>7</v>
      <v>2</v>
      <v>1</v>
      <v>2</v>
      <v>2</v>
      <v>2</v>
      <v>8</v>
      <v>8</v>
      <v>4</v>
      <v>9</v>
      <v>2</v>
      <v>2</v>
      <v>2</v>
      <v>8</v>
      <v>5</v>
      <v>10</v>
      <v>6</v>
      <v>8</v>
      <v>2</v>
      <v>2</v>
      <v>4</v>
    </spb>
    <spb s="7">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8">
  <s>
    <k n="^Order" t="spba"/>
    <k n="TitleProperty" t="s"/>
    <k n="SubTitleProperty" t="s"/>
  </s>
  <s>
    <k n="ShowInCardView" t="b"/>
    <k n="ShowInDotNotation" t="b"/>
    <k n="ShowInAutoComplete" t="b"/>
  </s>
  <s>
    <k n="UniqueName" t="spb"/>
    <k n="`%ProviderInfo" t="spb"/>
    <k n="LearnMoreOnLink" t="spb"/>
  </s>
  <s>
    <k n="Name" t="i"/>
    <k n="Price" t="i"/>
    <k n="Change" t="i"/>
    <k n="Maturity" t="i"/>
    <k n="Change (%)" t="i"/>
    <k n="Previous close" t="i"/>
    <k n="Last trade time" t="i"/>
    <k n="Yield last week" t="i"/>
    <k n="Yield last year" t="i"/>
    <k n="Yield yesterday" t="i"/>
    <k n="Yield last month" t="i"/>
    <k n="`%EntityServiceId" t="i"/>
  </s>
  <s>
    <k n="Last trade time" t="s"/>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8">
    <x:dxf>
      <x:numFmt numFmtId="0" formatCode="General"/>
    </x:dxf>
    <x:dxf>
      <x:numFmt numFmtId="19" formatCode="m/d/yy"/>
    </x:dxf>
    <x:dxf>
      <x:numFmt numFmtId="14" formatCode="0.00%"/>
    </x:dxf>
    <x:dxf>
      <x:numFmt numFmtId="27" formatCode="m/d/yy\ h:mm"/>
    </x:dxf>
    <x:dxf>
      <x:numFmt numFmtId="2" formatCode="0.00"/>
    </x:dxf>
    <x:dxf>
      <x:numFmt numFmtId="4" formatCode="#,##0.00"/>
    </x:dxf>
    <x:dxf>
      <x:numFmt numFmtId="3" formatCode="#,##0"/>
    </x:dxf>
    <x:dxf>
      <x:numFmt numFmtId="1" formatCode="0"/>
    </x:dxf>
  </dxfs>
  <richProperties>
    <rPr n="IsTitleField" t="b"/>
    <rPr n="NumberFormat" t="s"/>
  </richProperties>
  <richStyles>
    <rSty>
      <rpv i="0">1</rpv>
    </rSty>
    <rSty dxfid="0">
      <rpv i="1">_([$$-en-US]* #,##0.00_);_([$$-en-US]* (#,##0.00);_([$$-en-US]* "-"??_);_(@_)</rpv>
    </rSty>
    <rSty dxfid="1"/>
    <rSty dxfid="2"/>
    <rSty dxfid="3"/>
    <rSty dxfid="4">
      <rpv i="1">0.00</rpv>
    </rSty>
    <rSty dxfid="5">
      <rpv i="1">#,##0.00</rpv>
    </rSty>
    <rSty dxfid="6">
      <rpv i="1">#,##0</rpv>
    </rSty>
    <rSty dxfid="0">
      <rpv i="1">_([$$-en-US]* #,##0_);_([$$-en-US]* (#,##0);_([$$-en-US]* "-"_);_(@_)</rpv>
    </rSty>
    <rSty dxfid="7">
      <rpv i="1">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F10" dT="2022-02-17T04:57:22.10" personId="{B8F391EE-7D78-864C-942F-B4C55F6B2D2F}" id="{8568886A-E766-7844-A8CF-11EFF6D85465}">
    <text xml:space="preserve">very bad and irregular year, exclude 2016~2017
</text>
  </threadedComment>
  <threadedComment ref="B18" dT="2022-02-17T03:56:19.40" personId="{B8F391EE-7D78-864C-942F-B4C55F6B2D2F}" id="{A1950392-E495-BF47-9E9F-A1C8F1417553}">
    <text xml:space="preserve">use tax provision?
</text>
  </threadedComment>
</ThreadedComments>
</file>

<file path=xl/threadedComments/threadedComment2.xml><?xml version="1.0" encoding="utf-8"?>
<ThreadedComments xmlns="http://schemas.microsoft.com/office/spreadsheetml/2018/threadedcomments" xmlns:x="http://schemas.openxmlformats.org/spreadsheetml/2006/main">
  <threadedComment ref="D10" dT="2022-02-17T04:52:59.19" personId="{B8F391EE-7D78-864C-942F-B4C55F6B2D2F}" id="{B55D1FD2-124E-7B4C-A8DD-F39C2806407D}">
    <text>rarely bad year, ignore?</text>
  </threadedComment>
  <threadedComment ref="F25" dT="2022-02-27T00:12:46.50" personId="{B8F391EE-7D78-864C-942F-B4C55F6B2D2F}" id="{E93A2F9F-1177-9C4B-BEE0-32941EF37364}">
    <text xml:space="preserve">这一年的shares不统一 19年的表显示177， 21年的表显示887 见sheet1
</text>
  </threadedComment>
  <threadedComment ref="I37" dT="2022-02-17T04:47:55.11" personId="{B8F391EE-7D78-864C-942F-B4C55F6B2D2F}" id="{18A2B793-9A60-0D4D-B7D8-ED326F66A5AD}">
    <text xml:space="preserve">negative number - adjusted by using only past 4 years 
</text>
  </threadedComment>
  <threadedComment ref="G52" dT="2022-02-17T05:20:19.63" personId="{B8F391EE-7D78-864C-942F-B4C55F6B2D2F}" id="{9814490C-E085-034F-979B-B7D5A7C29FD2}">
    <text xml:space="preserve">遇到有些减小的负数 手动调整吗
</text>
  </threadedComment>
  <threadedComment ref="B59" dT="2022-02-22T00:55:30.41" personId="{B8F391EE-7D78-864C-942F-B4C55F6B2D2F}" id="{742676E8-BE6B-E841-8564-EC7E53808807}">
    <text xml:space="preserve">ignore?
</text>
  </threadedComment>
  <threadedComment ref="B98" dT="2022-02-25T01:19:12.52" personId="{B8F391EE-7D78-864C-942F-B4C55F6B2D2F}" id="{42480A5F-5406-DD4E-9E7B-EA70635B87A2}">
    <text>diff with comprehensive income on income statement?</text>
  </threadedComment>
  <threadedComment ref="E102" dT="2022-03-05T01:34:22.36" personId="{B8F391EE-7D78-864C-942F-B4C55F6B2D2F}" id="{BC0DC706-1BFA-EA42-ADF5-766AF6E86F44}">
    <text>historical dont balance</text>
  </threadedComment>
  <threadedComment ref="B106" dT="2022-02-21T23:55:08.80" personId="{B8F391EE-7D78-864C-942F-B4C55F6B2D2F}" id="{48507F03-E342-B647-82F9-304DF4029F86}">
    <text xml:space="preserve">怎么理解turnover ratio and days
</text>
  </threadedComment>
  <threadedComment ref="B128" dT="2022-02-27T00:57:10.64" personId="{B8F391EE-7D78-864C-942F-B4C55F6B2D2F}" id="{FA6E1852-9977-DE4A-BCCF-5769CD0319DC}">
    <text>是不是笔记之外的其他项目直接不考虑了?  然后重新计算最后的汇总</text>
  </threadedComment>
  <threadedComment ref="B128" dT="2022-02-27T00:58:06.92" personId="{B8F391EE-7D78-864C-942F-B4C55F6B2D2F}" id="{10A32A9F-4A81-7443-98CA-728023F22129}" parentId="{FA6E1852-9977-DE4A-BCCF-5769CD0319DC}">
    <text>还有很多其他项目 数额会不会相差太大了？</text>
  </threadedComment>
  <threadedComment ref="B144" dT="2022-02-22T02:21:48.90" personId="{B8F391EE-7D78-864C-942F-B4C55F6B2D2F}" id="{7D9F76E9-5DE1-7C40-8784-EAB1E71FA2D8}">
    <text>grey are original, but  do not match with number calculating from balance sheet
also, lease vehicles is not current asset? see picture, listed after total current asset</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hyperlink" Target="https://www.sec.gov/Archives/edgar/data/1318605/000095017022000796/tsla-20211231.htm" TargetMode="External"/><Relationship Id="rId1" Type="http://schemas.openxmlformats.org/officeDocument/2006/relationships/hyperlink" Target="https://www.sec.gov/Archives/edgar/data/1318605/000156459020004475/tsla-10k_20191231.htm"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011C88-4933-6148-BE37-B9306B264DFB}">
  <dimension ref="B2:W78"/>
  <sheetViews>
    <sheetView tabSelected="1" topLeftCell="A27" zoomScale="110" zoomScaleNormal="110" workbookViewId="0">
      <selection activeCell="AA42" sqref="AA42"/>
    </sheetView>
  </sheetViews>
  <sheetFormatPr baseColWidth="10" defaultRowHeight="16" x14ac:dyDescent="0.2"/>
  <cols>
    <col min="1" max="1" width="13.33203125" style="14" customWidth="1"/>
    <col min="2" max="3" width="10.5" style="14" customWidth="1"/>
    <col min="4" max="4" width="11" style="14" customWidth="1"/>
    <col min="5" max="5" width="10.83203125" style="14" customWidth="1"/>
    <col min="6" max="6" width="9.83203125" style="14" customWidth="1"/>
    <col min="7" max="18" width="10.83203125" style="14"/>
    <col min="19" max="19" width="10.5" style="14" customWidth="1"/>
    <col min="20" max="20" width="10.83203125" style="14"/>
    <col min="21" max="21" width="13.33203125" style="14" bestFit="1" customWidth="1"/>
    <col min="22" max="22" width="14.33203125" style="14" bestFit="1" customWidth="1"/>
    <col min="23" max="28" width="10.83203125" style="14"/>
    <col min="29" max="29" width="11.6640625" style="14" bestFit="1" customWidth="1"/>
    <col min="30" max="16384" width="10.83203125" style="14"/>
  </cols>
  <sheetData>
    <row r="2" spans="2:19" x14ac:dyDescent="0.2">
      <c r="B2" s="10" t="s">
        <v>174</v>
      </c>
      <c r="C2" s="10"/>
      <c r="D2" s="10"/>
    </row>
    <row r="4" spans="2:19" x14ac:dyDescent="0.2">
      <c r="B4" s="171" t="s">
        <v>175</v>
      </c>
      <c r="C4" s="171"/>
      <c r="D4" s="171"/>
      <c r="E4" s="172">
        <v>2016</v>
      </c>
      <c r="F4" s="172">
        <v>2017</v>
      </c>
      <c r="G4" s="172">
        <v>2018</v>
      </c>
      <c r="H4" s="172">
        <v>2019</v>
      </c>
      <c r="I4" s="172">
        <v>2020</v>
      </c>
      <c r="J4" s="172">
        <v>2021</v>
      </c>
      <c r="K4" s="173">
        <v>2022</v>
      </c>
      <c r="L4" s="173">
        <v>2023</v>
      </c>
      <c r="M4" s="173">
        <v>2024</v>
      </c>
      <c r="N4" s="173">
        <v>2025</v>
      </c>
      <c r="O4" s="173">
        <v>2026</v>
      </c>
      <c r="Q4" s="183" t="s">
        <v>176</v>
      </c>
      <c r="R4" s="183"/>
      <c r="S4" s="183"/>
    </row>
    <row r="5" spans="2:19" x14ac:dyDescent="0.2">
      <c r="B5" s="14" t="s">
        <v>177</v>
      </c>
      <c r="E5" s="185">
        <f>Revenue!C27</f>
        <v>7000.1320000000005</v>
      </c>
      <c r="F5" s="185">
        <f>Revenue!D27</f>
        <v>11758.751</v>
      </c>
      <c r="G5" s="185">
        <f>Revenue!E27</f>
        <v>21461.268</v>
      </c>
      <c r="H5" s="185">
        <f>Revenue!F27</f>
        <v>24578</v>
      </c>
      <c r="I5" s="185">
        <f>Revenue!G27</f>
        <v>31536</v>
      </c>
      <c r="J5" s="185">
        <f>Revenue!H27</f>
        <v>53823</v>
      </c>
      <c r="K5" s="185">
        <f>Revenue!I27</f>
        <v>93378.506358194907</v>
      </c>
      <c r="L5" s="185">
        <f>Revenue!J27</f>
        <v>128046.27126308669</v>
      </c>
      <c r="M5" s="185">
        <f>Revenue!K27</f>
        <v>159128.99870868155</v>
      </c>
      <c r="N5" s="185">
        <f>Revenue!L27</f>
        <v>182519.05074723565</v>
      </c>
      <c r="O5" s="185">
        <f>Revenue!M27</f>
        <v>194383.43910785808</v>
      </c>
      <c r="Q5" s="14" t="s">
        <v>178</v>
      </c>
      <c r="R5" s="10"/>
      <c r="S5" s="27" cm="1">
        <f t="array" ref="S5">_FV(Q16,"Yield yesterday",TRUE)</f>
        <v>2.0449999999999999E-2</v>
      </c>
    </row>
    <row r="6" spans="2:19" x14ac:dyDescent="0.2">
      <c r="B6" s="20" t="s">
        <v>179</v>
      </c>
      <c r="C6" s="20"/>
      <c r="D6" s="20"/>
      <c r="E6" s="133"/>
      <c r="F6" s="134">
        <f>F5/E5-1</f>
        <v>0.67978989539054391</v>
      </c>
      <c r="G6" s="27"/>
      <c r="H6" s="27">
        <f t="shared" ref="H6:O6" si="0">H5/G5-1</f>
        <v>0.14522590184326489</v>
      </c>
      <c r="I6" s="27">
        <f t="shared" si="0"/>
        <v>0.28309870615998056</v>
      </c>
      <c r="J6" s="27">
        <f t="shared" si="0"/>
        <v>0.70671613394216126</v>
      </c>
      <c r="K6" s="27">
        <f t="shared" si="0"/>
        <v>0.73491827579649782</v>
      </c>
      <c r="L6" s="27">
        <f t="shared" si="0"/>
        <v>0.37126064933945413</v>
      </c>
      <c r="M6" s="27">
        <f t="shared" si="0"/>
        <v>0.24274605686667439</v>
      </c>
      <c r="N6" s="27">
        <f t="shared" si="0"/>
        <v>0.14698799231040471</v>
      </c>
      <c r="O6" s="27">
        <f t="shared" si="0"/>
        <v>6.500356161205878E-2</v>
      </c>
      <c r="Q6" s="14" t="s">
        <v>180</v>
      </c>
      <c r="R6" s="10"/>
      <c r="S6" s="135" cm="1">
        <f t="array" ref="S6">_FV(Q17,"Beta")</f>
        <v>2.0539999999999998</v>
      </c>
    </row>
    <row r="7" spans="2:19" x14ac:dyDescent="0.2">
      <c r="E7" s="133"/>
      <c r="F7" s="133"/>
      <c r="Q7" s="14" t="s">
        <v>181</v>
      </c>
      <c r="R7" s="10"/>
      <c r="S7" s="12">
        <v>0.1</v>
      </c>
    </row>
    <row r="8" spans="2:19" x14ac:dyDescent="0.2">
      <c r="B8" s="14" t="s">
        <v>41</v>
      </c>
      <c r="E8" s="25">
        <f t="shared" ref="E8:F8" si="1">E14+E12</f>
        <v>279.7589999999999</v>
      </c>
      <c r="F8" s="25">
        <f t="shared" si="1"/>
        <v>3.9170000000001437</v>
      </c>
      <c r="G8" s="25">
        <f>G14+G12</f>
        <v>1512.9769999999999</v>
      </c>
      <c r="H8" s="25">
        <f>H14+H12</f>
        <v>2085</v>
      </c>
      <c r="I8" s="25">
        <f t="shared" ref="I8:N8" si="2">I14+I12</f>
        <v>4316</v>
      </c>
      <c r="J8" s="25">
        <f t="shared" si="2"/>
        <v>9434</v>
      </c>
      <c r="K8" s="25">
        <f>K14+K12</f>
        <v>13657.383463160546</v>
      </c>
      <c r="L8" s="25">
        <f t="shared" si="2"/>
        <v>18727.832515971459</v>
      </c>
      <c r="M8" s="25">
        <f t="shared" si="2"/>
        <v>23273.940012883017</v>
      </c>
      <c r="N8" s="25">
        <f t="shared" si="2"/>
        <v>26694.929728529482</v>
      </c>
      <c r="O8" s="25">
        <f>O14+O12</f>
        <v>28430.195237867534</v>
      </c>
      <c r="Q8" s="14" t="s">
        <v>182</v>
      </c>
      <c r="R8" s="10"/>
      <c r="S8" s="11">
        <f>[1]income!H31</f>
        <v>6.3135966114029801E-2</v>
      </c>
    </row>
    <row r="9" spans="2:19" x14ac:dyDescent="0.2">
      <c r="B9" s="20" t="s">
        <v>183</v>
      </c>
      <c r="C9" s="20"/>
      <c r="D9" s="20"/>
      <c r="E9" s="199">
        <f>E8/E5</f>
        <v>3.9964817806292775E-2</v>
      </c>
      <c r="F9" s="199">
        <f t="shared" ref="F9:O9" si="3">F8/F5</f>
        <v>3.3311361045064599E-4</v>
      </c>
      <c r="G9" s="27">
        <f t="shared" si="3"/>
        <v>7.0498024627435804E-2</v>
      </c>
      <c r="H9" s="27">
        <f t="shared" si="3"/>
        <v>8.4831963544633418E-2</v>
      </c>
      <c r="I9" s="27">
        <f t="shared" si="3"/>
        <v>0.13685946220192796</v>
      </c>
      <c r="J9" s="27">
        <f t="shared" si="3"/>
        <v>0.17527822678037269</v>
      </c>
      <c r="K9" s="27">
        <f t="shared" si="3"/>
        <v>0.14625831999037939</v>
      </c>
      <c r="L9" s="27">
        <f t="shared" si="3"/>
        <v>0.14625831999037942</v>
      </c>
      <c r="M9" s="27">
        <f t="shared" si="3"/>
        <v>0.14625831999037939</v>
      </c>
      <c r="N9" s="27">
        <f t="shared" si="3"/>
        <v>0.14625831999037936</v>
      </c>
      <c r="O9" s="27">
        <f t="shared" si="3"/>
        <v>0.14625831999037939</v>
      </c>
      <c r="Q9" s="14" t="s">
        <v>184</v>
      </c>
      <c r="R9" s="10"/>
      <c r="S9" s="12">
        <f>J19</f>
        <v>0.11020022071574964</v>
      </c>
    </row>
    <row r="10" spans="2:19" x14ac:dyDescent="0.2">
      <c r="B10" s="20" t="s">
        <v>179</v>
      </c>
      <c r="C10" s="20"/>
      <c r="D10" s="20"/>
      <c r="E10" s="134"/>
      <c r="F10" s="136">
        <f>F8/E8-1</f>
        <v>-0.98599866313505502</v>
      </c>
      <c r="G10" s="136">
        <f>G8/F8-1</f>
        <v>385.25912688280425</v>
      </c>
      <c r="H10" s="27">
        <f>H8/G8-1</f>
        <v>0.3780777896821963</v>
      </c>
      <c r="I10" s="27">
        <f>I8/H8-1</f>
        <v>1.0700239808153476</v>
      </c>
      <c r="J10" s="27">
        <f>J8/I8-1</f>
        <v>1.1858202038924932</v>
      </c>
      <c r="K10" s="27">
        <f t="shared" ref="K10:O10" si="4">K8/J8-1</f>
        <v>0.44767685638759236</v>
      </c>
      <c r="L10" s="27">
        <f t="shared" si="4"/>
        <v>0.37126064933945457</v>
      </c>
      <c r="M10" s="27">
        <f t="shared" si="4"/>
        <v>0.24274605686667416</v>
      </c>
      <c r="N10" s="27">
        <f t="shared" si="4"/>
        <v>0.14698799231040449</v>
      </c>
      <c r="O10" s="27">
        <f t="shared" si="4"/>
        <v>6.5003561612059002E-2</v>
      </c>
      <c r="Q10" s="14" t="s">
        <v>185</v>
      </c>
      <c r="R10" s="10"/>
      <c r="S10" s="12">
        <f>S8*(1-S9)</f>
        <v>5.6178368713161626E-2</v>
      </c>
    </row>
    <row r="11" spans="2:19" x14ac:dyDescent="0.2">
      <c r="E11" s="133"/>
      <c r="F11" s="133"/>
      <c r="Q11" s="14" t="s">
        <v>186</v>
      </c>
      <c r="R11" s="10"/>
      <c r="S11" s="12">
        <f>S5+S6*(S7-S5)</f>
        <v>0.1838457</v>
      </c>
    </row>
    <row r="12" spans="2:19" x14ac:dyDescent="0.2">
      <c r="B12" s="14" t="s">
        <v>187</v>
      </c>
      <c r="E12" s="185">
        <f>[1]cashflow!B5</f>
        <v>947.09899999999993</v>
      </c>
      <c r="F12" s="185">
        <f>[1]cashflow!C5</f>
        <v>1636.0030000000002</v>
      </c>
      <c r="G12" s="185">
        <f>'Financial Statements'!E131</f>
        <v>1901.05</v>
      </c>
      <c r="H12" s="185">
        <f>'Financial Statements'!F131</f>
        <v>2154</v>
      </c>
      <c r="I12" s="185">
        <f>'Financial Statements'!G131</f>
        <v>2322</v>
      </c>
      <c r="J12" s="185">
        <f>'Financial Statements'!H131</f>
        <v>2911</v>
      </c>
      <c r="K12" s="185">
        <f>'Financial Statements'!I131</f>
        <v>7095.2416407975079</v>
      </c>
      <c r="L12" s="185">
        <f>'Financial Statements'!J131</f>
        <v>9729.4256595803254</v>
      </c>
      <c r="M12" s="185">
        <f>'Financial Statements'!K131</f>
        <v>12091.205374020892</v>
      </c>
      <c r="N12" s="185">
        <f>'Financial Statements'!L131</f>
        <v>13868.467376561</v>
      </c>
      <c r="O12" s="185">
        <f>'Financial Statements'!M131</f>
        <v>14769.967150138111</v>
      </c>
      <c r="Q12" s="14" t="s">
        <v>188</v>
      </c>
      <c r="R12" s="10"/>
      <c r="S12" s="11">
        <f>[1]balance!G48/[1]balance!G49</f>
        <v>0.48589271056316491</v>
      </c>
    </row>
    <row r="13" spans="2:19" x14ac:dyDescent="0.2">
      <c r="E13" s="133"/>
      <c r="F13" s="133"/>
      <c r="Q13" s="14" t="s">
        <v>189</v>
      </c>
      <c r="R13" s="10"/>
      <c r="S13" s="12">
        <f>1-S12</f>
        <v>0.51410728943683504</v>
      </c>
    </row>
    <row r="14" spans="2:19" x14ac:dyDescent="0.2">
      <c r="B14" s="14" t="s">
        <v>190</v>
      </c>
      <c r="E14" s="185">
        <f>[1]income!B14</f>
        <v>-667.34</v>
      </c>
      <c r="F14" s="185">
        <f>[1]income!C14</f>
        <v>-1632.086</v>
      </c>
      <c r="G14" s="185">
        <f>'Financial Statements'!E10</f>
        <v>-388.07299999999998</v>
      </c>
      <c r="H14" s="185">
        <f>'Financial Statements'!F10</f>
        <v>-69</v>
      </c>
      <c r="I14" s="185">
        <f>'Financial Statements'!G10</f>
        <v>1994</v>
      </c>
      <c r="J14" s="185">
        <f>'Financial Statements'!H10</f>
        <v>6523</v>
      </c>
      <c r="K14" s="185">
        <f>'Financial Statements'!I10</f>
        <v>6562.141822363039</v>
      </c>
      <c r="L14" s="185">
        <f>'Financial Statements'!J10</f>
        <v>8998.4068563911314</v>
      </c>
      <c r="M14" s="185">
        <f>'Financial Statements'!K10</f>
        <v>11182.734638862126</v>
      </c>
      <c r="N14" s="185">
        <f>'Financial Statements'!L10</f>
        <v>12826.462351968483</v>
      </c>
      <c r="O14" s="185">
        <f>'Financial Statements'!M10</f>
        <v>13660.228087729425</v>
      </c>
      <c r="Q14" s="137" t="s">
        <v>176</v>
      </c>
      <c r="R14" s="138"/>
      <c r="S14" s="139">
        <f>S11*S12+S10*S13</f>
        <v>0.11821099436248907</v>
      </c>
    </row>
    <row r="15" spans="2:19" x14ac:dyDescent="0.2">
      <c r="B15" s="20" t="s">
        <v>183</v>
      </c>
      <c r="C15" s="20"/>
      <c r="D15" s="20"/>
      <c r="E15" s="199">
        <f>E14/E5</f>
        <v>-9.533248801594027E-2</v>
      </c>
      <c r="F15" s="199">
        <f t="shared" ref="F15:O15" si="5">F14/F5</f>
        <v>-0.13879756446921956</v>
      </c>
      <c r="G15" s="27">
        <f t="shared" si="5"/>
        <v>-1.8082482358451512E-2</v>
      </c>
      <c r="H15" s="27">
        <f>H14/H5</f>
        <v>-2.8073887216209618E-3</v>
      </c>
      <c r="I15" s="27">
        <f t="shared" si="5"/>
        <v>6.3229325215626589E-2</v>
      </c>
      <c r="J15" s="27">
        <f t="shared" si="5"/>
        <v>0.12119354179440016</v>
      </c>
      <c r="K15" s="27">
        <f t="shared" si="5"/>
        <v>7.0274649684275492E-2</v>
      </c>
      <c r="L15" s="27">
        <f t="shared" si="5"/>
        <v>7.0274649684275506E-2</v>
      </c>
      <c r="M15" s="27">
        <f t="shared" si="5"/>
        <v>7.0274649684275506E-2</v>
      </c>
      <c r="N15" s="27">
        <f t="shared" si="5"/>
        <v>7.0274649684275478E-2</v>
      </c>
      <c r="O15" s="27">
        <f t="shared" si="5"/>
        <v>7.0274649684275506E-2</v>
      </c>
    </row>
    <row r="16" spans="2:19" x14ac:dyDescent="0.2">
      <c r="B16" s="20" t="s">
        <v>179</v>
      </c>
      <c r="C16" s="20"/>
      <c r="D16" s="20"/>
      <c r="E16" s="199"/>
      <c r="F16" s="199">
        <f>F14/E14-1</f>
        <v>1.4456588845266278</v>
      </c>
      <c r="G16" s="27"/>
      <c r="H16" s="27">
        <f t="shared" ref="H16:O16" si="6">H14/G14-1</f>
        <v>-0.82219840081634121</v>
      </c>
      <c r="I16" s="27">
        <f t="shared" si="6"/>
        <v>-29.89855072463768</v>
      </c>
      <c r="J16" s="27">
        <f t="shared" si="6"/>
        <v>2.2713139418254764</v>
      </c>
      <c r="K16" s="27">
        <f t="shared" si="6"/>
        <v>6.0005859823759611E-3</v>
      </c>
      <c r="L16" s="27">
        <f t="shared" si="6"/>
        <v>0.37126064933945435</v>
      </c>
      <c r="M16" s="27">
        <f t="shared" si="6"/>
        <v>0.24274605686667439</v>
      </c>
      <c r="N16" s="27">
        <f t="shared" si="6"/>
        <v>0.14698799231040427</v>
      </c>
      <c r="O16" s="27">
        <f t="shared" si="6"/>
        <v>6.5003561612059224E-2</v>
      </c>
      <c r="Q16" s="14" t="e" vm="1">
        <v>#VALUE!</v>
      </c>
      <c r="R16" s="10"/>
      <c r="S16" s="10"/>
    </row>
    <row r="17" spans="2:23" x14ac:dyDescent="0.2">
      <c r="E17" s="133"/>
      <c r="F17" s="133"/>
      <c r="Q17" s="14" t="e" vm="2">
        <v>#VALUE!</v>
      </c>
      <c r="S17" s="10"/>
      <c r="U17" s="22"/>
    </row>
    <row r="18" spans="2:23" x14ac:dyDescent="0.2">
      <c r="B18" s="14" t="s">
        <v>191</v>
      </c>
      <c r="E18" s="185">
        <f>[1]income!B21</f>
        <v>26.698</v>
      </c>
      <c r="F18" s="185">
        <f>[1]income!C21</f>
        <v>31.545999999999999</v>
      </c>
      <c r="G18" s="185">
        <f>-'Financial Statements'!E17</f>
        <v>57.837000000000003</v>
      </c>
      <c r="H18" s="185">
        <f>-'Financial Statements'!F17</f>
        <v>110</v>
      </c>
      <c r="I18" s="185">
        <f>-'Financial Statements'!G17</f>
        <v>292</v>
      </c>
      <c r="J18" s="185">
        <f>-'Financial Statements'!H17</f>
        <v>699</v>
      </c>
      <c r="K18" s="185">
        <f>-'Financial Statements'!I17</f>
        <v>847.33864280129933</v>
      </c>
      <c r="L18" s="185">
        <f>-'Financial Statements'!J17</f>
        <v>1163.5788502857813</v>
      </c>
      <c r="M18" s="185">
        <f>-'Financial Statements'!K17</f>
        <v>1445.7423078965446</v>
      </c>
      <c r="N18" s="185">
        <f>-'Financial Statements'!L17</f>
        <v>1667.1067504414787</v>
      </c>
      <c r="O18" s="185">
        <f>-'Financial Statements'!M17</f>
        <v>1767.9483404210896</v>
      </c>
      <c r="Q18" s="14" t="s">
        <v>210</v>
      </c>
      <c r="R18" s="10"/>
      <c r="S18" s="105">
        <f>'Financial Statements'!H25</f>
        <v>1129</v>
      </c>
    </row>
    <row r="19" spans="2:23" x14ac:dyDescent="0.2">
      <c r="B19" s="20" t="s">
        <v>192</v>
      </c>
      <c r="C19" s="20"/>
      <c r="D19" s="20"/>
      <c r="E19" s="199">
        <f>[1]income!B30</f>
        <v>3.5771516772336767E-2</v>
      </c>
      <c r="F19" s="199">
        <f>[1]income!C30</f>
        <v>1.4280463116876531E-2</v>
      </c>
      <c r="G19" s="27">
        <f>[1]income!D30</f>
        <v>5.7563859486735439E-2</v>
      </c>
      <c r="H19" s="27">
        <f>[1]income!E30</f>
        <v>0.16541353383458646</v>
      </c>
      <c r="I19" s="27">
        <f>[1]income!F30</f>
        <v>0.2530329289428076</v>
      </c>
      <c r="J19" s="27">
        <f>[1]income!G30</f>
        <v>0.11020022071574964</v>
      </c>
      <c r="K19" s="27">
        <f>[1]income!H30</f>
        <v>0.14655263574496979</v>
      </c>
      <c r="L19" s="27">
        <f>[1]income!I30</f>
        <v>0.14655263574496979</v>
      </c>
      <c r="M19" s="27">
        <f>[1]income!J30</f>
        <v>0.14655263574496979</v>
      </c>
      <c r="N19" s="27">
        <f>[1]income!K30</f>
        <v>0.14655263574496979</v>
      </c>
      <c r="O19" s="27">
        <f>[1]income!L30</f>
        <v>0.14655263574496979</v>
      </c>
    </row>
    <row r="20" spans="2:23" x14ac:dyDescent="0.2">
      <c r="E20" s="133"/>
      <c r="F20" s="133"/>
      <c r="Q20" s="170" t="s">
        <v>231</v>
      </c>
      <c r="R20" s="10"/>
      <c r="S20" s="10"/>
    </row>
    <row r="21" spans="2:23" x14ac:dyDescent="0.2">
      <c r="B21" s="14" t="s">
        <v>193</v>
      </c>
      <c r="E21" s="132"/>
      <c r="F21" s="185">
        <f>[1]cashflow!C29</f>
        <v>-3414.8139999999999</v>
      </c>
      <c r="G21" s="185">
        <f>'Financial Statements'!E167</f>
        <v>-2100.7240000000002</v>
      </c>
      <c r="H21" s="185">
        <f>'Financial Statements'!F167</f>
        <v>-1327</v>
      </c>
      <c r="I21" s="185">
        <f>'Financial Statements'!G167</f>
        <v>-3157</v>
      </c>
      <c r="J21" s="185">
        <f>'Financial Statements'!H167</f>
        <v>-6482</v>
      </c>
      <c r="K21" s="185">
        <f>'Financial Statements'!I167</f>
        <v>-8693.898543682446</v>
      </c>
      <c r="L21" s="185">
        <f>'Financial Statements'!J167</f>
        <v>-11921.600962301323</v>
      </c>
      <c r="M21" s="185">
        <f>'Financial Statements'!K167</f>
        <v>-14815.522587437923</v>
      </c>
      <c r="N21" s="185">
        <f>'Financial Statements'!L167</f>
        <v>-16993.226507594878</v>
      </c>
      <c r="O21" s="185">
        <f>'Financial Statements'!M167</f>
        <v>-18097.846753868991</v>
      </c>
      <c r="Q21" s="170" t="s">
        <v>230</v>
      </c>
      <c r="R21" s="10"/>
      <c r="S21" s="10"/>
    </row>
    <row r="22" spans="2:23" x14ac:dyDescent="0.2">
      <c r="E22" s="133"/>
      <c r="F22" s="133"/>
      <c r="G22" s="186"/>
      <c r="H22" s="186"/>
      <c r="I22" s="186"/>
      <c r="J22" s="186"/>
      <c r="K22" s="186"/>
      <c r="L22" s="186"/>
      <c r="M22" s="186"/>
      <c r="N22" s="186"/>
      <c r="O22" s="186"/>
      <c r="R22" s="10"/>
      <c r="S22" s="10"/>
    </row>
    <row r="23" spans="2:23" x14ac:dyDescent="0.2">
      <c r="B23" s="14" t="s">
        <v>234</v>
      </c>
      <c r="E23" s="50">
        <f>SUM([1]cashflow!B16:B25)</f>
        <v>31.742000000000061</v>
      </c>
      <c r="F23" s="50">
        <f>SUM([1]cashflow!C16:C25)</f>
        <v>-496.60299999999961</v>
      </c>
      <c r="G23" s="185">
        <f>'Financial Statements'!E157</f>
        <v>-734.5400000000003</v>
      </c>
      <c r="H23" s="185">
        <f>'Financial Statements'!F157</f>
        <v>296.70200000000017</v>
      </c>
      <c r="I23" s="185">
        <f>'Financial Statements'!G157</f>
        <v>1490</v>
      </c>
      <c r="J23" s="185">
        <f>'Financial Statements'!H157</f>
        <v>3940</v>
      </c>
      <c r="K23" s="185">
        <f>'Financial Statements'!I157</f>
        <v>4139.9869947972038</v>
      </c>
      <c r="L23" s="185">
        <f>'Financial Statements'!J157</f>
        <v>4775.5209041333646</v>
      </c>
      <c r="M23" s="185">
        <f>'Financial Statements'!K157</f>
        <v>4281.6782414770842</v>
      </c>
      <c r="N23" s="185">
        <f>'Financial Statements'!L157</f>
        <v>3222.0041518488824</v>
      </c>
      <c r="O23" s="185">
        <f>'Financial Statements'!M157</f>
        <v>1634.331915724807</v>
      </c>
      <c r="Q23" s="10"/>
      <c r="R23" s="10"/>
      <c r="S23" s="10"/>
    </row>
    <row r="24" spans="2:23" x14ac:dyDescent="0.2">
      <c r="E24" s="133"/>
      <c r="F24" s="133"/>
      <c r="Q24" s="10"/>
      <c r="R24" s="10"/>
      <c r="S24" s="10"/>
    </row>
    <row r="25" spans="2:23" x14ac:dyDescent="0.2">
      <c r="B25" s="14" t="s">
        <v>194</v>
      </c>
      <c r="E25" s="50">
        <f>E8+E18+E21+E23</f>
        <v>338.19899999999996</v>
      </c>
      <c r="F25" s="50">
        <f t="shared" ref="F25:J25" si="7">F8+F18+F21+F23</f>
        <v>-3875.9539999999993</v>
      </c>
      <c r="G25" s="25">
        <f>G8+G18+G21-G23</f>
        <v>204.63</v>
      </c>
      <c r="H25" s="25">
        <f>H8+H18+H21+H23</f>
        <v>1164.7020000000002</v>
      </c>
      <c r="I25" s="25">
        <f t="shared" si="7"/>
        <v>2941</v>
      </c>
      <c r="J25" s="25">
        <f t="shared" si="7"/>
        <v>7591</v>
      </c>
      <c r="K25" s="25">
        <f>K8+K18+K21+K23</f>
        <v>9950.8105570766038</v>
      </c>
      <c r="L25" s="25">
        <f t="shared" ref="L25:M25" si="8">L8+L18+L21+L23</f>
        <v>12745.331308089284</v>
      </c>
      <c r="M25" s="25">
        <f t="shared" si="8"/>
        <v>14185.837974818722</v>
      </c>
      <c r="N25" s="25">
        <f>N8+N18+N21+N23</f>
        <v>14590.814123224965</v>
      </c>
      <c r="O25" s="25">
        <f>O8+O18+O21+O23</f>
        <v>13734.628740144442</v>
      </c>
      <c r="Q25" s="10"/>
      <c r="R25" s="10"/>
      <c r="S25" s="10"/>
    </row>
    <row r="26" spans="2:23" x14ac:dyDescent="0.2">
      <c r="B26" s="20" t="s">
        <v>183</v>
      </c>
      <c r="C26" s="20"/>
      <c r="D26" s="20"/>
      <c r="E26" s="199">
        <f>E25/E5</f>
        <v>4.8313231807628761E-2</v>
      </c>
      <c r="F26" s="199">
        <f t="shared" ref="F26:O26" si="9">F25/F5</f>
        <v>-0.32962293359218164</v>
      </c>
      <c r="G26" s="27">
        <f t="shared" si="9"/>
        <v>9.53485134242767E-3</v>
      </c>
      <c r="H26" s="27">
        <f t="shared" si="9"/>
        <v>4.738798925868664E-2</v>
      </c>
      <c r="I26" s="27">
        <f t="shared" si="9"/>
        <v>9.3258498224251654E-2</v>
      </c>
      <c r="J26" s="27">
        <f t="shared" si="9"/>
        <v>0.14103635992048008</v>
      </c>
      <c r="K26" s="27">
        <f t="shared" si="9"/>
        <v>0.10656425065213436</v>
      </c>
      <c r="L26" s="27">
        <f t="shared" si="9"/>
        <v>9.9536918821341122E-2</v>
      </c>
      <c r="M26" s="27">
        <f t="shared" si="9"/>
        <v>8.9146780850351631E-2</v>
      </c>
      <c r="N26" s="27">
        <f t="shared" si="9"/>
        <v>7.9941321541449839E-2</v>
      </c>
      <c r="O26" s="27">
        <f t="shared" si="9"/>
        <v>7.06574016962601E-2</v>
      </c>
      <c r="Q26" s="10"/>
      <c r="R26" s="10"/>
      <c r="S26" s="180"/>
      <c r="T26" s="180"/>
      <c r="U26" s="180"/>
      <c r="V26" s="180"/>
      <c r="W26" s="180"/>
    </row>
    <row r="27" spans="2:23" x14ac:dyDescent="0.2">
      <c r="B27" s="20" t="s">
        <v>179</v>
      </c>
      <c r="C27" s="20"/>
      <c r="D27" s="20"/>
      <c r="E27" s="199"/>
      <c r="F27" s="199">
        <f>F25/E25-1</f>
        <v>-12.460572030076966</v>
      </c>
      <c r="G27" s="27"/>
      <c r="H27" s="27">
        <f>H25/G25-1</f>
        <v>4.6917460782876423</v>
      </c>
      <c r="I27" s="27">
        <f>I25/H25-1</f>
        <v>1.5251094271324335</v>
      </c>
      <c r="J27" s="27">
        <f>J25/I25-1</f>
        <v>1.5810948656919415</v>
      </c>
      <c r="K27" s="27">
        <f>K25/J25-1</f>
        <v>0.31086952405171964</v>
      </c>
      <c r="L27" s="27">
        <f>L25/K25-1</f>
        <v>0.28083347934157321</v>
      </c>
      <c r="M27" s="27">
        <f>(M25-L25)/-L25</f>
        <v>-0.11302230062981322</v>
      </c>
      <c r="N27" s="27">
        <f>(N25-M25)/M25</f>
        <v>2.8547918644292767E-2</v>
      </c>
      <c r="O27" s="27">
        <f>(O25-N25)/N25</f>
        <v>-5.8679753977380039E-2</v>
      </c>
      <c r="Q27" s="10"/>
      <c r="R27" s="10"/>
      <c r="S27" s="10"/>
      <c r="W27" s="178"/>
    </row>
    <row r="29" spans="2:23" x14ac:dyDescent="0.2">
      <c r="G29" s="140" t="s">
        <v>176</v>
      </c>
      <c r="H29" s="141" t="s">
        <v>195</v>
      </c>
      <c r="J29" s="142" t="s">
        <v>196</v>
      </c>
      <c r="K29" s="143">
        <v>0</v>
      </c>
      <c r="L29" s="14">
        <f>K29+1</f>
        <v>1</v>
      </c>
      <c r="M29" s="14">
        <f t="shared" ref="M29:O29" si="10">L29+1</f>
        <v>2</v>
      </c>
      <c r="N29" s="14">
        <f t="shared" si="10"/>
        <v>3</v>
      </c>
      <c r="O29" s="14">
        <f t="shared" si="10"/>
        <v>4</v>
      </c>
    </row>
    <row r="30" spans="2:23" x14ac:dyDescent="0.2">
      <c r="G30" s="144">
        <v>9.8210994362489076E-2</v>
      </c>
      <c r="H30" s="25">
        <f>SUM(K30:O30)</f>
        <v>53776.578972526506</v>
      </c>
      <c r="K30" s="50">
        <f>K$25/(1+G30)^K$29</f>
        <v>9950.8105570766038</v>
      </c>
      <c r="L30" s="50">
        <f t="shared" ref="L30:O34" si="11">L$25/(1+$G30)^L$29</f>
        <v>11605.539712783464</v>
      </c>
      <c r="M30" s="50">
        <f t="shared" si="11"/>
        <v>11762.060822083968</v>
      </c>
      <c r="N30" s="50">
        <f t="shared" si="11"/>
        <v>11015.955257800744</v>
      </c>
      <c r="O30" s="50">
        <f t="shared" si="11"/>
        <v>9442.2126227817298</v>
      </c>
    </row>
    <row r="31" spans="2:23" x14ac:dyDescent="0.2">
      <c r="G31" s="144">
        <v>0.10821099436248907</v>
      </c>
      <c r="H31" s="25">
        <f>SUM(K31:O31)</f>
        <v>52828.792089237744</v>
      </c>
      <c r="K31" s="50">
        <f>K$25/(1+G31)^K$29</f>
        <v>9950.8105570766038</v>
      </c>
      <c r="L31" s="50">
        <f t="shared" si="11"/>
        <v>11500.816516823295</v>
      </c>
      <c r="M31" s="50">
        <f t="shared" si="11"/>
        <v>11550.747397195555</v>
      </c>
      <c r="N31" s="50">
        <f t="shared" si="11"/>
        <v>10720.428920673052</v>
      </c>
      <c r="O31" s="50">
        <f t="shared" si="11"/>
        <v>9105.9886974692345</v>
      </c>
    </row>
    <row r="32" spans="2:23" x14ac:dyDescent="0.2">
      <c r="G32" s="144">
        <v>0.11821099436248907</v>
      </c>
      <c r="H32" s="25">
        <f>SUM(K32:O32)</f>
        <v>51913.832340913134</v>
      </c>
      <c r="K32" s="50">
        <f>K$25/(1+G32)^K$29</f>
        <v>9950.8105570766038</v>
      </c>
      <c r="L32" s="50">
        <f t="shared" si="11"/>
        <v>11397.966369804484</v>
      </c>
      <c r="M32" s="50">
        <f t="shared" si="11"/>
        <v>11345.077821072255</v>
      </c>
      <c r="N32" s="50">
        <f t="shared" si="11"/>
        <v>10435.379582700367</v>
      </c>
      <c r="O32" s="50">
        <f t="shared" si="11"/>
        <v>8784.598010259424</v>
      </c>
    </row>
    <row r="33" spans="2:22" x14ac:dyDescent="0.2">
      <c r="G33" s="144">
        <v>0.12821099436248906</v>
      </c>
      <c r="H33" s="25">
        <f>SUM(K33:O33)</f>
        <v>51030.212111795314</v>
      </c>
      <c r="K33" s="50">
        <f>K$25/(1+G33)^K$29</f>
        <v>9950.8105570766038</v>
      </c>
      <c r="L33" s="50">
        <f t="shared" si="11"/>
        <v>11296.939465911877</v>
      </c>
      <c r="M33" s="50">
        <f t="shared" si="11"/>
        <v>11144.852884127351</v>
      </c>
      <c r="N33" s="50">
        <f t="shared" si="11"/>
        <v>10160.347040442877</v>
      </c>
      <c r="O33" s="50">
        <f t="shared" si="11"/>
        <v>8477.2621642366084</v>
      </c>
    </row>
    <row r="34" spans="2:22" x14ac:dyDescent="0.2">
      <c r="G34" s="144">
        <v>0.13821099436248907</v>
      </c>
      <c r="H34" s="25">
        <f>SUM(K34:O34)</f>
        <v>50176.525536094108</v>
      </c>
      <c r="K34" s="50">
        <f>K$25/(1+G34)^K$29</f>
        <v>9950.8105570766038</v>
      </c>
      <c r="L34" s="50">
        <f t="shared" si="11"/>
        <v>11197.687749649554</v>
      </c>
      <c r="M34" s="50">
        <f t="shared" si="11"/>
        <v>10949.882089155089</v>
      </c>
      <c r="N34" s="50">
        <f t="shared" si="11"/>
        <v>9894.8951363002689</v>
      </c>
      <c r="O34" s="50">
        <f t="shared" si="11"/>
        <v>8183.2500039125916</v>
      </c>
    </row>
    <row r="36" spans="2:22" x14ac:dyDescent="0.2">
      <c r="K36" s="50"/>
      <c r="L36" s="50"/>
      <c r="M36" s="50"/>
      <c r="N36" s="50"/>
      <c r="O36" s="50"/>
    </row>
    <row r="38" spans="2:22" x14ac:dyDescent="0.2">
      <c r="B38" s="182" t="s">
        <v>205</v>
      </c>
      <c r="C38" s="182"/>
      <c r="D38" s="182"/>
      <c r="E38" s="182"/>
      <c r="F38" s="182"/>
      <c r="G38" s="182"/>
      <c r="H38" s="182"/>
      <c r="I38" s="182"/>
      <c r="J38" s="182"/>
      <c r="K38" s="182"/>
      <c r="L38" s="182"/>
      <c r="M38" s="182"/>
      <c r="N38" s="182"/>
      <c r="O38" s="182"/>
      <c r="Q38" s="174" t="s">
        <v>209</v>
      </c>
      <c r="R38" s="174" t="s">
        <v>202</v>
      </c>
      <c r="S38" s="174" t="s">
        <v>206</v>
      </c>
    </row>
    <row r="39" spans="2:22" x14ac:dyDescent="0.2">
      <c r="B39" s="162"/>
      <c r="Q39" s="200">
        <v>125</v>
      </c>
      <c r="R39" s="200">
        <f>'Financial Statements'!H85+'Financial Statements'!H91+'Financial Statements'!H88</f>
        <v>10380</v>
      </c>
      <c r="S39" s="200">
        <f>'Financial Statements'!H58+'Financial Statements'!H60</f>
        <v>17707</v>
      </c>
    </row>
    <row r="40" spans="2:22" x14ac:dyDescent="0.2">
      <c r="C40" s="181" t="s">
        <v>232</v>
      </c>
      <c r="D40" s="181"/>
      <c r="E40" s="181"/>
      <c r="F40" s="181"/>
      <c r="G40" s="181"/>
      <c r="K40" s="181" t="s">
        <v>198</v>
      </c>
      <c r="L40" s="181"/>
      <c r="M40" s="181"/>
      <c r="N40" s="181"/>
      <c r="O40" s="181"/>
      <c r="Q40" s="200">
        <v>125</v>
      </c>
      <c r="R40" s="200">
        <f t="shared" ref="R40:S43" si="12">R39</f>
        <v>10380</v>
      </c>
      <c r="S40" s="200">
        <f t="shared" si="12"/>
        <v>17707</v>
      </c>
    </row>
    <row r="41" spans="2:22" x14ac:dyDescent="0.2">
      <c r="C41" s="180" t="s">
        <v>199</v>
      </c>
      <c r="D41" s="180"/>
      <c r="E41" s="180"/>
      <c r="F41" s="180"/>
      <c r="G41" s="180"/>
      <c r="K41" s="180" t="s">
        <v>199</v>
      </c>
      <c r="L41" s="180"/>
      <c r="M41" s="180"/>
      <c r="N41" s="180"/>
      <c r="O41" s="180"/>
      <c r="Q41" s="200">
        <v>125</v>
      </c>
      <c r="R41" s="200">
        <f t="shared" si="12"/>
        <v>10380</v>
      </c>
      <c r="S41" s="200">
        <f t="shared" si="12"/>
        <v>17707</v>
      </c>
    </row>
    <row r="42" spans="2:22" x14ac:dyDescent="0.2">
      <c r="B42" s="145" t="s">
        <v>176</v>
      </c>
      <c r="C42" s="146">
        <f>D42-0.5%</f>
        <v>2.5000000000000001E-2</v>
      </c>
      <c r="D42" s="146">
        <f>E42-0.5%</f>
        <v>3.0000000000000002E-2</v>
      </c>
      <c r="E42" s="147">
        <v>3.5000000000000003E-2</v>
      </c>
      <c r="F42" s="146">
        <f>E42+0.5%</f>
        <v>0.04</v>
      </c>
      <c r="G42" s="146">
        <f>F42+0.5%</f>
        <v>4.4999999999999998E-2</v>
      </c>
      <c r="I42" s="148"/>
      <c r="J42" s="149" t="s">
        <v>176</v>
      </c>
      <c r="K42" s="146">
        <f>L42-0.5%</f>
        <v>2.5000000000000001E-2</v>
      </c>
      <c r="L42" s="146">
        <f>M42-0.5%</f>
        <v>3.0000000000000002E-2</v>
      </c>
      <c r="M42" s="147">
        <v>3.5000000000000003E-2</v>
      </c>
      <c r="N42" s="146">
        <f>M42+0.5%</f>
        <v>0.04</v>
      </c>
      <c r="O42" s="146">
        <f>N42+0.5%</f>
        <v>4.4999999999999998E-2</v>
      </c>
      <c r="Q42" s="200">
        <v>125</v>
      </c>
      <c r="R42" s="200">
        <f t="shared" si="12"/>
        <v>10380</v>
      </c>
      <c r="S42" s="200">
        <f t="shared" si="12"/>
        <v>17707</v>
      </c>
    </row>
    <row r="43" spans="2:22" x14ac:dyDescent="0.2">
      <c r="B43" s="144">
        <f>B44-1%</f>
        <v>9.8210994362489076E-2</v>
      </c>
      <c r="C43" s="150">
        <f>$O$25*(1+C$42)/($B43-C$42)/(1+$B43)^$O$29</f>
        <v>132196.91963793489</v>
      </c>
      <c r="D43" s="150">
        <f t="shared" ref="C43:G47" si="13">$O$25*(1+D$42)/($B43-D$42)/(1+$B43)^$O$29</f>
        <v>142579.34651680529</v>
      </c>
      <c r="E43" s="150">
        <f t="shared" si="13"/>
        <v>154604.27672655688</v>
      </c>
      <c r="F43" s="150">
        <f t="shared" si="13"/>
        <v>168694.9559140481</v>
      </c>
      <c r="G43" s="150">
        <f t="shared" si="13"/>
        <v>185433.71175492814</v>
      </c>
      <c r="I43" s="148"/>
      <c r="J43" s="151">
        <f>B43</f>
        <v>9.8210994362489076E-2</v>
      </c>
      <c r="K43" s="150">
        <f t="shared" ref="K43:O47" si="14">C43+$H30</f>
        <v>185973.49861046139</v>
      </c>
      <c r="L43" s="150">
        <f t="shared" si="14"/>
        <v>196355.9254893318</v>
      </c>
      <c r="M43" s="150">
        <f t="shared" si="14"/>
        <v>208380.85569908339</v>
      </c>
      <c r="N43" s="150">
        <f t="shared" si="14"/>
        <v>222471.53488657461</v>
      </c>
      <c r="O43" s="150">
        <f t="shared" si="14"/>
        <v>239210.29072745465</v>
      </c>
      <c r="Q43" s="200">
        <v>125</v>
      </c>
      <c r="R43" s="200">
        <f t="shared" si="12"/>
        <v>10380</v>
      </c>
      <c r="S43" s="200">
        <f t="shared" si="12"/>
        <v>17707</v>
      </c>
      <c r="V43" s="179"/>
    </row>
    <row r="44" spans="2:22" x14ac:dyDescent="0.2">
      <c r="B44" s="144">
        <f>B45-1%</f>
        <v>0.10821099436248907</v>
      </c>
      <c r="C44" s="150">
        <f t="shared" si="13"/>
        <v>112168.3316779772</v>
      </c>
      <c r="D44" s="150">
        <f t="shared" si="13"/>
        <v>119921.35421425704</v>
      </c>
      <c r="E44" s="150">
        <f t="shared" si="13"/>
        <v>128733.37377738944</v>
      </c>
      <c r="F44" s="150">
        <f t="shared" si="13"/>
        <v>138837.27006002891</v>
      </c>
      <c r="G44" s="150">
        <f t="shared" si="13"/>
        <v>150539.60604205003</v>
      </c>
      <c r="I44" s="148"/>
      <c r="J44" s="151">
        <f>B44</f>
        <v>0.10821099436248907</v>
      </c>
      <c r="K44" s="150">
        <f t="shared" si="14"/>
        <v>164997.12376721494</v>
      </c>
      <c r="L44" s="150">
        <f t="shared" si="14"/>
        <v>172750.14630349478</v>
      </c>
      <c r="M44" s="150">
        <f t="shared" si="14"/>
        <v>181562.16586662718</v>
      </c>
      <c r="N44" s="150">
        <f t="shared" si="14"/>
        <v>191666.06214926665</v>
      </c>
      <c r="O44" s="150">
        <f t="shared" si="14"/>
        <v>203368.39813128777</v>
      </c>
    </row>
    <row r="45" spans="2:22" x14ac:dyDescent="0.2">
      <c r="B45" s="144">
        <f>S14</f>
        <v>0.11821099436248907</v>
      </c>
      <c r="C45" s="150">
        <f t="shared" si="13"/>
        <v>96600.331560667037</v>
      </c>
      <c r="D45" s="150">
        <f t="shared" si="13"/>
        <v>102573.78931004144</v>
      </c>
      <c r="E45" s="150">
        <f t="shared" si="13"/>
        <v>109265.11586931764</v>
      </c>
      <c r="F45" s="150">
        <f t="shared" si="13"/>
        <v>116811.99050259776</v>
      </c>
      <c r="G45" s="150">
        <f t="shared" si="13"/>
        <v>125389.7041101327</v>
      </c>
      <c r="I45" s="148"/>
      <c r="J45" s="151">
        <f>B45</f>
        <v>0.11821099436248907</v>
      </c>
      <c r="K45" s="150">
        <f t="shared" si="14"/>
        <v>148514.16390158018</v>
      </c>
      <c r="L45" s="150">
        <f t="shared" si="14"/>
        <v>154487.62165095456</v>
      </c>
      <c r="M45" s="150">
        <f t="shared" si="14"/>
        <v>161178.94821023077</v>
      </c>
      <c r="N45" s="150">
        <f t="shared" si="14"/>
        <v>168725.82284351089</v>
      </c>
      <c r="O45" s="150">
        <f t="shared" si="14"/>
        <v>177303.53645104583</v>
      </c>
      <c r="V45" s="85"/>
    </row>
    <row r="46" spans="2:22" x14ac:dyDescent="0.2">
      <c r="B46" s="144">
        <f>B45+1%</f>
        <v>0.12821099436248906</v>
      </c>
      <c r="C46" s="150">
        <f t="shared" si="13"/>
        <v>84188.644552973303</v>
      </c>
      <c r="D46" s="150">
        <f t="shared" si="13"/>
        <v>88906.339721356766</v>
      </c>
      <c r="E46" s="150">
        <f t="shared" si="13"/>
        <v>94130.16565260246</v>
      </c>
      <c r="F46" s="150">
        <f t="shared" si="13"/>
        <v>99946.188278715839</v>
      </c>
      <c r="G46" s="150">
        <f t="shared" si="13"/>
        <v>106461.1597241135</v>
      </c>
      <c r="I46" s="148"/>
      <c r="J46" s="151">
        <f>B46</f>
        <v>0.12821099436248906</v>
      </c>
      <c r="K46" s="150">
        <f t="shared" si="14"/>
        <v>135218.85666476862</v>
      </c>
      <c r="L46" s="150">
        <f t="shared" si="14"/>
        <v>139936.55183315207</v>
      </c>
      <c r="M46" s="150">
        <f t="shared" si="14"/>
        <v>145160.37776439777</v>
      </c>
      <c r="N46" s="150">
        <f t="shared" si="14"/>
        <v>150976.40039051115</v>
      </c>
      <c r="O46" s="150">
        <f t="shared" si="14"/>
        <v>157491.37183590882</v>
      </c>
    </row>
    <row r="47" spans="2:22" x14ac:dyDescent="0.2">
      <c r="B47" s="144">
        <f>B46+1%</f>
        <v>0.13821099436248907</v>
      </c>
      <c r="C47" s="150">
        <f t="shared" si="13"/>
        <v>74090.253347245569</v>
      </c>
      <c r="D47" s="150">
        <f t="shared" si="13"/>
        <v>77891.784967755215</v>
      </c>
      <c r="E47" s="150">
        <f t="shared" si="13"/>
        <v>82061.642815910513</v>
      </c>
      <c r="F47" s="150">
        <f t="shared" si="13"/>
        <v>86656.082237159848</v>
      </c>
      <c r="G47" s="150">
        <f t="shared" si="13"/>
        <v>91743.42911558981</v>
      </c>
      <c r="I47" s="148"/>
      <c r="J47" s="151">
        <f>B47</f>
        <v>0.13821099436248907</v>
      </c>
      <c r="K47" s="150">
        <f t="shared" si="14"/>
        <v>124266.77888333968</v>
      </c>
      <c r="L47" s="150">
        <f t="shared" si="14"/>
        <v>128068.31050384932</v>
      </c>
      <c r="M47" s="150">
        <f t="shared" si="14"/>
        <v>132238.16835200461</v>
      </c>
      <c r="N47" s="150">
        <f t="shared" si="14"/>
        <v>136832.60777325396</v>
      </c>
      <c r="O47" s="150">
        <f t="shared" si="14"/>
        <v>141919.95465168392</v>
      </c>
    </row>
    <row r="48" spans="2:22" x14ac:dyDescent="0.2">
      <c r="C48" s="148"/>
      <c r="D48" s="148"/>
      <c r="E48" s="148"/>
      <c r="F48" s="148"/>
      <c r="G48" s="148"/>
      <c r="I48" s="148"/>
      <c r="J48" s="148"/>
      <c r="K48" s="148"/>
      <c r="L48" s="148"/>
      <c r="M48" s="148"/>
      <c r="N48" s="148"/>
      <c r="O48" s="148"/>
    </row>
    <row r="49" spans="2:15" x14ac:dyDescent="0.2">
      <c r="C49" s="181" t="s">
        <v>200</v>
      </c>
      <c r="D49" s="181"/>
      <c r="E49" s="181"/>
      <c r="F49" s="181"/>
      <c r="G49" s="181"/>
      <c r="I49" s="148"/>
      <c r="J49" s="148"/>
      <c r="K49" s="181" t="s">
        <v>201</v>
      </c>
      <c r="L49" s="181"/>
      <c r="M49" s="181"/>
      <c r="N49" s="181"/>
      <c r="O49" s="181"/>
    </row>
    <row r="50" spans="2:15" x14ac:dyDescent="0.2">
      <c r="C50" s="180" t="s">
        <v>199</v>
      </c>
      <c r="D50" s="180"/>
      <c r="E50" s="180"/>
      <c r="F50" s="180"/>
      <c r="G50" s="180"/>
      <c r="I50" s="148"/>
      <c r="J50" s="148"/>
      <c r="K50" s="180" t="s">
        <v>199</v>
      </c>
      <c r="L50" s="180"/>
      <c r="M50" s="180"/>
      <c r="N50" s="180"/>
      <c r="O50" s="180"/>
    </row>
    <row r="51" spans="2:15" x14ac:dyDescent="0.2">
      <c r="B51" s="145" t="s">
        <v>176</v>
      </c>
      <c r="C51" s="146">
        <f>D51-0.5%</f>
        <v>2.5000000000000001E-2</v>
      </c>
      <c r="D51" s="146">
        <f>E51-0.5%</f>
        <v>3.0000000000000002E-2</v>
      </c>
      <c r="E51" s="147">
        <v>3.5000000000000003E-2</v>
      </c>
      <c r="F51" s="146">
        <f>E51+0.5%</f>
        <v>0.04</v>
      </c>
      <c r="G51" s="146">
        <f>F51+0.5%</f>
        <v>4.4999999999999998E-2</v>
      </c>
      <c r="I51" s="148"/>
      <c r="J51" s="149" t="s">
        <v>176</v>
      </c>
      <c r="K51" s="146">
        <f>L51-0.5%</f>
        <v>2.5000000000000001E-2</v>
      </c>
      <c r="L51" s="146">
        <f>M51-0.5%</f>
        <v>3.0000000000000002E-2</v>
      </c>
      <c r="M51" s="147">
        <v>3.5000000000000003E-2</v>
      </c>
      <c r="N51" s="146">
        <f>M51+0.5%</f>
        <v>0.04</v>
      </c>
      <c r="O51" s="146">
        <f>N51+0.5%</f>
        <v>4.4999999999999998E-2</v>
      </c>
    </row>
    <row r="52" spans="2:15" x14ac:dyDescent="0.2">
      <c r="B52" s="144">
        <f>B43</f>
        <v>9.8210994362489076E-2</v>
      </c>
      <c r="C52" s="150">
        <f>K43-$R39+$S39-$Q39</f>
        <v>193175.49861046139</v>
      </c>
      <c r="D52" s="150">
        <f t="shared" ref="D52:G52" si="15">L43-$R39+$S39-$Q39</f>
        <v>203557.9254893318</v>
      </c>
      <c r="E52" s="150">
        <f t="shared" si="15"/>
        <v>215582.85569908339</v>
      </c>
      <c r="F52" s="150">
        <f t="shared" si="15"/>
        <v>229673.53488657461</v>
      </c>
      <c r="G52" s="150">
        <f t="shared" si="15"/>
        <v>246412.29072745465</v>
      </c>
      <c r="I52" s="148"/>
      <c r="J52" s="151">
        <f>J43</f>
        <v>9.8210994362489076E-2</v>
      </c>
      <c r="K52" s="150">
        <f t="shared" ref="K52:O56" si="16">C52/$S$18</f>
        <v>171.10318743176384</v>
      </c>
      <c r="L52" s="150">
        <f t="shared" si="16"/>
        <v>180.29931398523632</v>
      </c>
      <c r="M52" s="150">
        <f t="shared" si="16"/>
        <v>190.95027076978155</v>
      </c>
      <c r="N52" s="150">
        <f t="shared" si="16"/>
        <v>203.4309432122007</v>
      </c>
      <c r="O52" s="150">
        <f t="shared" si="16"/>
        <v>218.25712199065956</v>
      </c>
    </row>
    <row r="53" spans="2:15" x14ac:dyDescent="0.2">
      <c r="B53" s="144">
        <f>B44</f>
        <v>0.10821099436248907</v>
      </c>
      <c r="C53" s="150">
        <f t="shared" ref="C53:C56" si="17">K44-$R40+$S40-$Q40</f>
        <v>172199.12376721494</v>
      </c>
      <c r="D53" s="150">
        <f t="shared" ref="D53:D56" si="18">L44-$R40+$S40-$Q40</f>
        <v>179952.14630349478</v>
      </c>
      <c r="E53" s="150">
        <f t="shared" ref="E53:E56" si="19">M44-$R40+$S40-$Q40</f>
        <v>188764.16586662718</v>
      </c>
      <c r="F53" s="150">
        <f t="shared" ref="F53:F56" si="20">N44-$R40+$S40-$Q40</f>
        <v>198868.06214926665</v>
      </c>
      <c r="G53" s="150">
        <f t="shared" ref="G53:G56" si="21">O44-$R40+$S40-$Q40</f>
        <v>210570.39813128777</v>
      </c>
      <c r="I53" s="148"/>
      <c r="J53" s="151">
        <f>J44</f>
        <v>0.10821099436248907</v>
      </c>
      <c r="K53" s="150">
        <f t="shared" si="16"/>
        <v>152.52358172472537</v>
      </c>
      <c r="L53" s="152">
        <f t="shared" si="16"/>
        <v>159.39074074711672</v>
      </c>
      <c r="M53" s="153">
        <f t="shared" si="16"/>
        <v>167.19589536459449</v>
      </c>
      <c r="N53" s="154">
        <f t="shared" si="16"/>
        <v>176.14531634124592</v>
      </c>
      <c r="O53" s="150">
        <f t="shared" si="16"/>
        <v>186.51053864595906</v>
      </c>
    </row>
    <row r="54" spans="2:15" x14ac:dyDescent="0.2">
      <c r="B54" s="144">
        <f>B45</f>
        <v>0.11821099436248907</v>
      </c>
      <c r="C54" s="150">
        <f t="shared" si="17"/>
        <v>155716.16390158018</v>
      </c>
      <c r="D54" s="150">
        <f t="shared" si="18"/>
        <v>161689.62165095456</v>
      </c>
      <c r="E54" s="150">
        <f t="shared" si="19"/>
        <v>168380.94821023077</v>
      </c>
      <c r="F54" s="150">
        <f t="shared" si="20"/>
        <v>175927.82284351089</v>
      </c>
      <c r="G54" s="150">
        <f t="shared" si="21"/>
        <v>184505.53645104583</v>
      </c>
      <c r="I54" s="148"/>
      <c r="J54" s="151">
        <f>J45</f>
        <v>0.11821099436248907</v>
      </c>
      <c r="K54" s="150">
        <f t="shared" si="16"/>
        <v>137.92397156915871</v>
      </c>
      <c r="L54" s="155">
        <f t="shared" si="16"/>
        <v>143.21489960226268</v>
      </c>
      <c r="M54" s="150">
        <f t="shared" si="16"/>
        <v>149.14167246256048</v>
      </c>
      <c r="N54" s="156">
        <f t="shared" si="16"/>
        <v>155.8262381253418</v>
      </c>
      <c r="O54" s="150">
        <f t="shared" si="16"/>
        <v>163.42385868117435</v>
      </c>
    </row>
    <row r="55" spans="2:15" x14ac:dyDescent="0.2">
      <c r="B55" s="144">
        <f>B46</f>
        <v>0.12821099436248906</v>
      </c>
      <c r="C55" s="150">
        <f t="shared" si="17"/>
        <v>142420.85666476862</v>
      </c>
      <c r="D55" s="150">
        <f t="shared" si="18"/>
        <v>147138.55183315207</v>
      </c>
      <c r="E55" s="150">
        <f t="shared" si="19"/>
        <v>152362.37776439777</v>
      </c>
      <c r="F55" s="150">
        <f t="shared" si="20"/>
        <v>158178.40039051115</v>
      </c>
      <c r="G55" s="150">
        <f t="shared" si="21"/>
        <v>164693.37183590882</v>
      </c>
      <c r="I55" s="148"/>
      <c r="J55" s="151">
        <f>J46</f>
        <v>0.12821099436248906</v>
      </c>
      <c r="K55" s="150">
        <f t="shared" si="16"/>
        <v>126.14779155426804</v>
      </c>
      <c r="L55" s="157">
        <f t="shared" si="16"/>
        <v>130.32644095053328</v>
      </c>
      <c r="M55" s="158">
        <f t="shared" si="16"/>
        <v>134.95339040247811</v>
      </c>
      <c r="N55" s="159">
        <f t="shared" si="16"/>
        <v>140.10487191365027</v>
      </c>
      <c r="O55" s="150">
        <f t="shared" si="16"/>
        <v>145.87544006723544</v>
      </c>
    </row>
    <row r="56" spans="2:15" x14ac:dyDescent="0.2">
      <c r="B56" s="144">
        <f>B47</f>
        <v>0.13821099436248907</v>
      </c>
      <c r="C56" s="150">
        <f t="shared" si="17"/>
        <v>131468.77888333966</v>
      </c>
      <c r="D56" s="150">
        <f t="shared" si="18"/>
        <v>135270.31050384932</v>
      </c>
      <c r="E56" s="150">
        <f t="shared" si="19"/>
        <v>139440.16835200461</v>
      </c>
      <c r="F56" s="150">
        <f t="shared" si="20"/>
        <v>144034.60777325396</v>
      </c>
      <c r="G56" s="150">
        <f t="shared" si="21"/>
        <v>149121.95465168392</v>
      </c>
      <c r="I56" s="148"/>
      <c r="J56" s="151">
        <f>J47</f>
        <v>0.13821099436248907</v>
      </c>
      <c r="K56" s="150">
        <f t="shared" si="16"/>
        <v>116.44710264246206</v>
      </c>
      <c r="L56" s="150">
        <f t="shared" si="16"/>
        <v>119.81426971111543</v>
      </c>
      <c r="M56" s="150">
        <f t="shared" si="16"/>
        <v>123.50767790257272</v>
      </c>
      <c r="N56" s="150">
        <f t="shared" si="16"/>
        <v>127.57715480359074</v>
      </c>
      <c r="O56" s="150">
        <f t="shared" si="16"/>
        <v>132.08321935490162</v>
      </c>
    </row>
    <row r="57" spans="2:15" ht="16" customHeight="1" x14ac:dyDescent="0.2"/>
    <row r="58" spans="2:15" ht="16" customHeight="1" x14ac:dyDescent="0.2"/>
    <row r="59" spans="2:15" ht="16" customHeight="1" x14ac:dyDescent="0.2"/>
    <row r="60" spans="2:15" x14ac:dyDescent="0.2">
      <c r="B60" s="182" t="s">
        <v>203</v>
      </c>
      <c r="C60" s="182"/>
      <c r="D60" s="182"/>
      <c r="E60" s="182"/>
      <c r="F60" s="182"/>
      <c r="G60" s="182"/>
      <c r="H60" s="182"/>
      <c r="I60" s="182"/>
      <c r="J60" s="182"/>
      <c r="K60" s="182"/>
      <c r="L60" s="182"/>
      <c r="M60" s="182"/>
      <c r="N60" s="182"/>
      <c r="O60" s="182"/>
    </row>
    <row r="62" spans="2:15" x14ac:dyDescent="0.2">
      <c r="C62" s="181" t="s">
        <v>197</v>
      </c>
      <c r="D62" s="181"/>
      <c r="E62" s="181"/>
      <c r="F62" s="181"/>
      <c r="G62" s="181"/>
      <c r="K62" s="181" t="s">
        <v>198</v>
      </c>
      <c r="L62" s="181"/>
      <c r="M62" s="181"/>
      <c r="N62" s="181"/>
      <c r="O62" s="181"/>
    </row>
    <row r="63" spans="2:15" x14ac:dyDescent="0.2">
      <c r="C63" s="180" t="s">
        <v>204</v>
      </c>
      <c r="D63" s="180"/>
      <c r="E63" s="180"/>
      <c r="F63" s="180"/>
      <c r="G63" s="180"/>
      <c r="K63" s="180" t="s">
        <v>204</v>
      </c>
      <c r="L63" s="180"/>
      <c r="M63" s="180"/>
      <c r="N63" s="180"/>
      <c r="O63" s="180"/>
    </row>
    <row r="64" spans="2:15" x14ac:dyDescent="0.2">
      <c r="B64" s="145" t="s">
        <v>176</v>
      </c>
      <c r="C64" s="160">
        <f>D64-1</f>
        <v>43</v>
      </c>
      <c r="D64" s="160">
        <f>E64-1</f>
        <v>44</v>
      </c>
      <c r="E64" s="161">
        <v>45</v>
      </c>
      <c r="F64" s="160">
        <f>E64+1</f>
        <v>46</v>
      </c>
      <c r="G64" s="160">
        <f>F64+1</f>
        <v>47</v>
      </c>
      <c r="I64" s="148"/>
      <c r="J64" s="149" t="s">
        <v>176</v>
      </c>
      <c r="K64" s="160">
        <f>L64-1</f>
        <v>43</v>
      </c>
      <c r="L64" s="160">
        <f>M64-1</f>
        <v>44</v>
      </c>
      <c r="M64" s="161">
        <v>45</v>
      </c>
      <c r="N64" s="160">
        <f>M64+1</f>
        <v>46</v>
      </c>
      <c r="O64" s="160">
        <f>N64+1</f>
        <v>47</v>
      </c>
    </row>
    <row r="65" spans="2:15" x14ac:dyDescent="0.2">
      <c r="B65" s="144">
        <f t="shared" ref="B65" si="22">B66-1%</f>
        <v>9.8210994362489076E-2</v>
      </c>
      <c r="C65" s="150">
        <f t="shared" ref="C65:G69" si="23">$O$8*C$64/(1+$B65)^$O$29</f>
        <v>840436.97118774138</v>
      </c>
      <c r="D65" s="150">
        <f t="shared" si="23"/>
        <v>859982.01702931675</v>
      </c>
      <c r="E65" s="150">
        <f t="shared" si="23"/>
        <v>879527.06287089211</v>
      </c>
      <c r="F65" s="150">
        <f t="shared" si="23"/>
        <v>899072.10871246748</v>
      </c>
      <c r="G65" s="150">
        <f t="shared" si="23"/>
        <v>918617.15455404285</v>
      </c>
      <c r="I65" s="148"/>
      <c r="J65" s="151">
        <f>B65</f>
        <v>9.8210994362489076E-2</v>
      </c>
      <c r="K65" s="150">
        <f t="shared" ref="K65:O69" si="24">C65+$H30</f>
        <v>894213.55016026786</v>
      </c>
      <c r="L65" s="150">
        <f t="shared" si="24"/>
        <v>913758.59600184322</v>
      </c>
      <c r="M65" s="150">
        <f t="shared" si="24"/>
        <v>933303.64184341859</v>
      </c>
      <c r="N65" s="150">
        <f t="shared" si="24"/>
        <v>952848.68768499396</v>
      </c>
      <c r="O65" s="150">
        <f t="shared" si="24"/>
        <v>972393.73352656933</v>
      </c>
    </row>
    <row r="66" spans="2:15" x14ac:dyDescent="0.2">
      <c r="B66" s="144">
        <f>B67-1%</f>
        <v>0.10821099436248907</v>
      </c>
      <c r="C66" s="150">
        <f t="shared" si="23"/>
        <v>810510.19144665578</v>
      </c>
      <c r="D66" s="150">
        <f t="shared" si="23"/>
        <v>829359.26566634548</v>
      </c>
      <c r="E66" s="150">
        <f t="shared" si="23"/>
        <v>848208.33988603519</v>
      </c>
      <c r="F66" s="150">
        <f t="shared" si="23"/>
        <v>867057.41410572478</v>
      </c>
      <c r="G66" s="150">
        <f t="shared" si="23"/>
        <v>885906.48832541448</v>
      </c>
      <c r="I66" s="148"/>
      <c r="J66" s="151">
        <f>B66</f>
        <v>0.10821099436248907</v>
      </c>
      <c r="K66" s="150">
        <f t="shared" si="24"/>
        <v>863338.98353589349</v>
      </c>
      <c r="L66" s="150">
        <f t="shared" si="24"/>
        <v>882188.0577555832</v>
      </c>
      <c r="M66" s="150">
        <f t="shared" si="24"/>
        <v>901037.1319752729</v>
      </c>
      <c r="N66" s="150">
        <f t="shared" si="24"/>
        <v>919886.20619496249</v>
      </c>
      <c r="O66" s="150">
        <f t="shared" si="24"/>
        <v>938735.2804146522</v>
      </c>
    </row>
    <row r="67" spans="2:15" x14ac:dyDescent="0.2">
      <c r="B67" s="144">
        <f>S14</f>
        <v>0.11821099436248907</v>
      </c>
      <c r="C67" s="150">
        <f t="shared" si="23"/>
        <v>781903.6956476887</v>
      </c>
      <c r="D67" s="150">
        <f t="shared" si="23"/>
        <v>800087.5025232163</v>
      </c>
      <c r="E67" s="150">
        <f t="shared" si="23"/>
        <v>818271.30939874402</v>
      </c>
      <c r="F67" s="150">
        <f t="shared" si="23"/>
        <v>836455.11627427163</v>
      </c>
      <c r="G67" s="150">
        <f t="shared" si="23"/>
        <v>854638.92314979923</v>
      </c>
      <c r="I67" s="148"/>
      <c r="J67" s="151">
        <f>B67</f>
        <v>0.11821099436248907</v>
      </c>
      <c r="K67" s="150">
        <f t="shared" si="24"/>
        <v>833817.52798860183</v>
      </c>
      <c r="L67" s="150">
        <f t="shared" si="24"/>
        <v>852001.33486412943</v>
      </c>
      <c r="M67" s="150">
        <f t="shared" si="24"/>
        <v>870185.14173965715</v>
      </c>
      <c r="N67" s="150">
        <f t="shared" si="24"/>
        <v>888368.94861518475</v>
      </c>
      <c r="O67" s="150">
        <f t="shared" si="24"/>
        <v>906552.75549071236</v>
      </c>
    </row>
    <row r="68" spans="2:15" x14ac:dyDescent="0.2">
      <c r="B68" s="144">
        <f>B67+1%</f>
        <v>0.12821099436248906</v>
      </c>
      <c r="C68" s="150">
        <f t="shared" si="23"/>
        <v>754548.1998663682</v>
      </c>
      <c r="D68" s="150">
        <f t="shared" si="23"/>
        <v>772095.8324214</v>
      </c>
      <c r="E68" s="150">
        <f t="shared" si="23"/>
        <v>789643.4649764318</v>
      </c>
      <c r="F68" s="150">
        <f t="shared" si="23"/>
        <v>807191.0975314636</v>
      </c>
      <c r="G68" s="150">
        <f t="shared" si="23"/>
        <v>824738.73008649552</v>
      </c>
      <c r="I68" s="148"/>
      <c r="J68" s="151">
        <f>B68</f>
        <v>0.12821099436248906</v>
      </c>
      <c r="K68" s="150">
        <f t="shared" si="24"/>
        <v>805578.41197816352</v>
      </c>
      <c r="L68" s="150">
        <f t="shared" si="24"/>
        <v>823126.04453319532</v>
      </c>
      <c r="M68" s="150">
        <f t="shared" si="24"/>
        <v>840673.67708822712</v>
      </c>
      <c r="N68" s="150">
        <f t="shared" si="24"/>
        <v>858221.30964325892</v>
      </c>
      <c r="O68" s="150">
        <f t="shared" si="24"/>
        <v>875768.94219829084</v>
      </c>
    </row>
    <row r="69" spans="2:15" x14ac:dyDescent="0.2">
      <c r="B69" s="144">
        <f>B68+1%</f>
        <v>0.13821099436248907</v>
      </c>
      <c r="C69" s="150">
        <f t="shared" si="23"/>
        <v>728378.62506576546</v>
      </c>
      <c r="D69" s="150">
        <f t="shared" si="23"/>
        <v>745317.66285799257</v>
      </c>
      <c r="E69" s="150">
        <f t="shared" si="23"/>
        <v>762256.70065021969</v>
      </c>
      <c r="F69" s="150">
        <f t="shared" si="23"/>
        <v>779195.7384424468</v>
      </c>
      <c r="G69" s="150">
        <f t="shared" si="23"/>
        <v>796134.77623467392</v>
      </c>
      <c r="I69" s="148"/>
      <c r="J69" s="151">
        <f>B69</f>
        <v>0.13821099436248907</v>
      </c>
      <c r="K69" s="150">
        <f t="shared" si="24"/>
        <v>778555.15060185955</v>
      </c>
      <c r="L69" s="150">
        <f t="shared" si="24"/>
        <v>795494.18839408667</v>
      </c>
      <c r="M69" s="150">
        <f t="shared" si="24"/>
        <v>812433.22618631378</v>
      </c>
      <c r="N69" s="150">
        <f t="shared" si="24"/>
        <v>829372.2639785409</v>
      </c>
      <c r="O69" s="150">
        <f t="shared" si="24"/>
        <v>846311.30177076801</v>
      </c>
    </row>
    <row r="70" spans="2:15" x14ac:dyDescent="0.2">
      <c r="C70" s="148"/>
      <c r="D70" s="148"/>
      <c r="E70" s="148"/>
      <c r="F70" s="148"/>
      <c r="G70" s="148"/>
      <c r="I70" s="148"/>
      <c r="J70" s="148"/>
      <c r="K70" s="148"/>
      <c r="L70" s="148"/>
      <c r="M70" s="148"/>
      <c r="N70" s="148"/>
      <c r="O70" s="148"/>
    </row>
    <row r="71" spans="2:15" x14ac:dyDescent="0.2">
      <c r="C71" s="181" t="s">
        <v>200</v>
      </c>
      <c r="D71" s="181"/>
      <c r="E71" s="181"/>
      <c r="F71" s="181"/>
      <c r="G71" s="181"/>
      <c r="I71" s="148"/>
      <c r="J71" s="148"/>
      <c r="K71" s="181" t="s">
        <v>201</v>
      </c>
      <c r="L71" s="181"/>
      <c r="M71" s="181"/>
      <c r="N71" s="181"/>
      <c r="O71" s="181"/>
    </row>
    <row r="72" spans="2:15" x14ac:dyDescent="0.2">
      <c r="C72" s="180" t="s">
        <v>204</v>
      </c>
      <c r="D72" s="180"/>
      <c r="E72" s="180"/>
      <c r="F72" s="180"/>
      <c r="G72" s="180"/>
      <c r="I72" s="148"/>
      <c r="J72" s="148"/>
      <c r="K72" s="180" t="s">
        <v>204</v>
      </c>
      <c r="L72" s="180"/>
      <c r="M72" s="180"/>
      <c r="N72" s="180"/>
      <c r="O72" s="180"/>
    </row>
    <row r="73" spans="2:15" x14ac:dyDescent="0.2">
      <c r="B73" s="145" t="s">
        <v>176</v>
      </c>
      <c r="C73" s="160">
        <f>D73-1</f>
        <v>43</v>
      </c>
      <c r="D73" s="160">
        <f>E73-1</f>
        <v>44</v>
      </c>
      <c r="E73" s="161">
        <v>45</v>
      </c>
      <c r="F73" s="160">
        <f>E73+1</f>
        <v>46</v>
      </c>
      <c r="G73" s="160">
        <f>F73+1</f>
        <v>47</v>
      </c>
      <c r="I73" s="148"/>
      <c r="J73" s="149" t="s">
        <v>176</v>
      </c>
      <c r="K73" s="160">
        <f>L73-1</f>
        <v>43</v>
      </c>
      <c r="L73" s="160">
        <f>M73-1</f>
        <v>44</v>
      </c>
      <c r="M73" s="161">
        <v>45</v>
      </c>
      <c r="N73" s="160">
        <f>M73+1</f>
        <v>46</v>
      </c>
      <c r="O73" s="160">
        <f>N73+1</f>
        <v>47</v>
      </c>
    </row>
    <row r="74" spans="2:15" x14ac:dyDescent="0.2">
      <c r="B74" s="144">
        <f>B65</f>
        <v>9.8210994362489076E-2</v>
      </c>
      <c r="C74" s="150">
        <f>K65-$R39+$S39-$Q39</f>
        <v>901415.55016026786</v>
      </c>
      <c r="D74" s="150">
        <f t="shared" ref="D74:G78" si="25">L65-$R39+$S39-$Q39</f>
        <v>920960.59600184322</v>
      </c>
      <c r="E74" s="150">
        <f t="shared" si="25"/>
        <v>940505.64184341859</v>
      </c>
      <c r="F74" s="150">
        <f t="shared" si="25"/>
        <v>960050.68768499396</v>
      </c>
      <c r="G74" s="150">
        <f t="shared" si="25"/>
        <v>979595.73352656933</v>
      </c>
      <c r="I74" s="148"/>
      <c r="J74" s="151">
        <f>J65</f>
        <v>9.8210994362489076E-2</v>
      </c>
      <c r="K74" s="150">
        <f t="shared" ref="K74:O78" si="26">C74/$S$18</f>
        <v>798.41944212601231</v>
      </c>
      <c r="L74" s="150">
        <f t="shared" si="26"/>
        <v>815.7312630662916</v>
      </c>
      <c r="M74" s="150">
        <f t="shared" si="26"/>
        <v>833.04308400657089</v>
      </c>
      <c r="N74" s="150">
        <f t="shared" si="26"/>
        <v>850.3549049468503</v>
      </c>
      <c r="O74" s="150">
        <f t="shared" si="26"/>
        <v>867.66672588712959</v>
      </c>
    </row>
    <row r="75" spans="2:15" x14ac:dyDescent="0.2">
      <c r="B75" s="144">
        <f t="shared" ref="B75:B78" si="27">B66</f>
        <v>0.10821099436248907</v>
      </c>
      <c r="C75" s="150">
        <f t="shared" ref="C75:C78" si="28">K66-$R40+$S40-$Q40</f>
        <v>870540.98353589349</v>
      </c>
      <c r="D75" s="150">
        <f t="shared" si="25"/>
        <v>889390.0577555832</v>
      </c>
      <c r="E75" s="150">
        <f t="shared" si="25"/>
        <v>908239.1319752729</v>
      </c>
      <c r="F75" s="150">
        <f t="shared" si="25"/>
        <v>927088.20619496249</v>
      </c>
      <c r="G75" s="150">
        <f t="shared" si="25"/>
        <v>945937.2804146522</v>
      </c>
      <c r="I75" s="148"/>
      <c r="J75" s="151">
        <f t="shared" ref="J75:J78" si="29">J66</f>
        <v>0.10821099436248907</v>
      </c>
      <c r="K75" s="150">
        <f t="shared" si="26"/>
        <v>771.07261606367888</v>
      </c>
      <c r="L75" s="152">
        <f t="shared" si="26"/>
        <v>787.76798738315608</v>
      </c>
      <c r="M75" s="153">
        <f t="shared" si="26"/>
        <v>804.46335870263317</v>
      </c>
      <c r="N75" s="154">
        <f t="shared" si="26"/>
        <v>821.15873002211026</v>
      </c>
      <c r="O75" s="150">
        <f t="shared" si="26"/>
        <v>837.85410134158747</v>
      </c>
    </row>
    <row r="76" spans="2:15" x14ac:dyDescent="0.2">
      <c r="B76" s="144">
        <f>B67</f>
        <v>0.11821099436248907</v>
      </c>
      <c r="C76" s="150">
        <f t="shared" si="28"/>
        <v>841019.52798860183</v>
      </c>
      <c r="D76" s="150">
        <f t="shared" si="25"/>
        <v>859203.33486412943</v>
      </c>
      <c r="E76" s="150">
        <f>M67-$R41+$S41-$Q41</f>
        <v>877387.14173965715</v>
      </c>
      <c r="F76" s="150">
        <f t="shared" si="25"/>
        <v>895570.94861518475</v>
      </c>
      <c r="G76" s="150">
        <f t="shared" si="25"/>
        <v>913754.75549071236</v>
      </c>
      <c r="I76" s="148"/>
      <c r="J76" s="151">
        <f t="shared" si="29"/>
        <v>0.11821099436248907</v>
      </c>
      <c r="K76" s="150">
        <f t="shared" si="26"/>
        <v>744.92429405544897</v>
      </c>
      <c r="L76" s="155">
        <f t="shared" si="26"/>
        <v>761.03041174856457</v>
      </c>
      <c r="M76" s="150">
        <f t="shared" si="26"/>
        <v>777.13652944168041</v>
      </c>
      <c r="N76" s="156">
        <f t="shared" si="26"/>
        <v>793.24264713479602</v>
      </c>
      <c r="O76" s="150">
        <f t="shared" si="26"/>
        <v>809.34876482791174</v>
      </c>
    </row>
    <row r="77" spans="2:15" x14ac:dyDescent="0.2">
      <c r="B77" s="144">
        <f>B68</f>
        <v>0.12821099436248906</v>
      </c>
      <c r="C77" s="150">
        <f t="shared" si="28"/>
        <v>812780.41197816352</v>
      </c>
      <c r="D77" s="150">
        <f t="shared" si="25"/>
        <v>830328.04453319532</v>
      </c>
      <c r="E77" s="150">
        <f t="shared" si="25"/>
        <v>847875.67708822712</v>
      </c>
      <c r="F77" s="150">
        <f t="shared" si="25"/>
        <v>865423.30964325892</v>
      </c>
      <c r="G77" s="150">
        <f t="shared" si="25"/>
        <v>882970.94219829084</v>
      </c>
      <c r="I77" s="148"/>
      <c r="J77" s="151">
        <f t="shared" si="29"/>
        <v>0.12821099436248906</v>
      </c>
      <c r="K77" s="150">
        <f t="shared" si="26"/>
        <v>719.91179094611471</v>
      </c>
      <c r="L77" s="157">
        <f t="shared" si="26"/>
        <v>735.45442385579747</v>
      </c>
      <c r="M77" s="158">
        <f t="shared" si="26"/>
        <v>750.99705676548012</v>
      </c>
      <c r="N77" s="159">
        <f t="shared" si="26"/>
        <v>766.53968967516289</v>
      </c>
      <c r="O77" s="150">
        <f t="shared" si="26"/>
        <v>782.08232258484577</v>
      </c>
    </row>
    <row r="78" spans="2:15" x14ac:dyDescent="0.2">
      <c r="B78" s="144">
        <f t="shared" si="27"/>
        <v>0.13821099436248907</v>
      </c>
      <c r="C78" s="150">
        <f t="shared" si="28"/>
        <v>785757.15060185955</v>
      </c>
      <c r="D78" s="150">
        <f t="shared" si="25"/>
        <v>802696.18839408667</v>
      </c>
      <c r="E78" s="150">
        <f t="shared" si="25"/>
        <v>819635.22618631378</v>
      </c>
      <c r="F78" s="150">
        <f t="shared" si="25"/>
        <v>836574.2639785409</v>
      </c>
      <c r="G78" s="150">
        <f t="shared" si="25"/>
        <v>853513.30177076801</v>
      </c>
      <c r="I78" s="148"/>
      <c r="J78" s="151">
        <f t="shared" si="29"/>
        <v>0.13821099436248907</v>
      </c>
      <c r="K78" s="150">
        <f t="shared" si="26"/>
        <v>695.97621842503065</v>
      </c>
      <c r="L78" s="150">
        <f t="shared" si="26"/>
        <v>710.97979485747271</v>
      </c>
      <c r="M78" s="150">
        <f t="shared" si="26"/>
        <v>725.98337128991477</v>
      </c>
      <c r="N78" s="150">
        <f t="shared" si="26"/>
        <v>740.98694772235683</v>
      </c>
      <c r="O78" s="150">
        <f t="shared" si="26"/>
        <v>755.990524154799</v>
      </c>
    </row>
  </sheetData>
  <mergeCells count="20">
    <mergeCell ref="Q4:S4"/>
    <mergeCell ref="S26:W26"/>
    <mergeCell ref="C40:G40"/>
    <mergeCell ref="K40:O40"/>
    <mergeCell ref="C41:G41"/>
    <mergeCell ref="K41:O41"/>
    <mergeCell ref="B38:O38"/>
    <mergeCell ref="C49:G49"/>
    <mergeCell ref="K49:O49"/>
    <mergeCell ref="C50:G50"/>
    <mergeCell ref="K50:O50"/>
    <mergeCell ref="C62:G62"/>
    <mergeCell ref="K62:O62"/>
    <mergeCell ref="B60:O60"/>
    <mergeCell ref="C63:G63"/>
    <mergeCell ref="K63:O63"/>
    <mergeCell ref="C71:G71"/>
    <mergeCell ref="K71:O71"/>
    <mergeCell ref="C72:G72"/>
    <mergeCell ref="K72:O72"/>
  </mergeCells>
  <hyperlinks>
    <hyperlink ref="Q21" r:id="rId1" location="Consolidated_Statmnts_of_Cmprehnsve_Loss" xr:uid="{A71C953D-1A9C-214E-B5B2-B1F8786BE476}"/>
    <hyperlink ref="Q20" r:id="rId2" location="consolidated_statmnts_of_cmprehnsve_loss" xr:uid="{6FF049A6-8EA2-1045-B288-F8BC690159EA}"/>
  </hyperlinks>
  <pageMargins left="0.7" right="0.7" top="0.75" bottom="0.75" header="0.3" footer="0.3"/>
  <pageSetup orientation="portrait" horizontalDpi="0" verticalDpi="0"/>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7C86D1-16E3-2349-BBC9-E28CDE2DB853}">
  <dimension ref="B2:U41"/>
  <sheetViews>
    <sheetView zoomScale="130" zoomScaleNormal="130" workbookViewId="0">
      <selection activeCell="E45" sqref="E45"/>
    </sheetView>
  </sheetViews>
  <sheetFormatPr baseColWidth="10" defaultRowHeight="16" x14ac:dyDescent="0.2"/>
  <cols>
    <col min="1" max="1" width="10.83203125" style="14"/>
    <col min="2" max="2" width="32.83203125" style="14" customWidth="1"/>
    <col min="3" max="4" width="10.83203125" style="14" customWidth="1"/>
    <col min="5" max="5" width="10.83203125" style="14"/>
    <col min="6" max="6" width="11.1640625" style="14" bestFit="1" customWidth="1"/>
    <col min="7" max="13" width="10.83203125" style="14"/>
    <col min="14" max="15" width="0" style="14" hidden="1" customWidth="1"/>
    <col min="16" max="16384" width="10.83203125" style="14"/>
  </cols>
  <sheetData>
    <row r="2" spans="2:21" x14ac:dyDescent="0.2">
      <c r="B2" s="10" t="s">
        <v>0</v>
      </c>
    </row>
    <row r="3" spans="2:21" x14ac:dyDescent="0.2">
      <c r="Q3" s="184"/>
      <c r="R3" s="184"/>
      <c r="S3" s="184"/>
      <c r="T3" s="184"/>
      <c r="U3" s="184"/>
    </row>
    <row r="4" spans="2:21" x14ac:dyDescent="0.2">
      <c r="B4" s="39" t="s">
        <v>1</v>
      </c>
      <c r="C4" s="40">
        <v>2016</v>
      </c>
      <c r="D4" s="40">
        <v>2017</v>
      </c>
      <c r="E4" s="41">
        <v>2018</v>
      </c>
      <c r="F4" s="41">
        <v>2019</v>
      </c>
      <c r="G4" s="41">
        <v>2020</v>
      </c>
      <c r="H4" s="41">
        <v>2021</v>
      </c>
      <c r="I4" s="42">
        <v>2022</v>
      </c>
      <c r="J4" s="42">
        <v>2023</v>
      </c>
      <c r="K4" s="42">
        <v>2024</v>
      </c>
      <c r="L4" s="42">
        <v>2025</v>
      </c>
      <c r="M4" s="42">
        <v>2026</v>
      </c>
      <c r="N4" s="42">
        <v>2027</v>
      </c>
      <c r="O4" s="42">
        <v>2028</v>
      </c>
      <c r="R4" s="183" t="s">
        <v>2</v>
      </c>
      <c r="S4" s="183"/>
      <c r="T4" s="183"/>
    </row>
    <row r="5" spans="2:21" x14ac:dyDescent="0.2">
      <c r="B5" s="14" t="s">
        <v>3</v>
      </c>
      <c r="C5" s="14">
        <v>50.9</v>
      </c>
      <c r="D5" s="14">
        <v>54.8</v>
      </c>
      <c r="E5" s="25">
        <v>50.7</v>
      </c>
      <c r="F5" s="25">
        <v>34.299999999999997</v>
      </c>
      <c r="G5" s="43">
        <v>28.535499999999999</v>
      </c>
      <c r="H5" s="43">
        <v>22.940999999999999</v>
      </c>
      <c r="I5" s="44">
        <v>30</v>
      </c>
      <c r="J5" s="44">
        <v>40</v>
      </c>
      <c r="K5" s="44">
        <v>40</v>
      </c>
      <c r="L5" s="44">
        <v>40</v>
      </c>
      <c r="M5" s="44">
        <v>40</v>
      </c>
      <c r="N5" s="43">
        <v>33.451999999999998</v>
      </c>
      <c r="O5" s="43">
        <v>33.314</v>
      </c>
      <c r="R5" s="14" t="s">
        <v>4</v>
      </c>
      <c r="T5" s="14">
        <v>500</v>
      </c>
    </row>
    <row r="6" spans="2:21" x14ac:dyDescent="0.2">
      <c r="B6" s="14" t="s">
        <v>5</v>
      </c>
      <c r="C6" s="14">
        <v>25.3</v>
      </c>
      <c r="D6" s="14">
        <v>46.6</v>
      </c>
      <c r="E6" s="25">
        <v>48.7</v>
      </c>
      <c r="F6" s="25">
        <v>32.4</v>
      </c>
      <c r="G6" s="43">
        <v>27.513999999999999</v>
      </c>
      <c r="H6" s="43">
        <v>2.3069999999999999</v>
      </c>
      <c r="I6" s="44">
        <v>20</v>
      </c>
      <c r="J6" s="44">
        <v>20</v>
      </c>
      <c r="K6" s="44">
        <v>35</v>
      </c>
      <c r="L6" s="44">
        <v>35</v>
      </c>
      <c r="M6" s="44">
        <v>35</v>
      </c>
      <c r="N6" s="43">
        <v>52.137999999999998</v>
      </c>
      <c r="O6" s="43">
        <v>53.63</v>
      </c>
      <c r="R6" s="14" t="s">
        <v>6</v>
      </c>
      <c r="T6" s="14">
        <v>1000</v>
      </c>
    </row>
    <row r="7" spans="2:21" x14ac:dyDescent="0.2">
      <c r="B7" s="14" t="s">
        <v>7</v>
      </c>
      <c r="D7" s="14">
        <v>1.8</v>
      </c>
      <c r="E7" s="25">
        <v>146.1</v>
      </c>
      <c r="F7" s="25">
        <v>300.89999999999998</v>
      </c>
      <c r="G7" s="43">
        <v>364.42099999999999</v>
      </c>
      <c r="H7" s="43">
        <v>487.64600000000002</v>
      </c>
      <c r="I7" s="44">
        <v>650</v>
      </c>
      <c r="J7" s="44">
        <v>900</v>
      </c>
      <c r="K7" s="44">
        <v>1200</v>
      </c>
      <c r="L7" s="44">
        <v>1400</v>
      </c>
      <c r="M7" s="44">
        <v>1000</v>
      </c>
      <c r="N7" s="44">
        <f>M7+$I$32</f>
        <v>988.92674999999997</v>
      </c>
      <c r="O7" s="44">
        <f>N7+$I$32</f>
        <v>977.85349999999994</v>
      </c>
      <c r="R7" s="14" t="s">
        <v>8</v>
      </c>
      <c r="T7" s="14">
        <v>500</v>
      </c>
    </row>
    <row r="8" spans="2:21" x14ac:dyDescent="0.2">
      <c r="B8" s="14" t="s">
        <v>9</v>
      </c>
      <c r="C8" s="45"/>
      <c r="D8" s="45"/>
      <c r="E8" s="15"/>
      <c r="F8" s="15"/>
      <c r="G8" s="46">
        <v>80</v>
      </c>
      <c r="H8" s="46">
        <v>434.06599999999997</v>
      </c>
      <c r="I8" s="47">
        <v>787.2</v>
      </c>
      <c r="J8" s="47">
        <v>1150</v>
      </c>
      <c r="K8" s="47">
        <v>1400</v>
      </c>
      <c r="L8" s="47">
        <v>1600</v>
      </c>
      <c r="M8" s="47">
        <v>1925</v>
      </c>
      <c r="N8" s="43">
        <v>1955.17</v>
      </c>
      <c r="O8" s="43">
        <v>2012.98</v>
      </c>
      <c r="R8" s="45" t="s">
        <v>10</v>
      </c>
      <c r="S8" s="45"/>
      <c r="T8" s="45">
        <v>500</v>
      </c>
    </row>
    <row r="9" spans="2:21" x14ac:dyDescent="0.2">
      <c r="B9" s="14" t="s">
        <v>11</v>
      </c>
      <c r="E9" s="25">
        <f>SUM(E5:E8)</f>
        <v>245.5</v>
      </c>
      <c r="F9" s="25">
        <f t="shared" ref="F9:L9" si="0">SUM(F5:F8)</f>
        <v>367.59999999999997</v>
      </c>
      <c r="G9" s="25">
        <f t="shared" si="0"/>
        <v>500.47050000000002</v>
      </c>
      <c r="H9" s="25">
        <f t="shared" si="0"/>
        <v>946.96</v>
      </c>
      <c r="I9" s="25">
        <f>SUM(I5:I8)</f>
        <v>1487.2</v>
      </c>
      <c r="J9" s="25">
        <f t="shared" si="0"/>
        <v>2110</v>
      </c>
      <c r="K9" s="25">
        <f t="shared" si="0"/>
        <v>2675</v>
      </c>
      <c r="L9" s="25">
        <f t="shared" si="0"/>
        <v>3075</v>
      </c>
      <c r="M9" s="25">
        <f>SUM(M5:M8)</f>
        <v>3000</v>
      </c>
      <c r="N9" s="25"/>
      <c r="O9" s="25"/>
      <c r="P9" s="99" t="s">
        <v>233</v>
      </c>
      <c r="R9" s="14" t="s">
        <v>12</v>
      </c>
      <c r="T9" s="14">
        <f>SUM(T5:T8)</f>
        <v>2500</v>
      </c>
    </row>
    <row r="10" spans="2:21" x14ac:dyDescent="0.2">
      <c r="B10" s="10" t="s">
        <v>179</v>
      </c>
      <c r="E10" s="25"/>
      <c r="F10" s="60">
        <f>F9/E9-1</f>
        <v>0.49735234215885926</v>
      </c>
      <c r="G10" s="60">
        <f>G9/F9-1</f>
        <v>0.36145402611534294</v>
      </c>
      <c r="H10" s="60">
        <f>H9/G9-1</f>
        <v>0.89213949673357362</v>
      </c>
      <c r="I10" s="60">
        <f>I9/H9-1</f>
        <v>0.57049928191264687</v>
      </c>
      <c r="J10" s="60">
        <f>J9/I9-1</f>
        <v>0.41877353415814955</v>
      </c>
      <c r="K10" s="60">
        <f>K9/J9-1</f>
        <v>0.26777251184834117</v>
      </c>
      <c r="L10" s="60">
        <f>L9/K9-1</f>
        <v>0.14953271028037385</v>
      </c>
      <c r="M10" s="60">
        <f>M9/L9-1</f>
        <v>-2.4390243902439046E-2</v>
      </c>
      <c r="N10" s="12">
        <f>AVERAGE(E28:M28)</f>
        <v>0.39123209728951824</v>
      </c>
      <c r="O10" s="10"/>
      <c r="P10" s="102">
        <f>AVERAGE(E10:H10)</f>
        <v>0.58364862166925857</v>
      </c>
    </row>
    <row r="11" spans="2:21" x14ac:dyDescent="0.2">
      <c r="B11" s="10"/>
      <c r="E11" s="25"/>
      <c r="F11" s="25"/>
      <c r="G11" s="25"/>
      <c r="H11" s="25"/>
      <c r="I11" s="25"/>
      <c r="J11" s="25"/>
      <c r="K11" s="25"/>
      <c r="L11" s="25"/>
      <c r="M11" s="25"/>
      <c r="N11" s="25"/>
      <c r="O11" s="25"/>
    </row>
    <row r="12" spans="2:21" x14ac:dyDescent="0.2">
      <c r="B12" s="48" t="s">
        <v>13</v>
      </c>
      <c r="C12" s="49">
        <v>95</v>
      </c>
      <c r="E12" s="25">
        <v>95</v>
      </c>
      <c r="F12" s="50">
        <f>(G12+E12)/2</f>
        <v>92.22475</v>
      </c>
      <c r="G12" s="43">
        <v>89.4495</v>
      </c>
      <c r="H12" s="43">
        <v>109</v>
      </c>
      <c r="I12" s="44">
        <v>110</v>
      </c>
      <c r="J12" s="44">
        <v>115</v>
      </c>
      <c r="K12" s="44">
        <v>110</v>
      </c>
      <c r="L12" s="44">
        <v>110</v>
      </c>
      <c r="M12" s="51">
        <v>110</v>
      </c>
      <c r="N12" s="25"/>
      <c r="O12" s="25"/>
    </row>
    <row r="13" spans="2:21" x14ac:dyDescent="0.2">
      <c r="B13" s="48" t="s">
        <v>14</v>
      </c>
      <c r="C13" s="49">
        <v>100</v>
      </c>
      <c r="E13" s="25">
        <v>107</v>
      </c>
      <c r="F13" s="50">
        <f>(G13+E13)/2</f>
        <v>102.5</v>
      </c>
      <c r="G13" s="43">
        <v>98</v>
      </c>
      <c r="H13" s="43">
        <v>153</v>
      </c>
      <c r="I13" s="44">
        <f>H13*(1+8%)</f>
        <v>165.24</v>
      </c>
      <c r="J13" s="44">
        <v>120</v>
      </c>
      <c r="K13" s="44">
        <v>100</v>
      </c>
      <c r="L13" s="44">
        <v>100</v>
      </c>
      <c r="M13" s="51">
        <v>100</v>
      </c>
      <c r="N13" s="25"/>
      <c r="O13" s="25"/>
    </row>
    <row r="14" spans="2:21" x14ac:dyDescent="0.2">
      <c r="B14" s="48" t="s">
        <v>15</v>
      </c>
      <c r="C14" s="49">
        <v>43</v>
      </c>
      <c r="E14" s="25">
        <v>57</v>
      </c>
      <c r="F14" s="25">
        <v>49</v>
      </c>
      <c r="G14" s="43">
        <v>46.784500000000001</v>
      </c>
      <c r="H14" s="43">
        <v>43</v>
      </c>
      <c r="I14" s="44">
        <v>47.815300000000001</v>
      </c>
      <c r="J14" s="44">
        <v>45.333300000000001</v>
      </c>
      <c r="K14" s="44">
        <v>44.25</v>
      </c>
      <c r="L14" s="44">
        <v>43</v>
      </c>
      <c r="M14" s="51">
        <v>43</v>
      </c>
      <c r="N14" s="25"/>
      <c r="O14" s="25"/>
    </row>
    <row r="15" spans="2:21" x14ac:dyDescent="0.2">
      <c r="B15" s="14" t="s">
        <v>16</v>
      </c>
      <c r="E15" s="25"/>
      <c r="F15" s="25"/>
      <c r="G15" s="43">
        <v>62</v>
      </c>
      <c r="H15" s="43">
        <v>54</v>
      </c>
      <c r="I15" s="44">
        <v>54.2333</v>
      </c>
      <c r="J15" s="44">
        <v>54.5</v>
      </c>
      <c r="K15" s="44">
        <v>53</v>
      </c>
      <c r="L15" s="44">
        <v>51</v>
      </c>
      <c r="M15" s="51">
        <v>51</v>
      </c>
      <c r="N15" s="25"/>
      <c r="O15" s="25"/>
    </row>
    <row r="16" spans="2:21" x14ac:dyDescent="0.2">
      <c r="E16" s="25"/>
      <c r="F16" s="25"/>
      <c r="G16" s="43"/>
      <c r="H16" s="43"/>
      <c r="I16" s="43"/>
      <c r="J16" s="43"/>
      <c r="K16" s="43"/>
      <c r="L16" s="43"/>
      <c r="M16" s="25"/>
      <c r="N16" s="25"/>
      <c r="O16" s="25"/>
    </row>
    <row r="17" spans="2:16" x14ac:dyDescent="0.2">
      <c r="B17" s="14" t="s">
        <v>17</v>
      </c>
      <c r="E17" s="25">
        <f>E5*E12</f>
        <v>4816.5</v>
      </c>
      <c r="F17" s="25">
        <f>F5*F12</f>
        <v>3163.3089249999998</v>
      </c>
      <c r="G17" s="25">
        <f>G5*G12</f>
        <v>2552.48620725</v>
      </c>
      <c r="H17" s="25">
        <f>H5*H12</f>
        <v>2500.569</v>
      </c>
      <c r="I17" s="25">
        <f>I5*I12</f>
        <v>3300</v>
      </c>
      <c r="J17" s="25">
        <f>J5*J12</f>
        <v>4600</v>
      </c>
      <c r="K17" s="25">
        <f>K5*K12</f>
        <v>4400</v>
      </c>
      <c r="L17" s="25">
        <f>L5*L12</f>
        <v>4400</v>
      </c>
      <c r="M17" s="25">
        <f>M5*M12</f>
        <v>4400</v>
      </c>
      <c r="N17" s="25"/>
      <c r="O17" s="25"/>
    </row>
    <row r="18" spans="2:16" x14ac:dyDescent="0.2">
      <c r="B18" s="14" t="s">
        <v>18</v>
      </c>
      <c r="E18" s="25">
        <f>E6*E13</f>
        <v>5210.9000000000005</v>
      </c>
      <c r="F18" s="25">
        <f>F6*F13</f>
        <v>3321</v>
      </c>
      <c r="G18" s="25">
        <f>G6*G13</f>
        <v>2696.3719999999998</v>
      </c>
      <c r="H18" s="25">
        <f>H6*H13</f>
        <v>352.971</v>
      </c>
      <c r="I18" s="25">
        <f>I6*I13</f>
        <v>3304.8</v>
      </c>
      <c r="J18" s="25">
        <f>J6*J13</f>
        <v>2400</v>
      </c>
      <c r="K18" s="25">
        <f>K6*K13</f>
        <v>3500</v>
      </c>
      <c r="L18" s="25">
        <f>L6*L13</f>
        <v>3500</v>
      </c>
      <c r="M18" s="25">
        <f>M6*M13</f>
        <v>3500</v>
      </c>
      <c r="N18" s="25"/>
      <c r="O18" s="25"/>
    </row>
    <row r="19" spans="2:16" x14ac:dyDescent="0.2">
      <c r="B19" s="14" t="s">
        <v>19</v>
      </c>
      <c r="E19" s="25">
        <f>E7*E14</f>
        <v>8327.6999999999989</v>
      </c>
      <c r="F19" s="25">
        <f>F7*F14</f>
        <v>14744.099999999999</v>
      </c>
      <c r="G19" s="25">
        <f>G7*G14</f>
        <v>17049.254274499999</v>
      </c>
      <c r="H19" s="25">
        <f>H7*H14</f>
        <v>20968.778000000002</v>
      </c>
      <c r="I19" s="25">
        <f>I7*I14</f>
        <v>31079.945</v>
      </c>
      <c r="J19" s="25">
        <f>J7*J14</f>
        <v>40799.97</v>
      </c>
      <c r="K19" s="25">
        <f>K7*K14</f>
        <v>53100</v>
      </c>
      <c r="L19" s="25">
        <f>L7*L14</f>
        <v>60200</v>
      </c>
      <c r="M19" s="25">
        <f>M7*M14</f>
        <v>43000</v>
      </c>
      <c r="N19" s="25"/>
      <c r="O19" s="25"/>
    </row>
    <row r="20" spans="2:16" x14ac:dyDescent="0.2">
      <c r="B20" s="14" t="s">
        <v>20</v>
      </c>
      <c r="C20" s="45"/>
      <c r="D20" s="45"/>
      <c r="E20" s="15"/>
      <c r="F20" s="15"/>
      <c r="G20" s="15">
        <f>G8*G15</f>
        <v>4960</v>
      </c>
      <c r="H20" s="15">
        <f>H8*H15</f>
        <v>23439.563999999998</v>
      </c>
      <c r="I20" s="15">
        <f>I8*I15</f>
        <v>42692.453760000004</v>
      </c>
      <c r="J20" s="15">
        <f>J8*J15</f>
        <v>62675</v>
      </c>
      <c r="K20" s="15">
        <f>K8*K15</f>
        <v>74200</v>
      </c>
      <c r="L20" s="15">
        <f>L8*L15</f>
        <v>81600</v>
      </c>
      <c r="M20" s="15">
        <f>M8*M15</f>
        <v>98175</v>
      </c>
      <c r="N20" s="25"/>
      <c r="O20" s="25"/>
    </row>
    <row r="21" spans="2:16" x14ac:dyDescent="0.2">
      <c r="B21" s="52" t="s">
        <v>21</v>
      </c>
      <c r="E21" s="53">
        <f>SUM(E17:E20)</f>
        <v>18355.099999999999</v>
      </c>
      <c r="F21" s="53">
        <f t="shared" ref="F21:M21" si="1">SUM(F17:F20)</f>
        <v>21228.408924999996</v>
      </c>
      <c r="G21" s="53">
        <f t="shared" si="1"/>
        <v>27258.112481749999</v>
      </c>
      <c r="H21" s="53">
        <f t="shared" si="1"/>
        <v>47261.881999999998</v>
      </c>
      <c r="I21" s="53">
        <f t="shared" si="1"/>
        <v>80377.198759999999</v>
      </c>
      <c r="J21" s="53">
        <f t="shared" si="1"/>
        <v>110474.97</v>
      </c>
      <c r="K21" s="53">
        <f t="shared" si="1"/>
        <v>135200</v>
      </c>
      <c r="L21" s="53">
        <f t="shared" si="1"/>
        <v>149700</v>
      </c>
      <c r="M21" s="53">
        <f t="shared" si="1"/>
        <v>149075</v>
      </c>
      <c r="N21" s="25"/>
      <c r="O21" s="25"/>
    </row>
    <row r="22" spans="2:16" x14ac:dyDescent="0.2">
      <c r="B22" s="14" t="s">
        <v>22</v>
      </c>
      <c r="C22" s="25">
        <v>761.75900000000001</v>
      </c>
      <c r="D22" s="25">
        <v>1106.548</v>
      </c>
      <c r="E22" s="25">
        <v>883.46100000000001</v>
      </c>
      <c r="F22" s="25">
        <v>869</v>
      </c>
      <c r="G22" s="25">
        <v>1052</v>
      </c>
      <c r="H22" s="25">
        <v>1642</v>
      </c>
      <c r="I22" s="25">
        <f>H22*(1+I37)</f>
        <v>1869.1906294162668</v>
      </c>
      <c r="J22" s="25">
        <f>I22*(1+J37)</f>
        <v>2127.8158398889036</v>
      </c>
      <c r="K22" s="25">
        <f>J22*(1+K37)</f>
        <v>2422.2249872374191</v>
      </c>
      <c r="L22" s="25">
        <f>K22*(1+L37)</f>
        <v>2757.3692134483072</v>
      </c>
      <c r="M22" s="25">
        <f>L22*(1+M37)</f>
        <v>3138.884711095297</v>
      </c>
      <c r="N22" s="25">
        <f>M22*(1+N37)</f>
        <v>3138.884711095297</v>
      </c>
      <c r="O22" s="25">
        <f>N22*(1+O37)</f>
        <v>3138.884711095297</v>
      </c>
    </row>
    <row r="23" spans="2:16" x14ac:dyDescent="0.2">
      <c r="B23" s="14" t="s">
        <v>23</v>
      </c>
      <c r="C23" s="15"/>
      <c r="D23" s="15"/>
      <c r="E23" s="15"/>
      <c r="F23" s="15">
        <v>594</v>
      </c>
      <c r="G23" s="15">
        <v>1580</v>
      </c>
      <c r="H23" s="15">
        <v>1465</v>
      </c>
      <c r="I23" s="15">
        <f>H23*(1+I36)</f>
        <v>2197.5</v>
      </c>
      <c r="J23" s="15">
        <f>I23*(1+J36)</f>
        <v>3296.25</v>
      </c>
      <c r="K23" s="15">
        <f>J23*(1+K36)</f>
        <v>4944.375</v>
      </c>
      <c r="L23" s="15">
        <f>K23*(1+L36)</f>
        <v>7416.5625</v>
      </c>
      <c r="M23" s="15">
        <f>L23*(1+M36)</f>
        <v>11124.84375</v>
      </c>
      <c r="N23" s="15">
        <f>M23*(1+N36)</f>
        <v>11124.84375</v>
      </c>
      <c r="O23" s="15">
        <f>N23*(1+O36)</f>
        <v>11124.84375</v>
      </c>
    </row>
    <row r="24" spans="2:16" s="13" customFormat="1" x14ac:dyDescent="0.2">
      <c r="B24" s="13" t="s">
        <v>24</v>
      </c>
      <c r="E24" s="53">
        <f>SUM(E21:E23)</f>
        <v>19238.560999999998</v>
      </c>
      <c r="F24" s="53">
        <f t="shared" ref="F24:J24" si="2">SUM(F21:F23)</f>
        <v>22691.408924999996</v>
      </c>
      <c r="G24" s="53">
        <f t="shared" si="2"/>
        <v>29890.112481749999</v>
      </c>
      <c r="H24" s="53">
        <f>SUM(H21:H23)</f>
        <v>50368.881999999998</v>
      </c>
      <c r="I24" s="53">
        <f>SUM(I21:I23)</f>
        <v>84443.889389416261</v>
      </c>
      <c r="J24" s="53">
        <f t="shared" si="2"/>
        <v>115899.03583988891</v>
      </c>
      <c r="K24" s="53">
        <f>SUM(K21:K23)</f>
        <v>142566.59998723742</v>
      </c>
      <c r="L24" s="53">
        <f>SUM(L21:L23)</f>
        <v>159873.93171344831</v>
      </c>
      <c r="M24" s="53">
        <f>SUM(M21:M23)</f>
        <v>163338.72846109531</v>
      </c>
      <c r="N24" s="53"/>
      <c r="O24" s="53"/>
    </row>
    <row r="25" spans="2:16" x14ac:dyDescent="0.2">
      <c r="B25" s="14" t="s">
        <v>25</v>
      </c>
      <c r="C25" s="25">
        <v>181.39400000000001</v>
      </c>
      <c r="D25" s="25">
        <v>1116.2660000000001</v>
      </c>
      <c r="E25" s="25">
        <v>1555.2439999999999</v>
      </c>
      <c r="F25" s="25">
        <v>1531</v>
      </c>
      <c r="G25" s="25">
        <v>1994</v>
      </c>
      <c r="H25" s="25">
        <v>2789</v>
      </c>
      <c r="I25" s="25">
        <f>H25*(1+I38)</f>
        <v>3541.1793466300951</v>
      </c>
      <c r="J25" s="25">
        <f>I25*(1+J38)</f>
        <v>4496.2176998922723</v>
      </c>
      <c r="K25" s="25">
        <f>J25*(1+K38)</f>
        <v>5708.8251189713819</v>
      </c>
      <c r="L25" s="25">
        <f>K25*(1+L38)</f>
        <v>7248.4666922999468</v>
      </c>
      <c r="M25" s="25">
        <f>L25*(1+M38)</f>
        <v>9203.3418951268304</v>
      </c>
      <c r="N25" s="25"/>
      <c r="O25" s="25"/>
    </row>
    <row r="26" spans="2:16" ht="17" thickBot="1" x14ac:dyDescent="0.25">
      <c r="B26" s="14" t="s">
        <v>26</v>
      </c>
      <c r="C26" s="15">
        <v>467.97200000000004</v>
      </c>
      <c r="D26" s="15">
        <v>1001.1850000000001</v>
      </c>
      <c r="E26" s="128">
        <v>1391.0409999999999</v>
      </c>
      <c r="F26" s="128">
        <v>2226</v>
      </c>
      <c r="G26" s="128">
        <v>2306</v>
      </c>
      <c r="H26" s="128">
        <v>3802</v>
      </c>
      <c r="I26" s="128">
        <f>H26*(1+I39)</f>
        <v>5393.4376221485636</v>
      </c>
      <c r="J26" s="128">
        <f>I26*(1+J39)</f>
        <v>7651.017723305511</v>
      </c>
      <c r="K26" s="128">
        <f>J26*(1+K39)</f>
        <v>10853.573602472748</v>
      </c>
      <c r="L26" s="128">
        <f>K26*(1+L39)</f>
        <v>15396.652341487386</v>
      </c>
      <c r="M26" s="128">
        <f>L26*(1+M39)</f>
        <v>21841.368751635939</v>
      </c>
      <c r="N26" s="25"/>
      <c r="O26" s="25"/>
    </row>
    <row r="27" spans="2:16" s="13" customFormat="1" ht="17" thickTop="1" x14ac:dyDescent="0.2">
      <c r="B27" s="13" t="s">
        <v>27</v>
      </c>
      <c r="C27" s="53">
        <v>7000.1320000000005</v>
      </c>
      <c r="D27" s="53">
        <v>11758.751</v>
      </c>
      <c r="E27" s="53">
        <v>21461.268</v>
      </c>
      <c r="F27" s="53">
        <v>24578</v>
      </c>
      <c r="G27" s="53">
        <v>31536</v>
      </c>
      <c r="H27" s="53">
        <v>53823</v>
      </c>
      <c r="I27" s="53">
        <f t="shared" ref="I27:O27" si="3">SUM(I24:I26)</f>
        <v>93378.506358194907</v>
      </c>
      <c r="J27" s="53">
        <f>SUM(J24:J26)</f>
        <v>128046.27126308669</v>
      </c>
      <c r="K27" s="53">
        <f>SUM(K24:K26)</f>
        <v>159128.99870868155</v>
      </c>
      <c r="L27" s="53">
        <f t="shared" si="3"/>
        <v>182519.05074723565</v>
      </c>
      <c r="M27" s="53">
        <f t="shared" si="3"/>
        <v>194383.43910785808</v>
      </c>
      <c r="N27" s="53">
        <f t="shared" si="3"/>
        <v>0</v>
      </c>
      <c r="O27" s="53">
        <f t="shared" si="3"/>
        <v>0</v>
      </c>
    </row>
    <row r="28" spans="2:16" s="13" customFormat="1" x14ac:dyDescent="0.2">
      <c r="B28" s="10" t="s">
        <v>179</v>
      </c>
      <c r="C28" s="57"/>
      <c r="D28" s="58"/>
      <c r="E28" s="59">
        <f>E27/D27-1</f>
        <v>0.82513159773516764</v>
      </c>
      <c r="F28" s="60">
        <f>F27/E27-1</f>
        <v>0.14522590184326489</v>
      </c>
      <c r="G28" s="60">
        <f>G27/F27-1</f>
        <v>0.28309870615998056</v>
      </c>
      <c r="H28" s="60">
        <f>H27/G27-1</f>
        <v>0.70671613394216126</v>
      </c>
      <c r="I28" s="60">
        <f>I27/H27-1</f>
        <v>0.73491827579649782</v>
      </c>
      <c r="J28" s="60">
        <f>J27/I27-1</f>
        <v>0.37126064933945413</v>
      </c>
      <c r="K28" s="60">
        <f>K27/J27-1</f>
        <v>0.24274605686667439</v>
      </c>
      <c r="L28" s="60">
        <f>L27/K27-1</f>
        <v>0.14698799231040471</v>
      </c>
      <c r="M28" s="60">
        <f>M27/L27-1</f>
        <v>6.500356161205878E-2</v>
      </c>
      <c r="N28" s="10"/>
      <c r="O28" s="10"/>
      <c r="P28" s="102">
        <f>AVERAGE(E28:H28)</f>
        <v>0.49004308492014359</v>
      </c>
    </row>
    <row r="29" spans="2:16" x14ac:dyDescent="0.2">
      <c r="E29" s="25"/>
      <c r="F29" s="25"/>
      <c r="G29" s="25"/>
      <c r="H29" s="25"/>
      <c r="I29" s="25"/>
      <c r="J29" s="25"/>
      <c r="K29" s="25"/>
      <c r="L29" s="25"/>
      <c r="M29" s="25"/>
      <c r="N29" s="25"/>
      <c r="O29" s="25"/>
    </row>
    <row r="30" spans="2:16" x14ac:dyDescent="0.2">
      <c r="B30" s="10" t="s">
        <v>28</v>
      </c>
      <c r="C30" s="10"/>
      <c r="D30" s="10"/>
      <c r="E30" s="10"/>
      <c r="F30" s="10"/>
      <c r="G30" s="10"/>
      <c r="H30" s="10"/>
      <c r="I30" s="99" t="s">
        <v>29</v>
      </c>
      <c r="J30" s="142" t="s">
        <v>30</v>
      </c>
      <c r="K30" s="99" t="s">
        <v>31</v>
      </c>
      <c r="L30" s="10"/>
      <c r="M30" s="10"/>
    </row>
    <row r="31" spans="2:16" x14ac:dyDescent="0.2">
      <c r="B31" s="10" t="s">
        <v>3</v>
      </c>
      <c r="C31" s="10"/>
      <c r="D31" s="10"/>
      <c r="E31" s="22">
        <f>E5-D5</f>
        <v>-4.0999999999999943</v>
      </c>
      <c r="F31" s="22">
        <f>F5-E5</f>
        <v>-16.400000000000006</v>
      </c>
      <c r="G31" s="22">
        <f>G5-F5</f>
        <v>-5.7644999999999982</v>
      </c>
      <c r="H31" s="22">
        <f>H5-G5</f>
        <v>-5.5945</v>
      </c>
      <c r="I31" s="54">
        <f>AVERAGE(E31:H31)</f>
        <v>-7.9647499999999996</v>
      </c>
      <c r="J31" s="55">
        <f>AVERAGE(C5:H5)</f>
        <v>40.362749999999998</v>
      </c>
      <c r="K31" s="55">
        <f>AVERAGE(E12:M12)</f>
        <v>104.51936111111111</v>
      </c>
      <c r="L31" s="10"/>
      <c r="M31" s="10"/>
    </row>
    <row r="32" spans="2:16" x14ac:dyDescent="0.2">
      <c r="B32" s="10" t="s">
        <v>5</v>
      </c>
      <c r="C32" s="10"/>
      <c r="D32" s="10"/>
      <c r="E32" s="22">
        <f>E6-D6</f>
        <v>2.1000000000000014</v>
      </c>
      <c r="F32" s="22">
        <f>F6-E6</f>
        <v>-16.300000000000004</v>
      </c>
      <c r="G32" s="22">
        <f>G6-F6</f>
        <v>-4.8859999999999992</v>
      </c>
      <c r="H32" s="22">
        <f>H6-G6</f>
        <v>-25.207000000000001</v>
      </c>
      <c r="I32" s="54">
        <f t="shared" ref="I32:I34" si="4">AVERAGE(E32:H32)</f>
        <v>-11.073250000000002</v>
      </c>
      <c r="J32" s="55">
        <f>AVERAGE(C6:H6)</f>
        <v>30.470166666666668</v>
      </c>
      <c r="K32" s="55">
        <f t="shared" ref="K32:K34" si="5">AVERAGE(E13:M13)</f>
        <v>116.19333333333333</v>
      </c>
      <c r="L32" s="10"/>
      <c r="M32" s="10"/>
    </row>
    <row r="33" spans="2:15" x14ac:dyDescent="0.2">
      <c r="B33" s="10" t="s">
        <v>7</v>
      </c>
      <c r="C33" s="10"/>
      <c r="D33" s="10"/>
      <c r="E33" s="22">
        <f>E7-D7</f>
        <v>144.29999999999998</v>
      </c>
      <c r="F33" s="22">
        <f>F7-E7</f>
        <v>154.79999999999998</v>
      </c>
      <c r="G33" s="22">
        <f>G7-F7</f>
        <v>63.521000000000015</v>
      </c>
      <c r="H33" s="22">
        <f>H7-G7</f>
        <v>123.22500000000002</v>
      </c>
      <c r="I33" s="54">
        <f t="shared" si="4"/>
        <v>121.4615</v>
      </c>
      <c r="J33" s="55">
        <f>AVERAGE(C7:H7)</f>
        <v>260.17340000000002</v>
      </c>
      <c r="K33" s="55">
        <f t="shared" si="5"/>
        <v>46.575900000000004</v>
      </c>
      <c r="L33" s="10"/>
      <c r="M33" s="10"/>
    </row>
    <row r="34" spans="2:15" x14ac:dyDescent="0.2">
      <c r="B34" s="10" t="s">
        <v>9</v>
      </c>
      <c r="C34" s="10"/>
      <c r="D34" s="10"/>
      <c r="E34" s="22"/>
      <c r="F34" s="22"/>
      <c r="G34" s="22">
        <f>G8-F8</f>
        <v>80</v>
      </c>
      <c r="H34" s="22">
        <f>H8-G8</f>
        <v>354.06599999999997</v>
      </c>
      <c r="I34" s="54">
        <f t="shared" si="4"/>
        <v>217.03299999999999</v>
      </c>
      <c r="J34" s="55">
        <f>AVERAGE(C8:H8)</f>
        <v>257.03300000000002</v>
      </c>
      <c r="K34" s="55">
        <f t="shared" si="5"/>
        <v>54.247614285714285</v>
      </c>
      <c r="L34" s="10"/>
      <c r="M34" s="10"/>
    </row>
    <row r="35" spans="2:15" x14ac:dyDescent="0.2">
      <c r="B35" s="10"/>
      <c r="C35" s="10"/>
      <c r="D35" s="10"/>
      <c r="E35" s="10"/>
      <c r="F35" s="60"/>
      <c r="G35" s="60"/>
      <c r="H35" s="60"/>
      <c r="I35" s="60"/>
      <c r="J35" s="60"/>
      <c r="K35" s="60"/>
      <c r="L35" s="60"/>
      <c r="M35" s="60"/>
      <c r="N35" s="12"/>
      <c r="O35" s="10"/>
    </row>
    <row r="36" spans="2:15" x14ac:dyDescent="0.2">
      <c r="B36" s="56" t="s">
        <v>23</v>
      </c>
      <c r="C36" s="57"/>
      <c r="D36" s="58"/>
      <c r="E36" s="59"/>
      <c r="F36" s="60"/>
      <c r="G36" s="60">
        <f>G23/F23-1</f>
        <v>1.65993265993266</v>
      </c>
      <c r="H36" s="60">
        <f>H23/G23-1</f>
        <v>-7.2784810126582333E-2</v>
      </c>
      <c r="I36" s="61">
        <v>0.5</v>
      </c>
      <c r="J36" s="62">
        <f>I36</f>
        <v>0.5</v>
      </c>
      <c r="K36" s="62">
        <f t="shared" ref="K36:M36" si="6">J36</f>
        <v>0.5</v>
      </c>
      <c r="L36" s="62">
        <f t="shared" si="6"/>
        <v>0.5</v>
      </c>
      <c r="M36" s="62">
        <f t="shared" si="6"/>
        <v>0.5</v>
      </c>
    </row>
    <row r="37" spans="2:15" x14ac:dyDescent="0.2">
      <c r="B37" s="56" t="s">
        <v>22</v>
      </c>
      <c r="C37" s="57"/>
      <c r="D37" s="59">
        <f>D22/C22-1</f>
        <v>0.45262215477598566</v>
      </c>
      <c r="E37" s="59">
        <f>E22/D22-1</f>
        <v>-0.20160625657450015</v>
      </c>
      <c r="F37" s="60">
        <f>F22/E22-1</f>
        <v>-1.636857767349098E-2</v>
      </c>
      <c r="G37" s="60">
        <f>G22/F22-1</f>
        <v>0.21058688147295745</v>
      </c>
      <c r="H37" s="60">
        <f>H22/G22-1</f>
        <v>0.56083650190114076</v>
      </c>
      <c r="I37" s="62">
        <f>AVERAGE(E37:H37)</f>
        <v>0.13836213728152677</v>
      </c>
      <c r="J37" s="62">
        <f t="shared" ref="J37:M39" si="7">I37</f>
        <v>0.13836213728152677</v>
      </c>
      <c r="K37" s="62">
        <f t="shared" si="7"/>
        <v>0.13836213728152677</v>
      </c>
      <c r="L37" s="62">
        <f t="shared" si="7"/>
        <v>0.13836213728152677</v>
      </c>
      <c r="M37" s="62">
        <f t="shared" si="7"/>
        <v>0.13836213728152677</v>
      </c>
    </row>
    <row r="38" spans="2:15" s="9" customFormat="1" x14ac:dyDescent="0.2">
      <c r="B38" s="9" t="s">
        <v>25</v>
      </c>
      <c r="C38" s="63"/>
      <c r="D38" s="59">
        <f t="shared" ref="D38:H39" si="8">D25/C25-1</f>
        <v>5.1538198617374338</v>
      </c>
      <c r="E38" s="59">
        <f t="shared" si="8"/>
        <v>0.39325572936916453</v>
      </c>
      <c r="F38" s="60">
        <f t="shared" si="8"/>
        <v>-1.5588550735447293E-2</v>
      </c>
      <c r="G38" s="60">
        <f t="shared" si="8"/>
        <v>0.30241672109732209</v>
      </c>
      <c r="H38" s="60">
        <f t="shared" si="8"/>
        <v>0.3986960882647943</v>
      </c>
      <c r="I38" s="62">
        <f>AVERAGE(E38:H38)</f>
        <v>0.26969499699895838</v>
      </c>
      <c r="J38" s="62">
        <f t="shared" si="7"/>
        <v>0.26969499699895838</v>
      </c>
      <c r="K38" s="62">
        <f t="shared" si="7"/>
        <v>0.26969499699895838</v>
      </c>
      <c r="L38" s="62">
        <f t="shared" si="7"/>
        <v>0.26969499699895838</v>
      </c>
      <c r="M38" s="62">
        <f t="shared" si="7"/>
        <v>0.26969499699895838</v>
      </c>
    </row>
    <row r="39" spans="2:15" s="9" customFormat="1" x14ac:dyDescent="0.2">
      <c r="B39" s="9" t="s">
        <v>26</v>
      </c>
      <c r="C39" s="63"/>
      <c r="D39" s="59">
        <f t="shared" si="8"/>
        <v>1.1394121870539262</v>
      </c>
      <c r="E39" s="59">
        <f t="shared" si="8"/>
        <v>0.38939456743758627</v>
      </c>
      <c r="F39" s="60">
        <f t="shared" si="8"/>
        <v>0.60024039550236119</v>
      </c>
      <c r="G39" s="60">
        <f t="shared" si="8"/>
        <v>3.5938903863432126E-2</v>
      </c>
      <c r="H39" s="60">
        <f t="shared" si="8"/>
        <v>0.64874241110147435</v>
      </c>
      <c r="I39" s="62">
        <f>AVERAGE(E39:H39)</f>
        <v>0.41857906947621348</v>
      </c>
      <c r="J39" s="62">
        <f t="shared" si="7"/>
        <v>0.41857906947621348</v>
      </c>
      <c r="K39" s="62">
        <f t="shared" si="7"/>
        <v>0.41857906947621348</v>
      </c>
      <c r="L39" s="62">
        <f t="shared" si="7"/>
        <v>0.41857906947621348</v>
      </c>
      <c r="M39" s="62">
        <f t="shared" si="7"/>
        <v>0.41857906947621348</v>
      </c>
    </row>
    <row r="41" spans="2:15" x14ac:dyDescent="0.2">
      <c r="B41" s="10"/>
      <c r="C41" s="10"/>
      <c r="D41" s="10"/>
      <c r="E41" s="10"/>
      <c r="F41" s="10"/>
      <c r="G41" s="10"/>
      <c r="H41" s="10"/>
      <c r="I41" s="10"/>
      <c r="J41" s="10"/>
      <c r="K41" s="10"/>
      <c r="L41" s="10"/>
      <c r="M41" s="10"/>
      <c r="N41" s="10"/>
      <c r="O41" s="10"/>
    </row>
  </sheetData>
  <mergeCells count="2">
    <mergeCell ref="Q3:U3"/>
    <mergeCell ref="R4:T4"/>
  </mergeCells>
  <pageMargins left="0.7" right="0.7" top="0.75" bottom="0.75" header="0.3" footer="0.3"/>
  <pageSetup orientation="portrait" horizontalDpi="0" verticalDpi="0"/>
  <ignoredErrors>
    <ignoredError sqref="E9:H9 J9:M9" formulaRange="1"/>
  </ignoredError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28DE3C-5C11-7445-8988-D0063C38D85A}">
  <dimension ref="A2:AA232"/>
  <sheetViews>
    <sheetView zoomScale="125" zoomScaleNormal="130" workbookViewId="0">
      <selection activeCell="V31" sqref="V31"/>
    </sheetView>
  </sheetViews>
  <sheetFormatPr baseColWidth="10" defaultColWidth="8.83203125" defaultRowHeight="16" x14ac:dyDescent="0.2"/>
  <cols>
    <col min="1" max="1" width="8.83203125" style="14"/>
    <col min="2" max="2" width="68" style="14" customWidth="1"/>
    <col min="3" max="3" width="11.6640625" style="82" hidden="1" customWidth="1"/>
    <col min="4" max="4" width="11.6640625" style="97" hidden="1" customWidth="1"/>
    <col min="5" max="5" width="11.1640625" style="98" customWidth="1"/>
    <col min="6" max="13" width="11.1640625" style="14" customWidth="1"/>
    <col min="14" max="16" width="8.83203125" style="14"/>
    <col min="17" max="17" width="24.83203125" style="14" customWidth="1"/>
    <col min="18" max="20" width="9" style="14" bestFit="1" customWidth="1"/>
    <col min="21" max="21" width="9.1640625" style="14" bestFit="1" customWidth="1"/>
    <col min="22" max="26" width="9" style="14" bestFit="1" customWidth="1"/>
    <col min="27" max="16384" width="8.83203125" style="14"/>
  </cols>
  <sheetData>
    <row r="2" spans="1:27" x14ac:dyDescent="0.2">
      <c r="B2" s="39" t="s">
        <v>33</v>
      </c>
      <c r="C2" s="40">
        <v>2016</v>
      </c>
      <c r="D2" s="64">
        <v>2017</v>
      </c>
      <c r="E2" s="65">
        <v>2018</v>
      </c>
      <c r="F2" s="41">
        <v>2019</v>
      </c>
      <c r="G2" s="41">
        <v>2020</v>
      </c>
      <c r="H2" s="41">
        <v>2021</v>
      </c>
      <c r="I2" s="42">
        <v>2022</v>
      </c>
      <c r="J2" s="42">
        <v>2023</v>
      </c>
      <c r="K2" s="42">
        <v>2024</v>
      </c>
      <c r="L2" s="42">
        <v>2025</v>
      </c>
      <c r="M2" s="42">
        <v>2025</v>
      </c>
      <c r="Q2" s="65" t="s">
        <v>211</v>
      </c>
      <c r="R2" s="65">
        <v>2018</v>
      </c>
      <c r="S2" s="41">
        <v>2019</v>
      </c>
      <c r="T2" s="41">
        <v>2020</v>
      </c>
      <c r="U2" s="41">
        <v>2021</v>
      </c>
      <c r="V2" s="42">
        <v>2022</v>
      </c>
      <c r="W2" s="42">
        <v>2023</v>
      </c>
      <c r="X2" s="42">
        <v>2024</v>
      </c>
      <c r="Y2" s="42">
        <v>2025</v>
      </c>
      <c r="Z2" s="42">
        <v>2025</v>
      </c>
    </row>
    <row r="3" spans="1:27" x14ac:dyDescent="0.2">
      <c r="A3" s="25"/>
      <c r="B3" s="13" t="s">
        <v>32</v>
      </c>
      <c r="C3" s="66">
        <v>7000.1320000000005</v>
      </c>
      <c r="D3" s="67">
        <v>11758.751</v>
      </c>
      <c r="E3" s="187">
        <f>Revenue!E27</f>
        <v>21461.268</v>
      </c>
      <c r="F3" s="187">
        <f>Revenue!F27</f>
        <v>24578</v>
      </c>
      <c r="G3" s="187">
        <f>Revenue!G27</f>
        <v>31536</v>
      </c>
      <c r="H3" s="187">
        <f>Revenue!H27</f>
        <v>53823</v>
      </c>
      <c r="I3" s="187">
        <f>Revenue!I27</f>
        <v>93378.506358194907</v>
      </c>
      <c r="J3" s="187">
        <f>Revenue!J27</f>
        <v>128046.27126308669</v>
      </c>
      <c r="K3" s="187">
        <f>Revenue!K27</f>
        <v>159128.99870868155</v>
      </c>
      <c r="L3" s="187">
        <f>Revenue!L27</f>
        <v>182519.05074723565</v>
      </c>
      <c r="M3" s="187">
        <f>Revenue!M27</f>
        <v>194383.43910785808</v>
      </c>
      <c r="N3" s="25"/>
      <c r="Q3" s="164" t="s">
        <v>212</v>
      </c>
    </row>
    <row r="4" spans="1:27" x14ac:dyDescent="0.2">
      <c r="B4" s="48" t="s">
        <v>34</v>
      </c>
      <c r="C4" s="70">
        <v>5400.875</v>
      </c>
      <c r="D4" s="70">
        <v>9536.2639999999992</v>
      </c>
      <c r="E4" s="2">
        <v>17419.246999999999</v>
      </c>
      <c r="F4" s="2">
        <v>20509</v>
      </c>
      <c r="G4" s="2">
        <v>24906</v>
      </c>
      <c r="H4" s="2">
        <v>40217</v>
      </c>
      <c r="I4" s="15">
        <f>I3-I5</f>
        <v>74307.760104153771</v>
      </c>
      <c r="J4" s="15">
        <f>J3-J5</f>
        <v>101895.30737138227</v>
      </c>
      <c r="K4" s="15">
        <f>K3-K5</f>
        <v>126629.99144900311</v>
      </c>
      <c r="L4" s="15">
        <f>L3-L5</f>
        <v>145243.07965837582</v>
      </c>
      <c r="M4" s="15">
        <f>M3-M5</f>
        <v>154684.3971356742</v>
      </c>
      <c r="Q4" s="166" t="s">
        <v>213</v>
      </c>
      <c r="R4" s="197">
        <f>E64/E86</f>
        <v>0.83128452214821746</v>
      </c>
      <c r="S4" s="197">
        <f t="shared" ref="S4:Z4" si="0">F64/F86</f>
        <v>1.1346207931002157</v>
      </c>
      <c r="T4" s="197">
        <f t="shared" si="0"/>
        <v>1.8751403705783267</v>
      </c>
      <c r="U4" s="197">
        <f t="shared" si="0"/>
        <v>1.3752854605430094</v>
      </c>
      <c r="V4" s="197">
        <f t="shared" si="0"/>
        <v>0.81100914277243719</v>
      </c>
      <c r="W4" s="197">
        <f t="shared" si="0"/>
        <v>0.71619712230324961</v>
      </c>
      <c r="X4" s="197">
        <f t="shared" si="0"/>
        <v>0.72369613658949583</v>
      </c>
      <c r="Y4" s="197">
        <f t="shared" si="0"/>
        <v>0.77431227507979006</v>
      </c>
      <c r="Z4" s="197">
        <f t="shared" si="0"/>
        <v>0.84430010653148513</v>
      </c>
      <c r="AA4" s="27"/>
    </row>
    <row r="5" spans="1:27" x14ac:dyDescent="0.2">
      <c r="B5" s="13" t="s">
        <v>35</v>
      </c>
      <c r="C5" s="66">
        <v>1599.2570000000001</v>
      </c>
      <c r="D5" s="67">
        <v>2222.4870000000001</v>
      </c>
      <c r="E5" s="68">
        <v>4042.0209999999997</v>
      </c>
      <c r="F5" s="69">
        <v>4069</v>
      </c>
      <c r="G5" s="69">
        <v>6630</v>
      </c>
      <c r="H5" s="69">
        <v>13606</v>
      </c>
      <c r="I5" s="53">
        <f>I3*$I$31</f>
        <v>19070.74625404114</v>
      </c>
      <c r="J5" s="53">
        <f>J3*$I$31</f>
        <v>26150.963891704418</v>
      </c>
      <c r="K5" s="53">
        <f>K3*$I$31</f>
        <v>32499.007259678448</v>
      </c>
      <c r="L5" s="53">
        <f>L3*$I$31</f>
        <v>37275.971088859849</v>
      </c>
      <c r="M5" s="53">
        <f>M3*$I$31</f>
        <v>39699.041972183877</v>
      </c>
      <c r="Q5" s="166" t="s">
        <v>214</v>
      </c>
      <c r="R5" s="197">
        <f>(E64-E62)/E86</f>
        <v>0.51969488805997044</v>
      </c>
      <c r="S5" s="197">
        <f t="shared" ref="S5:Z5" si="1">(F64-F62)/F86</f>
        <v>0.80163119902503044</v>
      </c>
      <c r="T5" s="197">
        <f t="shared" si="1"/>
        <v>1.5873104997192589</v>
      </c>
      <c r="U5" s="197">
        <f t="shared" si="1"/>
        <v>1.0831261101243339</v>
      </c>
      <c r="V5" s="197">
        <f t="shared" si="1"/>
        <v>0.46224002885942134</v>
      </c>
      <c r="W5" s="197">
        <f t="shared" si="1"/>
        <v>0.36742800839023376</v>
      </c>
      <c r="X5" s="197">
        <f t="shared" si="1"/>
        <v>0.37492702267647987</v>
      </c>
      <c r="Y5" s="197">
        <f t="shared" si="1"/>
        <v>0.42554316116677415</v>
      </c>
      <c r="Z5" s="197">
        <f t="shared" si="1"/>
        <v>0.49553099261846928</v>
      </c>
      <c r="AA5" s="27"/>
    </row>
    <row r="6" spans="1:27" x14ac:dyDescent="0.2">
      <c r="B6" s="26" t="s">
        <v>36</v>
      </c>
      <c r="C6" s="71">
        <v>834.40800000000002</v>
      </c>
      <c r="D6" s="72">
        <v>1378.0729999999999</v>
      </c>
      <c r="E6" s="8">
        <v>1460.3700000000001</v>
      </c>
      <c r="F6" s="1">
        <v>1343</v>
      </c>
      <c r="G6" s="1">
        <v>1491</v>
      </c>
      <c r="H6" s="1">
        <v>2593</v>
      </c>
      <c r="I6" s="25">
        <f>$I$32*I$3</f>
        <v>4671.9785799053207</v>
      </c>
      <c r="J6" s="25">
        <f>$I$32*J$3</f>
        <v>6406.5003811809911</v>
      </c>
      <c r="K6" s="25">
        <f>$I$32*K$3</f>
        <v>7961.6530870275228</v>
      </c>
      <c r="L6" s="25">
        <f>$I$32*L$3</f>
        <v>9131.9204897616346</v>
      </c>
      <c r="M6" s="25">
        <f>$I$32*M$3</f>
        <v>9725.5278459542787</v>
      </c>
      <c r="Q6" s="166" t="s">
        <v>215</v>
      </c>
      <c r="R6" s="197">
        <f>E58/E86</f>
        <v>0.36885186510671991</v>
      </c>
      <c r="S6" s="197">
        <f t="shared" ref="S6:Z6" si="2">F58/F86</f>
        <v>0.58760663729258455</v>
      </c>
      <c r="T6" s="197">
        <f t="shared" si="2"/>
        <v>1.360471645143178</v>
      </c>
      <c r="U6" s="197">
        <f t="shared" si="2"/>
        <v>0.89195635625475767</v>
      </c>
      <c r="V6" s="197">
        <f t="shared" si="2"/>
        <v>0.25415669462195228</v>
      </c>
      <c r="W6" s="197">
        <f t="shared" si="2"/>
        <v>0.15934467415276468</v>
      </c>
      <c r="X6" s="197">
        <f t="shared" si="2"/>
        <v>0.16684368843901076</v>
      </c>
      <c r="Y6" s="197">
        <f t="shared" si="2"/>
        <v>0.21745982692930504</v>
      </c>
      <c r="Z6" s="197">
        <f t="shared" si="2"/>
        <v>0.28744765838100017</v>
      </c>
      <c r="AA6" s="27"/>
    </row>
    <row r="7" spans="1:27" x14ac:dyDescent="0.2">
      <c r="B7" s="26" t="s">
        <v>37</v>
      </c>
      <c r="C7" s="71">
        <v>1432.1889999999999</v>
      </c>
      <c r="D7" s="72">
        <v>2476.5</v>
      </c>
      <c r="E7" s="8">
        <v>2834.491</v>
      </c>
      <c r="F7" s="1">
        <v>2646</v>
      </c>
      <c r="G7" s="1">
        <v>3145</v>
      </c>
      <c r="H7" s="1">
        <v>4517</v>
      </c>
      <c r="I7" s="25">
        <f>$I$33*I$3</f>
        <v>7836.6258517727811</v>
      </c>
      <c r="J7" s="25">
        <f>$I$33*J$3</f>
        <v>10746.056654132295</v>
      </c>
      <c r="K7" s="25">
        <f>$I$33*K$3</f>
        <v>13354.6195337888</v>
      </c>
      <c r="L7" s="25">
        <f>$I$33*L$3</f>
        <v>15317.58824712973</v>
      </c>
      <c r="M7" s="25">
        <f>$I$33*M$3</f>
        <v>16313.286038500175</v>
      </c>
      <c r="Q7" s="168" t="s">
        <v>216</v>
      </c>
      <c r="R7" s="197">
        <f>E164/E86</f>
        <v>0.20994530098469436</v>
      </c>
      <c r="S7" s="197">
        <f>F164/F86</f>
        <v>0.22546170432173995</v>
      </c>
      <c r="T7" s="197">
        <f>G164/G86</f>
        <v>0.41711117349803484</v>
      </c>
      <c r="U7" s="197">
        <f>H164/H86</f>
        <v>0.58345597564070029</v>
      </c>
      <c r="V7" s="197">
        <f>I164/I86</f>
        <v>0.49535923947995125</v>
      </c>
      <c r="W7" s="197">
        <f>J164/J86</f>
        <v>0.46102475576182628</v>
      </c>
      <c r="X7" s="197">
        <f>K164/K86</f>
        <v>0.42770210595096619</v>
      </c>
      <c r="Y7" s="197">
        <f>L164/L86</f>
        <v>0.39879184789991645</v>
      </c>
      <c r="Z7" s="197">
        <f>M164/M86</f>
        <v>0.36856369827931917</v>
      </c>
      <c r="AA7" s="27"/>
    </row>
    <row r="8" spans="1:27" x14ac:dyDescent="0.2">
      <c r="B8" s="26" t="s">
        <v>38</v>
      </c>
      <c r="C8" s="71"/>
      <c r="D8" s="72"/>
      <c r="E8" s="8">
        <v>135.233</v>
      </c>
      <c r="F8" s="1">
        <v>149</v>
      </c>
      <c r="G8" s="1"/>
      <c r="H8" s="1">
        <v>-27</v>
      </c>
      <c r="I8" s="25"/>
      <c r="J8" s="25"/>
      <c r="K8" s="25"/>
      <c r="L8" s="25"/>
      <c r="M8" s="25"/>
      <c r="Q8" s="163"/>
      <c r="R8" s="197"/>
      <c r="S8" s="197"/>
      <c r="T8" s="197"/>
      <c r="U8" s="197"/>
      <c r="V8" s="197"/>
      <c r="W8" s="197"/>
      <c r="X8" s="197"/>
      <c r="Y8" s="197"/>
      <c r="Z8" s="197"/>
      <c r="AA8" s="27"/>
    </row>
    <row r="9" spans="1:27" x14ac:dyDescent="0.2">
      <c r="B9" s="48" t="s">
        <v>39</v>
      </c>
      <c r="C9" s="70">
        <v>2266.5970000000002</v>
      </c>
      <c r="D9" s="70">
        <v>3854.5730000000003</v>
      </c>
      <c r="E9" s="2">
        <v>4430.0940000000001</v>
      </c>
      <c r="F9" s="2">
        <v>4138</v>
      </c>
      <c r="G9" s="2">
        <v>4636</v>
      </c>
      <c r="H9" s="2">
        <v>7083</v>
      </c>
      <c r="I9" s="15">
        <f>SUM(I6:I8)</f>
        <v>12508.604431678101</v>
      </c>
      <c r="J9" s="15">
        <f t="shared" ref="J9:M9" si="3">SUM(J6:J8)</f>
        <v>17152.557035313286</v>
      </c>
      <c r="K9" s="15">
        <f t="shared" si="3"/>
        <v>21316.272620816322</v>
      </c>
      <c r="L9" s="15">
        <f t="shared" si="3"/>
        <v>24449.508736891366</v>
      </c>
      <c r="M9" s="15">
        <f t="shared" si="3"/>
        <v>26038.813884454452</v>
      </c>
      <c r="Q9" s="165" t="s">
        <v>217</v>
      </c>
      <c r="R9" s="198"/>
      <c r="S9" s="197"/>
      <c r="T9" s="198"/>
      <c r="U9" s="197"/>
      <c r="V9" s="198"/>
      <c r="W9" s="197"/>
      <c r="X9" s="198"/>
      <c r="Y9" s="197"/>
      <c r="Z9" s="198"/>
      <c r="AA9" s="27"/>
    </row>
    <row r="10" spans="1:27" s="13" customFormat="1" x14ac:dyDescent="0.2">
      <c r="B10" s="13" t="s">
        <v>235</v>
      </c>
      <c r="C10" s="67">
        <v>-667.34</v>
      </c>
      <c r="D10" s="67">
        <v>-1632.086</v>
      </c>
      <c r="E10" s="68">
        <v>-388.07299999999998</v>
      </c>
      <c r="F10" s="68">
        <v>-69</v>
      </c>
      <c r="G10" s="68">
        <v>1994</v>
      </c>
      <c r="H10" s="68">
        <v>6523</v>
      </c>
      <c r="I10" s="53">
        <f>I5-I9</f>
        <v>6562.141822363039</v>
      </c>
      <c r="J10" s="53">
        <f>J5-J9</f>
        <v>8998.4068563911314</v>
      </c>
      <c r="K10" s="53">
        <f>K5-K9</f>
        <v>11182.734638862126</v>
      </c>
      <c r="L10" s="53">
        <f t="shared" ref="L10:M10" si="4">L5-L9</f>
        <v>12826.462351968483</v>
      </c>
      <c r="M10" s="53">
        <f t="shared" si="4"/>
        <v>13660.228087729425</v>
      </c>
      <c r="Q10" s="167" t="s">
        <v>218</v>
      </c>
      <c r="R10" s="197">
        <f>E93/E77</f>
        <v>0.78770390227660647</v>
      </c>
      <c r="S10" s="197">
        <f t="shared" ref="S10:Z10" si="5">F93/F77</f>
        <v>0.76361887551371366</v>
      </c>
      <c r="T10" s="197">
        <f t="shared" si="5"/>
        <v>0.54494899133236174</v>
      </c>
      <c r="U10" s="197">
        <f t="shared" si="5"/>
        <v>0.49167082454813216</v>
      </c>
      <c r="V10" s="197">
        <f t="shared" si="5"/>
        <v>0.56785228339353877</v>
      </c>
      <c r="W10" s="197">
        <f t="shared" si="5"/>
        <v>0.58888523743980614</v>
      </c>
      <c r="X10" s="197">
        <f t="shared" si="5"/>
        <v>0.58750968830809591</v>
      </c>
      <c r="Y10" s="197">
        <f t="shared" si="5"/>
        <v>0.57658875019471623</v>
      </c>
      <c r="Z10" s="197">
        <f t="shared" si="5"/>
        <v>0.56200011635657643</v>
      </c>
      <c r="AA10" s="169"/>
    </row>
    <row r="11" spans="1:27" x14ac:dyDescent="0.2">
      <c r="B11" s="26" t="str">
        <f>[1]cashflow!A5</f>
        <v>Depreciation, amortization and impairment</v>
      </c>
      <c r="C11" s="73">
        <v>947.09899999999993</v>
      </c>
      <c r="D11" s="73">
        <v>1636.0030000000002</v>
      </c>
      <c r="E11" s="15">
        <v>1901.05</v>
      </c>
      <c r="F11" s="15">
        <f>[1]cashflow!E5</f>
        <v>2154</v>
      </c>
      <c r="G11" s="15">
        <f>[1]cashflow!F5</f>
        <v>2322</v>
      </c>
      <c r="H11" s="15">
        <f>[1]cashflow!G5</f>
        <v>2911</v>
      </c>
      <c r="I11" s="15">
        <f>[1]cashflow!H5</f>
        <v>7352.9820557380226</v>
      </c>
      <c r="J11" s="15">
        <f>[1]cashflow!I5</f>
        <v>9407.9509367762421</v>
      </c>
      <c r="K11" s="15">
        <f>[1]cashflow!J5</f>
        <v>11203.761695047782</v>
      </c>
      <c r="L11" s="15">
        <f>[1]cashflow!K5</f>
        <v>11721.13086187535</v>
      </c>
      <c r="M11" s="15">
        <f>[1]cashflow!L5</f>
        <v>14097.770012408131</v>
      </c>
      <c r="Q11" s="167" t="s">
        <v>219</v>
      </c>
      <c r="R11" s="197">
        <f>E93/E100</f>
        <v>4.758247764735561</v>
      </c>
      <c r="S11" s="197">
        <f t="shared" ref="S11:Z11" si="6">F93/F100</f>
        <v>3.9587488667271078</v>
      </c>
      <c r="T11" s="197">
        <f t="shared" si="6"/>
        <v>1.2786501687289089</v>
      </c>
      <c r="U11" s="197">
        <f t="shared" si="6"/>
        <v>1.0118917486501706</v>
      </c>
      <c r="V11" s="197">
        <f t="shared" si="6"/>
        <v>1.5534845960055299</v>
      </c>
      <c r="W11" s="197">
        <f t="shared" si="6"/>
        <v>1.7857265150803385</v>
      </c>
      <c r="X11" s="197">
        <f t="shared" si="6"/>
        <v>1.8478909060863697</v>
      </c>
      <c r="Y11" s="197">
        <f t="shared" si="6"/>
        <v>1.7767142790151813</v>
      </c>
      <c r="Z11" s="197">
        <f t="shared" si="6"/>
        <v>1.6151781183940492</v>
      </c>
      <c r="AA11" s="27"/>
    </row>
    <row r="12" spans="1:27" x14ac:dyDescent="0.2">
      <c r="B12" s="13" t="s">
        <v>41</v>
      </c>
      <c r="C12" s="66">
        <f t="shared" ref="C12:H12" si="7">C10+C11</f>
        <v>279.7589999999999</v>
      </c>
      <c r="D12" s="67">
        <f t="shared" si="7"/>
        <v>3.9170000000001437</v>
      </c>
      <c r="E12" s="68">
        <f>E10+E11</f>
        <v>1512.9769999999999</v>
      </c>
      <c r="F12" s="69">
        <f t="shared" si="7"/>
        <v>2085</v>
      </c>
      <c r="G12" s="69">
        <f t="shared" si="7"/>
        <v>4316</v>
      </c>
      <c r="H12" s="69">
        <f t="shared" si="7"/>
        <v>9434</v>
      </c>
      <c r="I12" s="53">
        <f>I10+I11</f>
        <v>13915.123878101062</v>
      </c>
      <c r="J12" s="53">
        <f t="shared" ref="J12:M12" si="8">J10+J11</f>
        <v>18406.357793167372</v>
      </c>
      <c r="K12" s="53">
        <f t="shared" si="8"/>
        <v>22386.496333909909</v>
      </c>
      <c r="L12" s="53">
        <f t="shared" si="8"/>
        <v>24547.593213843833</v>
      </c>
      <c r="M12" s="53">
        <f t="shared" si="8"/>
        <v>27757.998100137556</v>
      </c>
      <c r="Q12" s="26" t="s">
        <v>220</v>
      </c>
      <c r="R12" s="197">
        <f t="shared" ref="R12:Z12" si="9">E10/E17</f>
        <v>6.709770562096927</v>
      </c>
      <c r="S12" s="197">
        <f t="shared" si="9"/>
        <v>0.62727272727272732</v>
      </c>
      <c r="T12" s="197">
        <f t="shared" si="9"/>
        <v>-6.8287671232876717</v>
      </c>
      <c r="U12" s="197">
        <f t="shared" si="9"/>
        <v>-9.3319027181688128</v>
      </c>
      <c r="V12" s="197">
        <f t="shared" si="9"/>
        <v>-7.7444146777829168</v>
      </c>
      <c r="W12" s="197">
        <f t="shared" si="9"/>
        <v>-7.7333881190613543</v>
      </c>
      <c r="X12" s="197">
        <f t="shared" si="9"/>
        <v>-7.7349432037665373</v>
      </c>
      <c r="Y12" s="197">
        <f t="shared" si="9"/>
        <v>-7.6938458491466211</v>
      </c>
      <c r="Z12" s="197">
        <f t="shared" si="9"/>
        <v>-7.7265991179786591</v>
      </c>
      <c r="AA12" s="27"/>
    </row>
    <row r="13" spans="1:27" x14ac:dyDescent="0.2">
      <c r="B13" s="48" t="s">
        <v>42</v>
      </c>
      <c r="C13" s="71">
        <v>8.5299999999999994</v>
      </c>
      <c r="D13" s="72">
        <v>19.686</v>
      </c>
      <c r="E13" s="8">
        <v>24.533000000000001</v>
      </c>
      <c r="F13" s="1">
        <v>44</v>
      </c>
      <c r="G13" s="1">
        <v>30</v>
      </c>
      <c r="H13" s="1">
        <v>56</v>
      </c>
      <c r="I13" s="3"/>
      <c r="J13" s="25"/>
      <c r="K13" s="25"/>
      <c r="L13" s="25"/>
      <c r="M13" s="25"/>
      <c r="R13" s="197"/>
      <c r="S13" s="197"/>
      <c r="T13" s="197"/>
      <c r="U13" s="197"/>
      <c r="V13" s="197"/>
      <c r="W13" s="197"/>
      <c r="X13" s="197"/>
      <c r="Y13" s="197"/>
      <c r="Z13" s="197"/>
      <c r="AA13" s="27"/>
    </row>
    <row r="14" spans="1:27" x14ac:dyDescent="0.2">
      <c r="B14" s="48" t="s">
        <v>43</v>
      </c>
      <c r="C14" s="71">
        <v>-198.81</v>
      </c>
      <c r="D14" s="72">
        <v>-471.25900000000001</v>
      </c>
      <c r="E14" s="8">
        <v>-663.07100000000003</v>
      </c>
      <c r="F14" s="1">
        <v>-685</v>
      </c>
      <c r="G14" s="1">
        <v>-748</v>
      </c>
      <c r="H14" s="1">
        <v>-371</v>
      </c>
      <c r="I14" s="1">
        <f>(I85+I88+I91)*I28</f>
        <v>-780.33763648791012</v>
      </c>
      <c r="J14" s="1">
        <f t="shared" ref="J14:M14" si="10">(J85+J88+J91)*J28</f>
        <v>-1058.7417362725425</v>
      </c>
      <c r="K14" s="1">
        <f t="shared" si="10"/>
        <v>-1317.7308431445349</v>
      </c>
      <c r="L14" s="1">
        <f t="shared" si="10"/>
        <v>-1450.9811675661101</v>
      </c>
      <c r="M14" s="1">
        <f t="shared" si="10"/>
        <v>-1596.6556283595039</v>
      </c>
      <c r="Q14" s="165" t="s">
        <v>229</v>
      </c>
      <c r="R14" s="197"/>
      <c r="S14" s="197"/>
      <c r="T14" s="197"/>
      <c r="U14" s="197"/>
      <c r="V14" s="197"/>
      <c r="W14" s="197"/>
      <c r="X14" s="197"/>
      <c r="Y14" s="197"/>
      <c r="Z14" s="197"/>
      <c r="AA14" s="27"/>
    </row>
    <row r="15" spans="1:27" x14ac:dyDescent="0.2">
      <c r="B15" s="48" t="s">
        <v>44</v>
      </c>
      <c r="C15" s="70">
        <v>111.27200000000001</v>
      </c>
      <c r="D15" s="70">
        <v>-125.373</v>
      </c>
      <c r="E15" s="2">
        <v>21.866</v>
      </c>
      <c r="F15" s="2">
        <v>45</v>
      </c>
      <c r="G15" s="2">
        <v>-122</v>
      </c>
      <c r="H15" s="2">
        <v>135</v>
      </c>
      <c r="I15" s="15"/>
      <c r="J15" s="15"/>
      <c r="K15" s="15"/>
      <c r="L15" s="15"/>
      <c r="M15" s="15"/>
      <c r="Q15" s="166" t="s">
        <v>221</v>
      </c>
      <c r="R15" s="197">
        <f>E3/E77</f>
        <v>0.72163909054098685</v>
      </c>
      <c r="S15" s="197">
        <f>F3/F77</f>
        <v>0.71637179748753976</v>
      </c>
      <c r="T15" s="197">
        <f>G3/G77</f>
        <v>0.60474035437600671</v>
      </c>
      <c r="U15" s="197">
        <f>H3/H77</f>
        <v>0.86628253206933736</v>
      </c>
      <c r="V15" s="197">
        <f>I3/I77</f>
        <v>0.97180244637536151</v>
      </c>
      <c r="W15" s="197">
        <f>J3/J77</f>
        <v>1.0077975049397341</v>
      </c>
      <c r="X15" s="197">
        <f>K3/K77</f>
        <v>1.0054434384854851</v>
      </c>
      <c r="Y15" s="197">
        <f>L3/L77</f>
        <v>0.98675372870414524</v>
      </c>
      <c r="Z15" s="197">
        <f>M3/M77</f>
        <v>0.96178725332351656</v>
      </c>
      <c r="AA15" s="27"/>
    </row>
    <row r="16" spans="1:27" s="13" customFormat="1" x14ac:dyDescent="0.2">
      <c r="A16" s="53"/>
      <c r="B16" s="74" t="s">
        <v>45</v>
      </c>
      <c r="C16" s="67">
        <v>-746.34799999999996</v>
      </c>
      <c r="D16" s="67">
        <v>-2209.0320000000002</v>
      </c>
      <c r="E16" s="68">
        <v>-1004.745</v>
      </c>
      <c r="F16" s="68">
        <v>-665</v>
      </c>
      <c r="G16" s="68">
        <v>1154</v>
      </c>
      <c r="H16" s="68">
        <v>6343</v>
      </c>
      <c r="I16" s="53">
        <f>I10+I14+I15+I13</f>
        <v>5781.8041858751285</v>
      </c>
      <c r="J16" s="53">
        <f>J10+J14+J15+J13</f>
        <v>7939.6651201185887</v>
      </c>
      <c r="K16" s="53">
        <f>K10+K14+K15+K13</f>
        <v>9865.0037957175919</v>
      </c>
      <c r="L16" s="53">
        <f>L10+L14+L15+L13</f>
        <v>11375.481184402373</v>
      </c>
      <c r="M16" s="53">
        <f>M10+M14+M15+M13</f>
        <v>12063.572459369921</v>
      </c>
      <c r="N16" s="53"/>
      <c r="Q16" s="167" t="s">
        <v>222</v>
      </c>
      <c r="R16" s="105">
        <f>E3/((D62+E62)/2)</f>
        <v>7.9826430546646696</v>
      </c>
      <c r="S16" s="105">
        <f>F3/((E62+F62)/2)</f>
        <v>7.3747503167830031</v>
      </c>
      <c r="T16" s="105">
        <f>G3/((F62+G62)/2)</f>
        <v>8.2414739317914538</v>
      </c>
      <c r="U16" s="105">
        <f>H3/((G62+H62)/2)</f>
        <v>10.919659160073037</v>
      </c>
      <c r="V16" s="105">
        <f>I3/((H62+I62)/2)</f>
        <v>10.346543829337314</v>
      </c>
      <c r="W16" s="105">
        <f>J3/((I62+J62)/2)</f>
        <v>8.7852329144167349</v>
      </c>
      <c r="X16" s="105">
        <f>K3/((J62+K62)/2)</f>
        <v>8.4181149739874517</v>
      </c>
      <c r="Y16" s="105">
        <f>L3/((K62+L62)/2)</f>
        <v>8.1159958593840411</v>
      </c>
      <c r="Z16" s="105">
        <f>M3/((L62+M62)/2)</f>
        <v>7.8350688307560539</v>
      </c>
      <c r="AA16" s="169"/>
    </row>
    <row r="17" spans="2:27" ht="17" thickBot="1" x14ac:dyDescent="0.25">
      <c r="B17" s="48" t="s">
        <v>46</v>
      </c>
      <c r="C17" s="70">
        <v>26.698</v>
      </c>
      <c r="D17" s="70">
        <v>31.545999999999999</v>
      </c>
      <c r="E17" s="30">
        <v>-57.837000000000003</v>
      </c>
      <c r="F17" s="30">
        <v>-110</v>
      </c>
      <c r="G17" s="30">
        <v>-292</v>
      </c>
      <c r="H17" s="30">
        <v>-699</v>
      </c>
      <c r="I17" s="128">
        <f>-I16*$I$27</f>
        <v>-847.33864280129933</v>
      </c>
      <c r="J17" s="128">
        <f>-J16*$I$27</f>
        <v>-1163.5788502857813</v>
      </c>
      <c r="K17" s="128">
        <f>-K16*$I$27</f>
        <v>-1445.7423078965446</v>
      </c>
      <c r="L17" s="128">
        <f>-L16*$I$27</f>
        <v>-1667.1067504414787</v>
      </c>
      <c r="M17" s="128">
        <f>-M16*$I$27</f>
        <v>-1767.9483404210896</v>
      </c>
      <c r="Q17" s="167" t="s">
        <v>223</v>
      </c>
      <c r="R17" s="105">
        <f>E3/((D62+E62/2))</f>
        <v>5.6177506243030582</v>
      </c>
      <c r="S17" s="105">
        <f>F3/((E62+F62/2))</f>
        <v>5.0267453613354149</v>
      </c>
      <c r="T17" s="105">
        <f>G3/((F62+G62/2))</f>
        <v>5.6289156626506021</v>
      </c>
      <c r="U17" s="105">
        <f>H3/((G62+H62/2))</f>
        <v>7.711583924349882</v>
      </c>
      <c r="V17" s="105">
        <f>I3/((H62+I62/2))</f>
        <v>7.8445656634755112</v>
      </c>
      <c r="W17" s="105">
        <f>J3/((I62+J62/2))</f>
        <v>6.1793136965899951</v>
      </c>
      <c r="X17" s="105">
        <f>K3/((J62+K62/2))</f>
        <v>5.822131561668848</v>
      </c>
      <c r="Y17" s="105">
        <f>L3/((K62+L62/2))</f>
        <v>5.5370232420066321</v>
      </c>
      <c r="Z17" s="105">
        <f>M3/((L62+M62/2))</f>
        <v>5.2787687569528288</v>
      </c>
      <c r="AA17" s="27"/>
    </row>
    <row r="18" spans="2:27" ht="17" thickTop="1" x14ac:dyDescent="0.2">
      <c r="B18" s="13" t="s">
        <v>47</v>
      </c>
      <c r="C18" s="66">
        <v>-773.04600000000005</v>
      </c>
      <c r="D18" s="67">
        <v>-2240.578</v>
      </c>
      <c r="E18" s="68">
        <v>-1062.5820000000001</v>
      </c>
      <c r="F18" s="69">
        <v>-775</v>
      </c>
      <c r="G18" s="69">
        <v>862</v>
      </c>
      <c r="H18" s="69">
        <v>5644</v>
      </c>
      <c r="I18" s="53">
        <f>SUM(I16:I17)</f>
        <v>4934.4655430738294</v>
      </c>
      <c r="J18" s="53">
        <f t="shared" ref="J18:M18" si="11">SUM(J16:J17)</f>
        <v>6776.0862698328074</v>
      </c>
      <c r="K18" s="53">
        <f t="shared" si="11"/>
        <v>8419.2614878210479</v>
      </c>
      <c r="L18" s="53">
        <f t="shared" si="11"/>
        <v>9708.3744339608947</v>
      </c>
      <c r="M18" s="53">
        <f t="shared" si="11"/>
        <v>10295.624118948832</v>
      </c>
      <c r="Q18" s="167"/>
      <c r="R18" s="105"/>
      <c r="S18" s="105"/>
      <c r="T18" s="105"/>
      <c r="U18" s="105"/>
      <c r="V18" s="105"/>
      <c r="W18" s="105"/>
      <c r="X18" s="105"/>
      <c r="Y18" s="105"/>
      <c r="Z18" s="105"/>
      <c r="AA18" s="27"/>
    </row>
    <row r="19" spans="2:27" x14ac:dyDescent="0.2">
      <c r="B19" s="13" t="s">
        <v>236</v>
      </c>
      <c r="C19" s="66"/>
      <c r="D19" s="67">
        <v>-279</v>
      </c>
      <c r="E19" s="68">
        <v>-87</v>
      </c>
      <c r="F19" s="69">
        <v>87</v>
      </c>
      <c r="G19" s="69">
        <v>141</v>
      </c>
      <c r="H19" s="69">
        <v>125</v>
      </c>
      <c r="I19" s="53">
        <f>I3*I34</f>
        <v>146.59128363461431</v>
      </c>
      <c r="J19" s="53">
        <f>J3*J34</f>
        <v>201.01485878430532</v>
      </c>
      <c r="K19" s="53">
        <f>K3*K34</f>
        <v>249.81042312580684</v>
      </c>
      <c r="L19" s="53">
        <f>L3*L34</f>
        <v>286.52955567928188</v>
      </c>
      <c r="M19" s="53">
        <f>M3*M34</f>
        <v>305.15499730555592</v>
      </c>
      <c r="Q19" s="189" t="s">
        <v>244</v>
      </c>
      <c r="R19" s="27"/>
      <c r="S19" s="27"/>
      <c r="T19" s="27"/>
      <c r="U19" s="27"/>
      <c r="V19" s="27"/>
      <c r="W19" s="27"/>
      <c r="X19" s="27"/>
      <c r="Y19" s="27"/>
      <c r="Z19" s="27"/>
      <c r="AA19" s="27"/>
    </row>
    <row r="20" spans="2:27" s="13" customFormat="1" x14ac:dyDescent="0.2">
      <c r="B20" s="13" t="s">
        <v>208</v>
      </c>
      <c r="C20" s="66"/>
      <c r="D20" s="67">
        <v>-1962</v>
      </c>
      <c r="E20" s="68">
        <v>-976</v>
      </c>
      <c r="F20" s="69">
        <v>-862</v>
      </c>
      <c r="G20" s="53">
        <v>721</v>
      </c>
      <c r="H20" s="69">
        <v>5519</v>
      </c>
      <c r="I20" s="53">
        <f>I18-I19</f>
        <v>4787.8742594392152</v>
      </c>
      <c r="J20" s="53">
        <f t="shared" ref="J20:M20" si="12">J18-J19</f>
        <v>6575.0714110485023</v>
      </c>
      <c r="K20" s="53">
        <f t="shared" si="12"/>
        <v>8169.4510646952413</v>
      </c>
      <c r="L20" s="53">
        <f t="shared" si="12"/>
        <v>9421.8448782816122</v>
      </c>
      <c r="M20" s="53">
        <f t="shared" si="12"/>
        <v>9990.4691216432766</v>
      </c>
      <c r="Q20" s="167" t="s">
        <v>224</v>
      </c>
      <c r="R20" s="197">
        <f t="shared" ref="R20:Z20" si="13">E4/E3</f>
        <v>0.8116597304502231</v>
      </c>
      <c r="S20" s="197">
        <f t="shared" si="13"/>
        <v>0.83444543901049717</v>
      </c>
      <c r="T20" s="197">
        <f t="shared" si="13"/>
        <v>0.7897640791476408</v>
      </c>
      <c r="U20" s="197">
        <f t="shared" si="13"/>
        <v>0.74720844248741247</v>
      </c>
      <c r="V20" s="197">
        <f t="shared" si="13"/>
        <v>0.79576942277394347</v>
      </c>
      <c r="W20" s="197">
        <f t="shared" si="13"/>
        <v>0.79576942277394336</v>
      </c>
      <c r="X20" s="197">
        <f t="shared" si="13"/>
        <v>0.79576942277394347</v>
      </c>
      <c r="Y20" s="197">
        <f t="shared" si="13"/>
        <v>0.79576942277394347</v>
      </c>
      <c r="Z20" s="197">
        <f t="shared" si="13"/>
        <v>0.79576942277394336</v>
      </c>
      <c r="AA20" s="169"/>
    </row>
    <row r="21" spans="2:27" x14ac:dyDescent="0.2">
      <c r="B21" s="13"/>
      <c r="C21" s="75"/>
      <c r="D21" s="76"/>
      <c r="E21" s="18"/>
      <c r="F21" s="53"/>
      <c r="G21" s="53"/>
      <c r="H21" s="53"/>
      <c r="J21" s="25"/>
      <c r="K21" s="25"/>
      <c r="L21" s="25"/>
      <c r="M21" s="25"/>
      <c r="Q21" s="167" t="s">
        <v>225</v>
      </c>
      <c r="R21" s="197">
        <f t="shared" ref="R21:Z21" si="14">E10/E3</f>
        <v>-1.8082482358451512E-2</v>
      </c>
      <c r="S21" s="197">
        <f t="shared" si="14"/>
        <v>-2.8073887216209618E-3</v>
      </c>
      <c r="T21" s="197">
        <f t="shared" si="14"/>
        <v>6.3229325215626589E-2</v>
      </c>
      <c r="U21" s="197">
        <f t="shared" si="14"/>
        <v>0.12119354179440016</v>
      </c>
      <c r="V21" s="197">
        <f t="shared" si="14"/>
        <v>7.0274649684275492E-2</v>
      </c>
      <c r="W21" s="197">
        <f t="shared" si="14"/>
        <v>7.0274649684275506E-2</v>
      </c>
      <c r="X21" s="197">
        <f t="shared" si="14"/>
        <v>7.0274649684275506E-2</v>
      </c>
      <c r="Y21" s="197">
        <f t="shared" si="14"/>
        <v>7.0274649684275478E-2</v>
      </c>
      <c r="Z21" s="197">
        <f t="shared" si="14"/>
        <v>7.0274649684275506E-2</v>
      </c>
      <c r="AA21" s="27"/>
    </row>
    <row r="22" spans="2:27" x14ac:dyDescent="0.2">
      <c r="B22" s="77" t="s">
        <v>48</v>
      </c>
      <c r="C22" s="78">
        <v>-4.8600000000000003</v>
      </c>
      <c r="D22" s="79">
        <v>-11.8</v>
      </c>
      <c r="E22" s="80">
        <v>-5.72</v>
      </c>
      <c r="F22" s="81">
        <v>-0.98</v>
      </c>
      <c r="G22" s="81">
        <v>0.74</v>
      </c>
      <c r="H22" s="81">
        <v>5.6</v>
      </c>
      <c r="I22" s="197">
        <f>I20/I24</f>
        <v>4.6338132980914581</v>
      </c>
      <c r="J22" s="197">
        <f t="shared" ref="J22:M22" si="15">J20/J24</f>
        <v>6.0725203579265035</v>
      </c>
      <c r="K22" s="197">
        <f t="shared" si="15"/>
        <v>7.2000264406708308</v>
      </c>
      <c r="L22" s="197">
        <f t="shared" si="15"/>
        <v>7.9240986851680821</v>
      </c>
      <c r="M22" s="197">
        <f t="shared" si="15"/>
        <v>8.0181193753403228</v>
      </c>
      <c r="Q22" s="167" t="s">
        <v>226</v>
      </c>
      <c r="R22" s="197">
        <f>E3/E77</f>
        <v>0.72163909054098685</v>
      </c>
      <c r="S22" s="197">
        <f>F3/F77</f>
        <v>0.71637179748753976</v>
      </c>
      <c r="T22" s="197">
        <f>G3/G77</f>
        <v>0.60474035437600671</v>
      </c>
      <c r="U22" s="197">
        <f>H3/H77</f>
        <v>0.86628253206933736</v>
      </c>
      <c r="V22" s="197">
        <f>I3/I77</f>
        <v>0.97180244637536151</v>
      </c>
      <c r="W22" s="197">
        <f>J3/J77</f>
        <v>1.0077975049397341</v>
      </c>
      <c r="X22" s="197">
        <f>K3/K77</f>
        <v>1.0054434384854851</v>
      </c>
      <c r="Y22" s="197">
        <f>L3/L77</f>
        <v>0.98675372870414524</v>
      </c>
      <c r="Z22" s="197">
        <f>M3/M77</f>
        <v>0.96178725332351656</v>
      </c>
      <c r="AA22" s="27"/>
    </row>
    <row r="23" spans="2:27" x14ac:dyDescent="0.2">
      <c r="B23" s="77" t="s">
        <v>49</v>
      </c>
      <c r="C23" s="78">
        <v>-4.8600000000000003</v>
      </c>
      <c r="D23" s="79">
        <v>-11.8</v>
      </c>
      <c r="E23" s="80">
        <v>-5.72</v>
      </c>
      <c r="F23" s="81">
        <v>-0.98</v>
      </c>
      <c r="G23" s="81">
        <v>0.64</v>
      </c>
      <c r="H23" s="81">
        <v>4.9000000000000004</v>
      </c>
      <c r="I23" s="197">
        <f>I20/I25</f>
        <v>3.8569975438997988</v>
      </c>
      <c r="J23" s="197">
        <f t="shared" ref="J23:M23" si="16">J20/J25</f>
        <v>4.81734409010771</v>
      </c>
      <c r="K23" s="197">
        <f t="shared" si="16"/>
        <v>5.4437809001944588</v>
      </c>
      <c r="L23" s="197">
        <f t="shared" si="16"/>
        <v>5.7101074343994513</v>
      </c>
      <c r="M23" s="197">
        <f t="shared" si="16"/>
        <v>5.5067426337009255</v>
      </c>
      <c r="Q23" s="167" t="s">
        <v>227</v>
      </c>
      <c r="R23" s="197">
        <f>E20/E100</f>
        <v>-0.19824331238575871</v>
      </c>
      <c r="S23" s="197">
        <f>F20/F100</f>
        <v>-0.13025083106678756</v>
      </c>
      <c r="T23" s="197">
        <f>G20/G100</f>
        <v>3.2440944881889762E-2</v>
      </c>
      <c r="U23" s="197">
        <f>H20/H100</f>
        <v>0.18281493259134121</v>
      </c>
      <c r="V23" s="197">
        <f>I20/I100</f>
        <v>0.13631554248448471</v>
      </c>
      <c r="W23" s="197">
        <f>J20/J100</f>
        <v>0.15692462392934556</v>
      </c>
      <c r="X23" s="197">
        <f>K20/K100</f>
        <v>0.16235381021151982</v>
      </c>
      <c r="Y23" s="197">
        <f>L20/L100</f>
        <v>0.15695962502732583</v>
      </c>
      <c r="Z23" s="197">
        <f>M20/M100</f>
        <v>0.14206583693547978</v>
      </c>
      <c r="AA23" s="27"/>
    </row>
    <row r="24" spans="2:27" x14ac:dyDescent="0.2">
      <c r="B24" s="77" t="s">
        <v>50</v>
      </c>
      <c r="D24" s="72">
        <v>171</v>
      </c>
      <c r="E24" s="83">
        <v>177</v>
      </c>
      <c r="F24" s="84">
        <v>887</v>
      </c>
      <c r="G24" s="84">
        <v>933</v>
      </c>
      <c r="H24" s="84">
        <v>986</v>
      </c>
      <c r="I24" s="84">
        <f>H24*(1+I41)</f>
        <v>1033.2471231439581</v>
      </c>
      <c r="J24" s="84">
        <f t="shared" ref="J24:M25" si="17">I24*(1+J41)</f>
        <v>1082.7582327436771</v>
      </c>
      <c r="K24" s="84">
        <f t="shared" si="17"/>
        <v>1134.6418144450715</v>
      </c>
      <c r="L24" s="84">
        <f t="shared" si="17"/>
        <v>1189.0115523065019</v>
      </c>
      <c r="M24" s="84">
        <f t="shared" si="17"/>
        <v>1245.9865778961714</v>
      </c>
      <c r="Q24" s="167" t="s">
        <v>228</v>
      </c>
      <c r="R24" s="27"/>
      <c r="S24" s="27"/>
      <c r="T24" s="27"/>
      <c r="U24" s="105">
        <f>800/H23</f>
        <v>163.26530612244898</v>
      </c>
      <c r="V24" s="105">
        <f t="shared" ref="V24:Z24" si="18">800/I23</f>
        <v>207.41522152775923</v>
      </c>
      <c r="W24" s="105">
        <f t="shared" si="18"/>
        <v>166.06660953341054</v>
      </c>
      <c r="X24" s="105">
        <f t="shared" si="18"/>
        <v>146.95668592603039</v>
      </c>
      <c r="Y24" s="105">
        <f t="shared" si="18"/>
        <v>140.10244276325744</v>
      </c>
      <c r="Z24" s="105">
        <f t="shared" si="18"/>
        <v>145.2764462068827</v>
      </c>
      <c r="AA24" s="27"/>
    </row>
    <row r="25" spans="2:27" x14ac:dyDescent="0.2">
      <c r="B25" s="77" t="s">
        <v>207</v>
      </c>
      <c r="D25" s="72">
        <v>171</v>
      </c>
      <c r="E25" s="83">
        <v>177</v>
      </c>
      <c r="F25" s="84">
        <v>887</v>
      </c>
      <c r="G25" s="84">
        <v>1083</v>
      </c>
      <c r="H25" s="84">
        <v>1129</v>
      </c>
      <c r="I25" s="84">
        <f>H25*(1+I42)</f>
        <v>1241.3475002108012</v>
      </c>
      <c r="J25" s="84">
        <f>I25*(1+J42)</f>
        <v>1364.8747708411029</v>
      </c>
      <c r="K25" s="84">
        <f t="shared" si="17"/>
        <v>1500.6943178781162</v>
      </c>
      <c r="L25" s="84">
        <f t="shared" si="17"/>
        <v>1650.0293534796749</v>
      </c>
      <c r="M25" s="84">
        <f t="shared" si="17"/>
        <v>1814.224812414915</v>
      </c>
      <c r="AA25" s="27"/>
    </row>
    <row r="26" spans="2:27" x14ac:dyDescent="0.2">
      <c r="B26" s="77"/>
      <c r="D26" s="72"/>
      <c r="E26" s="83"/>
      <c r="F26" s="84"/>
      <c r="G26" s="84"/>
      <c r="H26" s="84"/>
      <c r="K26" s="85"/>
      <c r="L26" s="85"/>
      <c r="M26" s="86"/>
      <c r="AA26" s="27"/>
    </row>
    <row r="27" spans="2:27" x14ac:dyDescent="0.2">
      <c r="B27" s="87" t="s">
        <v>51</v>
      </c>
      <c r="C27" s="88">
        <f>ABS(C17/C16)</f>
        <v>3.5771516772336767E-2</v>
      </c>
      <c r="D27" s="89">
        <f>ABS(D17/D16)</f>
        <v>1.4280463116876531E-2</v>
      </c>
      <c r="E27" s="90">
        <f>ABS(E17/E16)</f>
        <v>5.7563859486735446E-2</v>
      </c>
      <c r="F27" s="91">
        <f>ABS(F17/F16)</f>
        <v>0.16541353383458646</v>
      </c>
      <c r="G27" s="91">
        <f>ABS(G17/G16)</f>
        <v>0.2530329289428076</v>
      </c>
      <c r="H27" s="91">
        <f>ABS(H17/H16)</f>
        <v>0.11020022071574964</v>
      </c>
      <c r="I27" s="92">
        <f>AVERAGE(E27:H27)</f>
        <v>0.14655263574496979</v>
      </c>
      <c r="J27" s="92">
        <f>AVERAGE(E27:H27)</f>
        <v>0.14655263574496979</v>
      </c>
      <c r="K27" s="92">
        <f>AVERAGE(E27:H27)</f>
        <v>0.14655263574496979</v>
      </c>
      <c r="L27" s="92">
        <f>AVERAGE(E27:H27)</f>
        <v>0.14655263574496979</v>
      </c>
      <c r="M27" s="92">
        <f>AVERAGE(E27:H27)</f>
        <v>0.14655263574496979</v>
      </c>
      <c r="AA27" s="27"/>
    </row>
    <row r="28" spans="2:27" x14ac:dyDescent="0.2">
      <c r="B28" s="87" t="s">
        <v>52</v>
      </c>
      <c r="C28" s="71"/>
      <c r="D28" s="72"/>
      <c r="E28" s="59">
        <f>E14/(E85+E88+E91)</f>
        <v>-4.5162866558223817E-2</v>
      </c>
      <c r="F28" s="59">
        <f>F14/(F85+F88+F91)</f>
        <v>-4.2615403757621004E-2</v>
      </c>
      <c r="G28" s="59">
        <f>G14/(G85+G88+G91)</f>
        <v>-4.9806898388600349E-2</v>
      </c>
      <c r="H28" s="59">
        <f>H14/(H85+H88+H91)</f>
        <v>-3.5741811175337188E-2</v>
      </c>
      <c r="I28" s="92">
        <f>AVERAGE(E28:H28)</f>
        <v>-4.3331744969945588E-2</v>
      </c>
      <c r="J28" s="92">
        <f t="shared" ref="J28:M28" si="19">AVERAGE(F28:I28)</f>
        <v>-4.2873964572876025E-2</v>
      </c>
      <c r="K28" s="92">
        <f t="shared" si="19"/>
        <v>-4.2938604776689787E-2</v>
      </c>
      <c r="L28" s="92">
        <f t="shared" si="19"/>
        <v>-4.122153137371215E-2</v>
      </c>
      <c r="M28" s="92">
        <f t="shared" si="19"/>
        <v>-4.2591461423305887E-2</v>
      </c>
      <c r="AA28" s="27"/>
    </row>
    <row r="29" spans="2:27" x14ac:dyDescent="0.2">
      <c r="B29" s="10"/>
      <c r="C29" s="71"/>
      <c r="D29" s="72"/>
      <c r="E29" s="83"/>
      <c r="F29" s="84"/>
      <c r="G29" s="84"/>
      <c r="H29" s="84"/>
      <c r="I29" s="77"/>
      <c r="J29" s="77"/>
      <c r="K29" s="93"/>
      <c r="L29" s="93"/>
      <c r="M29" s="93"/>
      <c r="AA29" s="27"/>
    </row>
    <row r="30" spans="2:27" x14ac:dyDescent="0.2">
      <c r="B30" s="94" t="s">
        <v>53</v>
      </c>
      <c r="C30" s="71"/>
      <c r="D30" s="72"/>
      <c r="E30" s="83"/>
      <c r="F30" s="84"/>
      <c r="G30" s="84"/>
      <c r="H30" s="84"/>
      <c r="I30" s="77"/>
      <c r="J30" s="77"/>
      <c r="K30" s="77"/>
      <c r="L30" s="93"/>
      <c r="M30" s="93"/>
      <c r="R30" s="27"/>
      <c r="S30" s="27"/>
      <c r="T30" s="27"/>
      <c r="U30" s="27"/>
      <c r="V30" s="27"/>
      <c r="W30" s="27"/>
      <c r="X30" s="27"/>
      <c r="Y30" s="27"/>
      <c r="Z30" s="27"/>
      <c r="AA30" s="27"/>
    </row>
    <row r="31" spans="2:27" x14ac:dyDescent="0.2">
      <c r="B31" s="95" t="s">
        <v>35</v>
      </c>
      <c r="C31" s="57">
        <f>C5/C3</f>
        <v>0.22846097759299394</v>
      </c>
      <c r="D31" s="58">
        <f>D5/D3</f>
        <v>0.18900706376042831</v>
      </c>
      <c r="E31" s="59">
        <f>E5/E3</f>
        <v>0.18834026954977681</v>
      </c>
      <c r="F31" s="60">
        <f>F5/F3</f>
        <v>0.1655545609895028</v>
      </c>
      <c r="G31" s="60">
        <f>G5/G3</f>
        <v>0.2102359208523592</v>
      </c>
      <c r="H31" s="60">
        <f>H5/H3</f>
        <v>0.25279155751258753</v>
      </c>
      <c r="I31" s="7">
        <f>AVERAGE($E31:$H31)</f>
        <v>0.20423057722605659</v>
      </c>
      <c r="J31" s="7">
        <f t="shared" ref="J31:M34" si="20">AVERAGE($E31:$H31)</f>
        <v>0.20423057722605659</v>
      </c>
      <c r="K31" s="7">
        <f t="shared" si="20"/>
        <v>0.20423057722605659</v>
      </c>
      <c r="L31" s="7">
        <f t="shared" si="20"/>
        <v>0.20423057722605659</v>
      </c>
      <c r="M31" s="7">
        <f t="shared" si="20"/>
        <v>0.20423057722605659</v>
      </c>
      <c r="R31" s="27"/>
      <c r="S31" s="27"/>
      <c r="T31" s="27"/>
      <c r="U31" s="27"/>
      <c r="V31" s="27"/>
      <c r="W31" s="27"/>
      <c r="X31" s="27"/>
      <c r="Y31" s="27"/>
      <c r="Z31" s="27"/>
      <c r="AA31" s="27"/>
    </row>
    <row r="32" spans="2:27" x14ac:dyDescent="0.2">
      <c r="B32" s="95" t="s">
        <v>36</v>
      </c>
      <c r="C32" s="57">
        <f>C6/C$3</f>
        <v>0.11919889510654941</v>
      </c>
      <c r="D32" s="58">
        <f>D6/D$3</f>
        <v>0.11719552527304981</v>
      </c>
      <c r="E32" s="59">
        <f>E6/E$3</f>
        <v>6.8046771514152851E-2</v>
      </c>
      <c r="F32" s="60">
        <f>F6/F$3</f>
        <v>5.4642363088941333E-2</v>
      </c>
      <c r="G32" s="60">
        <f>G6/G$3</f>
        <v>4.7279299847792999E-2</v>
      </c>
      <c r="H32" s="60">
        <f>H6/H$3</f>
        <v>4.817643015067908E-2</v>
      </c>
      <c r="I32" s="7">
        <f>AVERAGE($F32:$H32)</f>
        <v>5.0032697695804464E-2</v>
      </c>
      <c r="J32" s="7">
        <f t="shared" ref="J32:K32" si="21">AVERAGE($F32:$H32)</f>
        <v>5.0032697695804464E-2</v>
      </c>
      <c r="K32" s="7">
        <f t="shared" si="21"/>
        <v>5.0032697695804464E-2</v>
      </c>
      <c r="L32" s="7">
        <f>AVERAGE($F32:$H32)</f>
        <v>5.0032697695804464E-2</v>
      </c>
      <c r="M32" s="7">
        <f>AVERAGE($F32:$H32)</f>
        <v>5.0032697695804464E-2</v>
      </c>
      <c r="R32" s="27"/>
      <c r="S32" s="27"/>
      <c r="T32" s="27"/>
      <c r="U32" s="27"/>
      <c r="V32" s="27"/>
      <c r="W32" s="27"/>
      <c r="X32" s="27"/>
      <c r="Y32" s="27"/>
      <c r="Z32" s="27"/>
      <c r="AA32" s="27"/>
    </row>
    <row r="33" spans="2:27" x14ac:dyDescent="0.2">
      <c r="B33" s="95" t="s">
        <v>54</v>
      </c>
      <c r="C33" s="57">
        <f>C7/C$3</f>
        <v>0.20459457050238478</v>
      </c>
      <c r="D33" s="58">
        <f>D7/D$3</f>
        <v>0.21060910295659802</v>
      </c>
      <c r="E33" s="59">
        <f>E7/E$3</f>
        <v>0.13207472177319626</v>
      </c>
      <c r="F33" s="60">
        <f>F7/F$3</f>
        <v>0.10765725445520384</v>
      </c>
      <c r="G33" s="60">
        <f>G7/G$3</f>
        <v>9.9727295788939629E-2</v>
      </c>
      <c r="H33" s="60">
        <f>H7/H$3</f>
        <v>8.3923229845976624E-2</v>
      </c>
      <c r="I33" s="7">
        <f>H33</f>
        <v>8.3923229845976624E-2</v>
      </c>
      <c r="J33" s="7">
        <f>I33-1%</f>
        <v>7.3923229845976629E-2</v>
      </c>
      <c r="K33" s="7">
        <f>I33-1%</f>
        <v>7.3923229845976629E-2</v>
      </c>
      <c r="L33" s="7">
        <f>K33-1%</f>
        <v>6.3923229845976634E-2</v>
      </c>
      <c r="M33" s="7">
        <f>K33-1%</f>
        <v>6.3923229845976634E-2</v>
      </c>
      <c r="AA33" s="27"/>
    </row>
    <row r="34" spans="2:27" x14ac:dyDescent="0.2">
      <c r="B34" s="10" t="s">
        <v>236</v>
      </c>
      <c r="C34" s="57"/>
      <c r="D34" s="58">
        <f>D19/D3</f>
        <v>-2.3727009781906259E-2</v>
      </c>
      <c r="E34" s="59">
        <f>E19/E3</f>
        <v>-4.0538145276411437E-3</v>
      </c>
      <c r="F34" s="59">
        <f>F19/F3</f>
        <v>3.5397509968264304E-3</v>
      </c>
      <c r="G34" s="59">
        <f>G19/G3</f>
        <v>4.4710806697108064E-3</v>
      </c>
      <c r="H34" s="59">
        <f>H19/H3</f>
        <v>2.3224272151310776E-3</v>
      </c>
      <c r="I34" s="7">
        <f>AVERAGE($E34:$H34)</f>
        <v>1.5698610885067927E-3</v>
      </c>
      <c r="J34" s="7">
        <f>AVERAGE($E34:$H34)</f>
        <v>1.5698610885067927E-3</v>
      </c>
      <c r="K34" s="7">
        <f t="shared" si="20"/>
        <v>1.5698610885067927E-3</v>
      </c>
      <c r="L34" s="7">
        <f t="shared" si="20"/>
        <v>1.5698610885067927E-3</v>
      </c>
      <c r="M34" s="7">
        <f t="shared" si="20"/>
        <v>1.5698610885067927E-3</v>
      </c>
      <c r="AA34" s="27"/>
    </row>
    <row r="36" spans="2:27" x14ac:dyDescent="0.2">
      <c r="N36" s="99" t="s">
        <v>56</v>
      </c>
    </row>
    <row r="37" spans="2:27" x14ac:dyDescent="0.2">
      <c r="B37" s="95" t="s">
        <v>40</v>
      </c>
      <c r="C37" s="57">
        <f>C10/C$3</f>
        <v>-9.533248801594027E-2</v>
      </c>
      <c r="D37" s="58">
        <f>D10/D$3</f>
        <v>-0.13879756446921956</v>
      </c>
      <c r="E37" s="59">
        <f>E10/E$3</f>
        <v>-1.8082482358451512E-2</v>
      </c>
      <c r="F37" s="60">
        <f>F10/F$3</f>
        <v>-2.8073887216209618E-3</v>
      </c>
      <c r="G37" s="60">
        <f>G10/G$3</f>
        <v>6.3229325215626589E-2</v>
      </c>
      <c r="H37" s="60">
        <f>H10/H$3</f>
        <v>0.12119354179440016</v>
      </c>
      <c r="I37" s="100">
        <f>AVERAGE(E37:H37)</f>
        <v>4.0883248982488567E-2</v>
      </c>
      <c r="J37" s="100">
        <f>I37</f>
        <v>4.0883248982488567E-2</v>
      </c>
      <c r="K37" s="100">
        <f t="shared" ref="K37:M37" si="22">J37</f>
        <v>4.0883248982488567E-2</v>
      </c>
      <c r="L37" s="100">
        <f t="shared" si="22"/>
        <v>4.0883248982488567E-2</v>
      </c>
      <c r="M37" s="100">
        <f t="shared" si="22"/>
        <v>4.0883248982488567E-2</v>
      </c>
      <c r="N37" s="12">
        <f t="shared" ref="N37:N40" si="23">AVERAGE(E37:M37)</f>
        <v>4.0883248982488567E-2</v>
      </c>
    </row>
    <row r="38" spans="2:27" hidden="1" x14ac:dyDescent="0.2">
      <c r="B38" s="95" t="s">
        <v>41</v>
      </c>
      <c r="C38" s="57">
        <f>C12/C$3</f>
        <v>3.9964817806292775E-2</v>
      </c>
      <c r="D38" s="58">
        <f>D12/D$3</f>
        <v>3.3311361045064599E-4</v>
      </c>
      <c r="E38" s="59">
        <f>E12/E$3</f>
        <v>7.0498024627435804E-2</v>
      </c>
      <c r="F38" s="60">
        <f>F12/F$3</f>
        <v>8.4831963544633418E-2</v>
      </c>
      <c r="G38" s="60">
        <f>G12/G$3</f>
        <v>0.13685946220192796</v>
      </c>
      <c r="H38" s="60">
        <f>H12/H$3</f>
        <v>0.17527822678037269</v>
      </c>
      <c r="I38" s="100">
        <f t="shared" ref="I38" si="24">AVERAGE(E38:H38)</f>
        <v>0.11686691928859247</v>
      </c>
      <c r="J38" s="100">
        <f t="shared" ref="J38:M40" si="25">I38</f>
        <v>0.11686691928859247</v>
      </c>
      <c r="K38" s="100">
        <f t="shared" si="25"/>
        <v>0.11686691928859247</v>
      </c>
      <c r="L38" s="100">
        <f t="shared" si="25"/>
        <v>0.11686691928859247</v>
      </c>
      <c r="M38" s="100">
        <f t="shared" si="25"/>
        <v>0.11686691928859247</v>
      </c>
      <c r="N38" s="12">
        <f t="shared" si="23"/>
        <v>0.11686691928859247</v>
      </c>
    </row>
    <row r="39" spans="2:27" x14ac:dyDescent="0.2">
      <c r="B39" s="95" t="s">
        <v>45</v>
      </c>
      <c r="C39" s="57">
        <f>C16/C$3</f>
        <v>-0.10661913232493329</v>
      </c>
      <c r="D39" s="58">
        <f>D16/D$3</f>
        <v>-0.18786280957901058</v>
      </c>
      <c r="E39" s="59">
        <f>E16/E$3</f>
        <v>-4.6816665259480472E-2</v>
      </c>
      <c r="F39" s="60">
        <f>F16/F$3</f>
        <v>-2.7056717389535356E-2</v>
      </c>
      <c r="G39" s="60">
        <f>G16/G$3</f>
        <v>3.6593099949264331E-2</v>
      </c>
      <c r="H39" s="60">
        <f>H16/H$3</f>
        <v>0.11784924660461141</v>
      </c>
      <c r="I39" s="100">
        <f>AVERAGE(E39:H39)</f>
        <v>2.0142240976214976E-2</v>
      </c>
      <c r="J39" s="100">
        <f t="shared" si="25"/>
        <v>2.0142240976214976E-2</v>
      </c>
      <c r="K39" s="100">
        <f t="shared" si="25"/>
        <v>2.0142240976214976E-2</v>
      </c>
      <c r="L39" s="100">
        <f t="shared" si="25"/>
        <v>2.0142240976214976E-2</v>
      </c>
      <c r="M39" s="100">
        <f t="shared" si="25"/>
        <v>2.0142240976214976E-2</v>
      </c>
      <c r="N39" s="12">
        <f t="shared" si="23"/>
        <v>2.0142240976214976E-2</v>
      </c>
    </row>
    <row r="40" spans="2:27" x14ac:dyDescent="0.2">
      <c r="B40" s="95" t="s">
        <v>47</v>
      </c>
      <c r="C40" s="57">
        <f>C18/C$3</f>
        <v>-0.11043306040514664</v>
      </c>
      <c r="D40" s="58">
        <f>D18/D$3</f>
        <v>-0.19054557750223641</v>
      </c>
      <c r="E40" s="59">
        <f>E18/E$3</f>
        <v>-4.951161320011474E-2</v>
      </c>
      <c r="F40" s="60">
        <f>F18/F$3</f>
        <v>-3.1532264626902111E-2</v>
      </c>
      <c r="G40" s="60">
        <f>G18/G$3</f>
        <v>2.7333840690005072E-2</v>
      </c>
      <c r="H40" s="60">
        <f>H18/H$3</f>
        <v>0.10486223361759843</v>
      </c>
      <c r="I40" s="100">
        <f>AVERAGE(E40:H40)</f>
        <v>1.2788049120146661E-2</v>
      </c>
      <c r="J40" s="100">
        <f t="shared" si="25"/>
        <v>1.2788049120146661E-2</v>
      </c>
      <c r="K40" s="100">
        <f t="shared" si="25"/>
        <v>1.2788049120146661E-2</v>
      </c>
      <c r="L40" s="100">
        <f t="shared" si="25"/>
        <v>1.2788049120146661E-2</v>
      </c>
      <c r="M40" s="100">
        <f t="shared" si="25"/>
        <v>1.2788049120146661E-2</v>
      </c>
      <c r="N40" s="12">
        <f t="shared" si="23"/>
        <v>1.2788049120146663E-2</v>
      </c>
    </row>
    <row r="41" spans="2:27" x14ac:dyDescent="0.2">
      <c r="B41" s="77" t="s">
        <v>50</v>
      </c>
      <c r="C41" s="57"/>
      <c r="D41" s="58"/>
      <c r="E41" s="195">
        <f>E24/D24-1</f>
        <v>3.5087719298245723E-2</v>
      </c>
      <c r="F41" s="195"/>
      <c r="G41" s="195">
        <f t="shared" ref="G41:H41" si="26">G24/F24-1</f>
        <v>5.1860202931228949E-2</v>
      </c>
      <c r="H41" s="195">
        <f t="shared" si="26"/>
        <v>5.6806002143622747E-2</v>
      </c>
      <c r="I41" s="100">
        <f>AVERAGE(E41:H41)</f>
        <v>4.7917974791032471E-2</v>
      </c>
      <c r="J41" s="100">
        <f t="shared" ref="J41" si="27">I41</f>
        <v>4.7917974791032471E-2</v>
      </c>
      <c r="K41" s="100">
        <f t="shared" ref="K41" si="28">J41</f>
        <v>4.7917974791032471E-2</v>
      </c>
      <c r="L41" s="100">
        <f t="shared" ref="L41" si="29">K41</f>
        <v>4.7917974791032471E-2</v>
      </c>
      <c r="M41" s="100">
        <f t="shared" ref="M41" si="30">L41</f>
        <v>4.7917974791032471E-2</v>
      </c>
      <c r="N41" s="12">
        <f t="shared" ref="N41" si="31">AVERAGE(E41:M41)</f>
        <v>4.7917974791032478E-2</v>
      </c>
    </row>
    <row r="42" spans="2:27" x14ac:dyDescent="0.2">
      <c r="B42" s="77" t="s">
        <v>207</v>
      </c>
      <c r="C42" s="71"/>
      <c r="D42" s="72"/>
      <c r="E42" s="195">
        <f>E25/D25-1</f>
        <v>3.5087719298245723E-2</v>
      </c>
      <c r="F42" s="195"/>
      <c r="G42" s="195">
        <f>G25/F25-1</f>
        <v>0.22096956031567072</v>
      </c>
      <c r="H42" s="195">
        <f>H25/G25-1</f>
        <v>4.2474607571560519E-2</v>
      </c>
      <c r="I42" s="196">
        <f>AVERAGE(E42:H42)</f>
        <v>9.9510629061825659E-2</v>
      </c>
      <c r="J42" s="100">
        <f>I42</f>
        <v>9.9510629061825659E-2</v>
      </c>
      <c r="K42" s="100">
        <f t="shared" ref="K42" si="32">J42</f>
        <v>9.9510629061825659E-2</v>
      </c>
      <c r="L42" s="100">
        <f t="shared" ref="L42" si="33">K42</f>
        <v>9.9510629061825659E-2</v>
      </c>
      <c r="M42" s="100">
        <f t="shared" ref="M42" si="34">L42</f>
        <v>9.9510629061825659E-2</v>
      </c>
      <c r="N42" s="12">
        <f t="shared" ref="N42" si="35">AVERAGE(E42:M42)</f>
        <v>9.9510629061825645E-2</v>
      </c>
    </row>
    <row r="43" spans="2:27" x14ac:dyDescent="0.2">
      <c r="C43" s="71"/>
      <c r="D43" s="72"/>
      <c r="E43" s="8"/>
      <c r="F43" s="1"/>
      <c r="G43" s="1"/>
      <c r="H43" s="1"/>
      <c r="I43" s="102"/>
      <c r="J43" s="102"/>
      <c r="K43" s="102"/>
      <c r="L43" s="102"/>
      <c r="M43" s="102"/>
      <c r="N43" s="12"/>
    </row>
    <row r="44" spans="2:27" x14ac:dyDescent="0.2">
      <c r="C44" s="71"/>
      <c r="D44" s="72"/>
      <c r="E44" s="8"/>
      <c r="F44" s="1"/>
      <c r="G44" s="1"/>
      <c r="H44" s="1"/>
      <c r="I44" s="102"/>
      <c r="J44" s="102"/>
      <c r="K44" s="102"/>
      <c r="L44" s="102"/>
      <c r="M44" s="102"/>
      <c r="N44" s="12"/>
    </row>
    <row r="45" spans="2:27" x14ac:dyDescent="0.2">
      <c r="B45" s="101" t="s">
        <v>57</v>
      </c>
      <c r="C45" s="57"/>
      <c r="D45" s="58"/>
      <c r="E45" s="59"/>
      <c r="F45" s="60"/>
      <c r="G45" s="60"/>
      <c r="H45" s="60"/>
      <c r="I45" s="10"/>
      <c r="J45" s="10"/>
      <c r="K45" s="12"/>
      <c r="L45" s="12"/>
      <c r="M45" s="10"/>
      <c r="N45" s="99"/>
    </row>
    <row r="46" spans="2:27" x14ac:dyDescent="0.2">
      <c r="B46" s="10" t="s">
        <v>32</v>
      </c>
      <c r="C46" s="57"/>
      <c r="D46" s="58"/>
      <c r="E46" s="59">
        <f>E3/D3-1</f>
        <v>0.82513159773516764</v>
      </c>
      <c r="F46" s="60">
        <f>F3/E3-1</f>
        <v>0.14522590184326489</v>
      </c>
      <c r="G46" s="60">
        <f>G3/F3-1</f>
        <v>0.28309870615998056</v>
      </c>
      <c r="H46" s="60">
        <f>H3/G3-1</f>
        <v>0.70671613394216126</v>
      </c>
      <c r="I46" s="60">
        <f>I3/H3-1</f>
        <v>0.73491827579649782</v>
      </c>
      <c r="J46" s="60">
        <f>J3/I3-1</f>
        <v>0.37126064933945413</v>
      </c>
      <c r="K46" s="60">
        <f>K3/J3-1</f>
        <v>0.24274605686667439</v>
      </c>
      <c r="L46" s="60">
        <f>L3/K3-1</f>
        <v>0.14698799231040471</v>
      </c>
      <c r="M46" s="60">
        <f>M3/L3-1</f>
        <v>6.500356161205878E-2</v>
      </c>
      <c r="N46" s="12">
        <f>AVERAGE(E46:M46)</f>
        <v>0.39123209728951824</v>
      </c>
    </row>
    <row r="47" spans="2:27" x14ac:dyDescent="0.2">
      <c r="B47" s="10" t="s">
        <v>34</v>
      </c>
      <c r="C47" s="57"/>
      <c r="D47" s="58"/>
      <c r="E47" s="59">
        <f>E4/D4-1</f>
        <v>0.82663221152434541</v>
      </c>
      <c r="F47" s="60">
        <f>F4/E4-1</f>
        <v>0.17737580734689629</v>
      </c>
      <c r="G47" s="60">
        <f>G4/F4-1</f>
        <v>0.21439368082305332</v>
      </c>
      <c r="H47" s="60">
        <f>H4/G4-1</f>
        <v>0.61475146551031878</v>
      </c>
      <c r="I47" s="60">
        <f>I4/H4-1</f>
        <v>0.84767039073411166</v>
      </c>
      <c r="J47" s="60">
        <f>J4/I4-1</f>
        <v>0.37126064933945391</v>
      </c>
      <c r="K47" s="60">
        <f>K4/J4-1</f>
        <v>0.24274605686667461</v>
      </c>
      <c r="L47" s="60">
        <f>L4/K4-1</f>
        <v>0.14698799231040494</v>
      </c>
      <c r="M47" s="60">
        <f>M4/L4-1</f>
        <v>6.5003561612058558E-2</v>
      </c>
      <c r="N47" s="12">
        <f t="shared" ref="N47:N53" si="36">AVERAGE(E47:M47)</f>
        <v>0.38964686845192409</v>
      </c>
    </row>
    <row r="48" spans="2:27" x14ac:dyDescent="0.2">
      <c r="B48" s="95" t="s">
        <v>35</v>
      </c>
      <c r="C48" s="57"/>
      <c r="D48" s="58">
        <f>D5/C5-1</f>
        <v>0.38969971680599169</v>
      </c>
      <c r="E48" s="59">
        <f>E5/D5-1</f>
        <v>0.81869275275850861</v>
      </c>
      <c r="F48" s="60">
        <f>F5/E5-1</f>
        <v>6.6746313292287418E-3</v>
      </c>
      <c r="G48" s="60">
        <f>G5/F5-1</f>
        <v>0.62939297124600646</v>
      </c>
      <c r="H48" s="60">
        <f>H5/G5-1</f>
        <v>1.0521870286576167</v>
      </c>
      <c r="I48" s="102">
        <f>I5/H5-1</f>
        <v>0.40164238233434801</v>
      </c>
      <c r="J48" s="102">
        <f>J5/I5-1</f>
        <v>0.37126064933945413</v>
      </c>
      <c r="K48" s="102">
        <f>K5/J5-1</f>
        <v>0.24274605686667439</v>
      </c>
      <c r="L48" s="102">
        <f>L5/K5-1</f>
        <v>0.14698799231040471</v>
      </c>
      <c r="M48" s="102">
        <f>M5/L5-1</f>
        <v>6.5003561612059002E-2</v>
      </c>
      <c r="N48" s="12">
        <f t="shared" si="36"/>
        <v>0.41495422516158897</v>
      </c>
    </row>
    <row r="49" spans="2:14" x14ac:dyDescent="0.2">
      <c r="B49" s="95" t="s">
        <v>58</v>
      </c>
      <c r="C49" s="57"/>
      <c r="D49" s="58"/>
      <c r="E49" s="59"/>
      <c r="F49" s="60">
        <f>F9/E9-1</f>
        <v>-6.5934041128698384E-2</v>
      </c>
      <c r="G49" s="60">
        <f>G9/F9-1</f>
        <v>0.12034799420009668</v>
      </c>
      <c r="H49" s="60">
        <f>H9/G9-1</f>
        <v>0.52782571182053495</v>
      </c>
      <c r="I49" s="60">
        <f>I9/H9-1</f>
        <v>0.76600373170663572</v>
      </c>
      <c r="J49" s="60">
        <f>J9/I9-1</f>
        <v>0.37126064933945413</v>
      </c>
      <c r="K49" s="60">
        <f>K9/J9-1</f>
        <v>0.24274605686667439</v>
      </c>
      <c r="L49" s="60">
        <f>L9/K9-1</f>
        <v>0.14698799231040494</v>
      </c>
      <c r="M49" s="60">
        <f>M9/L9-1</f>
        <v>6.500356161205878E-2</v>
      </c>
      <c r="N49" s="12">
        <f t="shared" si="36"/>
        <v>0.27178020709089512</v>
      </c>
    </row>
    <row r="50" spans="2:14" x14ac:dyDescent="0.2">
      <c r="B50" s="95" t="s">
        <v>40</v>
      </c>
      <c r="C50" s="57"/>
      <c r="D50" s="58">
        <f>(D10-C10)/-C10</f>
        <v>-1.4456588845266281</v>
      </c>
      <c r="E50" s="59">
        <f>(E10-D10)/-D10</f>
        <v>0.76222270149979832</v>
      </c>
      <c r="F50" s="60">
        <f>(F10-E10)/-E10</f>
        <v>0.82219840081634121</v>
      </c>
      <c r="G50" s="103">
        <f>(G10-F10)/-F10</f>
        <v>29.89855072463768</v>
      </c>
      <c r="H50" s="60">
        <f>H10/G10-1</f>
        <v>2.2713139418254764</v>
      </c>
      <c r="I50" s="102">
        <f>I10/H10-1</f>
        <v>6.0005859823759611E-3</v>
      </c>
      <c r="J50" s="102">
        <f>J10/I10-1</f>
        <v>0.37126064933945435</v>
      </c>
      <c r="K50" s="102">
        <f>K10/J10-1</f>
        <v>0.24274605686667439</v>
      </c>
      <c r="L50" s="102">
        <f>L10/K10-1</f>
        <v>0.14698799231040427</v>
      </c>
      <c r="M50" s="102">
        <f>M10/L10-1</f>
        <v>6.5003561612059224E-2</v>
      </c>
      <c r="N50" s="12">
        <f t="shared" si="36"/>
        <v>3.8429205127655854</v>
      </c>
    </row>
    <row r="51" spans="2:14" x14ac:dyDescent="0.2">
      <c r="B51" s="95" t="s">
        <v>41</v>
      </c>
      <c r="C51" s="57"/>
      <c r="D51" s="58">
        <f>D12/C12-1</f>
        <v>-0.98599866313505502</v>
      </c>
      <c r="E51" s="104">
        <f>E12/D12-1</f>
        <v>385.25912688280425</v>
      </c>
      <c r="F51" s="60">
        <f>F12/E12-1</f>
        <v>0.3780777896821963</v>
      </c>
      <c r="G51" s="60">
        <f>G12/F12-1</f>
        <v>1.0700239808153476</v>
      </c>
      <c r="H51" s="60">
        <f>H12/G12-1</f>
        <v>1.1858202038924932</v>
      </c>
      <c r="I51" s="102">
        <f>I12/H12-1</f>
        <v>0.47499723108978809</v>
      </c>
      <c r="J51" s="102">
        <f>J12/I12-1</f>
        <v>0.32275917587297909</v>
      </c>
      <c r="K51" s="102">
        <f>K12/J12-1</f>
        <v>0.2162371603044686</v>
      </c>
      <c r="L51" s="102">
        <f>L12/K12-1</f>
        <v>9.6535735101182629E-2</v>
      </c>
      <c r="M51" s="102">
        <f>M12/L12-1</f>
        <v>0.13078287791094678</v>
      </c>
      <c r="N51" s="12">
        <f t="shared" si="36"/>
        <v>43.237151226385961</v>
      </c>
    </row>
    <row r="52" spans="2:14" x14ac:dyDescent="0.2">
      <c r="B52" s="95" t="s">
        <v>59</v>
      </c>
      <c r="C52" s="57"/>
      <c r="D52" s="58">
        <f>D16/C16-1</f>
        <v>1.9597881953190739</v>
      </c>
      <c r="E52" s="59">
        <f>(E16-D16)/-D16</f>
        <v>0.54516503156133556</v>
      </c>
      <c r="F52" s="60">
        <f>(F16-E16)/-E16</f>
        <v>0.33814052321733373</v>
      </c>
      <c r="G52" s="60">
        <f>(G16-F16)/-F16</f>
        <v>2.7353383458646618</v>
      </c>
      <c r="H52" s="60">
        <f>H16/G16-1</f>
        <v>4.4965337954939342</v>
      </c>
      <c r="I52" s="102">
        <f>I16/H16-1</f>
        <v>-8.84748248659738E-2</v>
      </c>
      <c r="J52" s="102">
        <f>J16/I16-1</f>
        <v>0.37321584489407056</v>
      </c>
      <c r="K52" s="102">
        <f>K16/J16-1</f>
        <v>0.24249620688916984</v>
      </c>
      <c r="L52" s="102">
        <f>L16/K16-1</f>
        <v>0.15311472960005168</v>
      </c>
      <c r="M52" s="102">
        <f>M16/L16-1</f>
        <v>6.0488981856084756E-2</v>
      </c>
      <c r="N52" s="12">
        <f t="shared" si="36"/>
        <v>0.98400207050118538</v>
      </c>
    </row>
    <row r="53" spans="2:14" x14ac:dyDescent="0.2">
      <c r="B53" s="95" t="s">
        <v>47</v>
      </c>
      <c r="C53" s="57"/>
      <c r="D53" s="58">
        <f>D18/C18-1</f>
        <v>1.8983760345438689</v>
      </c>
      <c r="E53" s="59">
        <f>(E18-D18)/-D18</f>
        <v>0.5257554077563914</v>
      </c>
      <c r="F53" s="60">
        <f>(F18-E18)/-E18</f>
        <v>0.2706445243755306</v>
      </c>
      <c r="G53" s="60">
        <f>(G18-F18)/-F18</f>
        <v>2.1122580645161291</v>
      </c>
      <c r="H53" s="60">
        <f>H18/G18-1</f>
        <v>5.5475638051044083</v>
      </c>
      <c r="I53" s="102">
        <f>I18/H18-1</f>
        <v>-0.12571482227607556</v>
      </c>
      <c r="J53" s="102">
        <f>J18/I18-1</f>
        <v>0.37321584489407056</v>
      </c>
      <c r="K53" s="102">
        <f>K18/J18-1</f>
        <v>0.24249620688917006</v>
      </c>
      <c r="L53" s="102">
        <f>L18/K18-1</f>
        <v>0.15311472960005146</v>
      </c>
      <c r="M53" s="102">
        <f>M18/L18-1</f>
        <v>6.0488981856084756E-2</v>
      </c>
      <c r="N53" s="12">
        <f t="shared" si="36"/>
        <v>1.0177580825239734</v>
      </c>
    </row>
    <row r="55" spans="2:14" x14ac:dyDescent="0.2">
      <c r="C55" s="14"/>
      <c r="D55" s="98"/>
    </row>
    <row r="56" spans="2:14" x14ac:dyDescent="0.2">
      <c r="B56" s="39" t="s">
        <v>61</v>
      </c>
      <c r="C56" s="40">
        <v>2016</v>
      </c>
      <c r="D56" s="64">
        <v>2017</v>
      </c>
      <c r="E56" s="65">
        <v>2018</v>
      </c>
      <c r="F56" s="41">
        <v>2019</v>
      </c>
      <c r="G56" s="41">
        <v>2020</v>
      </c>
      <c r="H56" s="41">
        <v>2021</v>
      </c>
      <c r="I56" s="42">
        <v>2022</v>
      </c>
      <c r="J56" s="42">
        <v>2023</v>
      </c>
      <c r="K56" s="42">
        <v>2024</v>
      </c>
      <c r="L56" s="42">
        <v>2025</v>
      </c>
      <c r="M56" s="42">
        <v>2025</v>
      </c>
    </row>
    <row r="57" spans="2:14" x14ac:dyDescent="0.2">
      <c r="B57" s="14" t="s">
        <v>62</v>
      </c>
      <c r="C57" s="105"/>
      <c r="D57" s="106"/>
      <c r="E57" s="106"/>
      <c r="F57" s="105"/>
      <c r="G57" s="105"/>
      <c r="H57" s="105"/>
      <c r="I57" s="25"/>
      <c r="J57" s="25"/>
      <c r="K57" s="25"/>
      <c r="L57" s="25"/>
      <c r="M57" s="25"/>
    </row>
    <row r="58" spans="2:14" x14ac:dyDescent="0.2">
      <c r="B58" s="26" t="s">
        <v>63</v>
      </c>
      <c r="C58" s="3">
        <v>3393.2160000000003</v>
      </c>
      <c r="D58" s="5">
        <v>3367.9139999999998</v>
      </c>
      <c r="E58" s="5">
        <v>3685.6179999999999</v>
      </c>
      <c r="F58" s="3">
        <v>6268</v>
      </c>
      <c r="G58" s="3">
        <v>19384</v>
      </c>
      <c r="H58" s="3">
        <v>17576</v>
      </c>
      <c r="I58" s="194">
        <f>H58+I216</f>
        <v>8958.3472593286224</v>
      </c>
      <c r="J58" s="194">
        <f t="shared" ref="J58:M58" si="37">I58+J216</f>
        <v>7701.6522537636174</v>
      </c>
      <c r="K58" s="194">
        <f t="shared" si="37"/>
        <v>10021.633798175246</v>
      </c>
      <c r="L58" s="194">
        <f t="shared" si="37"/>
        <v>14981.891797866452</v>
      </c>
      <c r="M58" s="194">
        <f t="shared" si="37"/>
        <v>21091.013681916113</v>
      </c>
    </row>
    <row r="59" spans="2:14" x14ac:dyDescent="0.2">
      <c r="B59" s="26" t="s">
        <v>64</v>
      </c>
      <c r="C59" s="3">
        <v>105.51900000000001</v>
      </c>
      <c r="D59" s="5"/>
      <c r="E59" s="5"/>
      <c r="F59" s="3">
        <v>246</v>
      </c>
      <c r="G59" s="3"/>
      <c r="H59" s="3"/>
      <c r="I59" s="25"/>
      <c r="J59" s="25"/>
      <c r="K59" s="25"/>
      <c r="L59" s="25"/>
      <c r="M59" s="25"/>
    </row>
    <row r="60" spans="2:14" x14ac:dyDescent="0.2">
      <c r="B60" s="26" t="s">
        <v>65</v>
      </c>
      <c r="C60" s="3"/>
      <c r="D60" s="5">
        <v>155.32300000000001</v>
      </c>
      <c r="E60" s="5">
        <v>192.55099999999999</v>
      </c>
      <c r="F60" s="3"/>
      <c r="G60" s="3"/>
      <c r="H60" s="3">
        <v>131</v>
      </c>
      <c r="I60" s="25"/>
      <c r="J60" s="25"/>
      <c r="K60" s="25"/>
      <c r="L60" s="25"/>
      <c r="M60" s="25"/>
    </row>
    <row r="61" spans="2:14" x14ac:dyDescent="0.2">
      <c r="B61" s="26" t="s">
        <v>66</v>
      </c>
      <c r="C61" s="3">
        <v>499.142</v>
      </c>
      <c r="D61" s="5">
        <v>515.38100000000009</v>
      </c>
      <c r="E61" s="5">
        <v>949.02199999999993</v>
      </c>
      <c r="F61" s="3">
        <v>1324</v>
      </c>
      <c r="G61" s="3">
        <v>1886</v>
      </c>
      <c r="H61" s="3">
        <v>1913</v>
      </c>
      <c r="I61" s="25">
        <f>I3/365*I105</f>
        <v>4515.7058530134636</v>
      </c>
      <c r="J61" s="25">
        <f>J3/365*J105</f>
        <v>6192.2097402292147</v>
      </c>
      <c r="K61" s="25">
        <f>K3/365*K105</f>
        <v>7695.3442379612716</v>
      </c>
      <c r="L61" s="25">
        <f>L3/365*L105</f>
        <v>8826.467437636642</v>
      </c>
      <c r="M61" s="25">
        <f>M3/365*M105</f>
        <v>9400.219257535884</v>
      </c>
    </row>
    <row r="62" spans="2:14" ht="16" customHeight="1" x14ac:dyDescent="0.2">
      <c r="B62" s="26" t="s">
        <v>67</v>
      </c>
      <c r="C62" s="3">
        <v>2067.4540000000002</v>
      </c>
      <c r="D62" s="5">
        <v>2263.5369999999998</v>
      </c>
      <c r="E62" s="5">
        <v>3113.4459999999999</v>
      </c>
      <c r="F62" s="3">
        <v>3552</v>
      </c>
      <c r="G62" s="3">
        <v>4101</v>
      </c>
      <c r="H62" s="3">
        <v>5757</v>
      </c>
      <c r="I62" s="25">
        <f>I$3/365*I106</f>
        <v>12293.183307284304</v>
      </c>
      <c r="J62" s="25">
        <f>J3/365*J106</f>
        <v>16857.158524395611</v>
      </c>
      <c r="K62" s="25">
        <f>K3/365*K106</f>
        <v>20949.167286169097</v>
      </c>
      <c r="L62" s="25">
        <f>L3/365*L106</f>
        <v>24028.443326137902</v>
      </c>
      <c r="M62" s="25">
        <f>M3/365*M106</f>
        <v>25590.37772233037</v>
      </c>
    </row>
    <row r="63" spans="2:14" x14ac:dyDescent="0.2">
      <c r="B63" s="26" t="s">
        <v>68</v>
      </c>
      <c r="C63" s="4">
        <v>194.465</v>
      </c>
      <c r="D63" s="4">
        <v>268.36500000000001</v>
      </c>
      <c r="E63" s="4">
        <v>365.67099999999999</v>
      </c>
      <c r="F63" s="4">
        <v>713</v>
      </c>
      <c r="G63" s="4">
        <v>1346</v>
      </c>
      <c r="H63" s="4">
        <v>1723</v>
      </c>
      <c r="I63" s="15">
        <f>I3*I107</f>
        <v>2818.6780385890779</v>
      </c>
      <c r="J63" s="15">
        <f>J3*J107</f>
        <v>3865.1422774745174</v>
      </c>
      <c r="K63" s="15">
        <f>K3*K107</f>
        <v>4803.3903245601341</v>
      </c>
      <c r="L63" s="15">
        <f>L3*L107</f>
        <v>5509.4310246504519</v>
      </c>
      <c r="M63" s="15">
        <f>M3*M107</f>
        <v>5867.5636637087064</v>
      </c>
    </row>
    <row r="64" spans="2:14" x14ac:dyDescent="0.2">
      <c r="B64" s="13" t="s">
        <v>69</v>
      </c>
      <c r="C64" s="107">
        <v>6259.7960000000003</v>
      </c>
      <c r="D64" s="108">
        <v>6570.5199999999995</v>
      </c>
      <c r="E64" s="108">
        <v>8306.3080000000009</v>
      </c>
      <c r="F64" s="107">
        <v>12103</v>
      </c>
      <c r="G64" s="107">
        <v>26717</v>
      </c>
      <c r="H64" s="107">
        <v>27100</v>
      </c>
      <c r="I64" s="53">
        <f>SUM(I58:I63)</f>
        <v>28585.914458215466</v>
      </c>
      <c r="J64" s="53">
        <f>SUM(J58:J63)</f>
        <v>34616.162795862962</v>
      </c>
      <c r="K64" s="53">
        <f>SUM(K58:K63)</f>
        <v>43469.535646865748</v>
      </c>
      <c r="L64" s="53">
        <f>SUM(L58:L63)</f>
        <v>53346.233586291448</v>
      </c>
      <c r="M64" s="53">
        <f>SUM(M58:M63)</f>
        <v>61949.174325491076</v>
      </c>
    </row>
    <row r="65" spans="2:26" x14ac:dyDescent="0.2">
      <c r="B65" s="14" t="s">
        <v>70</v>
      </c>
      <c r="C65" s="3"/>
      <c r="D65" s="5"/>
      <c r="E65" s="5"/>
      <c r="F65" s="3"/>
      <c r="G65" s="3"/>
      <c r="H65" s="3"/>
      <c r="I65" s="25"/>
      <c r="J65" s="25"/>
      <c r="K65" s="25"/>
      <c r="L65" s="25"/>
      <c r="M65" s="25"/>
    </row>
    <row r="66" spans="2:26" x14ac:dyDescent="0.2">
      <c r="B66" s="26" t="s">
        <v>71</v>
      </c>
      <c r="C66" s="3">
        <v>3134.08</v>
      </c>
      <c r="D66" s="5">
        <v>4116.6040000000003</v>
      </c>
      <c r="E66" s="5">
        <v>2089.7580000000003</v>
      </c>
      <c r="F66" s="3">
        <v>2447</v>
      </c>
      <c r="G66" s="3">
        <v>3091</v>
      </c>
      <c r="H66" s="3">
        <v>4511</v>
      </c>
      <c r="I66" s="25">
        <f t="shared" ref="I66:M67" si="38">I$3*I108</f>
        <v>8842.0286646947334</v>
      </c>
      <c r="J66" s="25">
        <f t="shared" si="38"/>
        <v>12124.725968227367</v>
      </c>
      <c r="K66" s="25">
        <f t="shared" si="38"/>
        <v>15067.955387603532</v>
      </c>
      <c r="L66" s="25">
        <f t="shared" si="38"/>
        <v>17282.763898250123</v>
      </c>
      <c r="M66" s="25">
        <f t="shared" si="38"/>
        <v>18406.205106136691</v>
      </c>
    </row>
    <row r="67" spans="2:26" x14ac:dyDescent="0.2">
      <c r="B67" s="26" t="s">
        <v>72</v>
      </c>
      <c r="C67" s="3">
        <v>5919.88</v>
      </c>
      <c r="D67" s="5">
        <v>6347.49</v>
      </c>
      <c r="E67" s="5">
        <v>6271.3959999999997</v>
      </c>
      <c r="F67" s="3">
        <v>6138</v>
      </c>
      <c r="G67" s="3">
        <v>5979</v>
      </c>
      <c r="H67" s="3">
        <v>5765</v>
      </c>
      <c r="I67" s="25">
        <f>I$3*I109</f>
        <v>13852.850330472485</v>
      </c>
      <c r="J67" s="25">
        <f t="shared" si="38"/>
        <v>18995.868539365973</v>
      </c>
      <c r="K67" s="25">
        <f t="shared" si="38"/>
        <v>23607.040724054776</v>
      </c>
      <c r="L67" s="25">
        <f t="shared" si="38"/>
        <v>27076.992244473553</v>
      </c>
      <c r="M67" s="25">
        <f t="shared" si="38"/>
        <v>28837.093178106428</v>
      </c>
    </row>
    <row r="68" spans="2:26" x14ac:dyDescent="0.2">
      <c r="B68" s="26" t="s">
        <v>73</v>
      </c>
      <c r="C68" s="3">
        <v>5982.9570000000003</v>
      </c>
      <c r="D68" s="5">
        <v>10027.522000000001</v>
      </c>
      <c r="E68" s="5">
        <v>11330.077000000001</v>
      </c>
      <c r="F68" s="3">
        <v>10396</v>
      </c>
      <c r="G68" s="3">
        <v>12747</v>
      </c>
      <c r="H68" s="3">
        <v>18884</v>
      </c>
      <c r="I68" s="25">
        <f>I$3*I110</f>
        <v>36667.820312675125</v>
      </c>
      <c r="J68" s="25">
        <f t="shared" ref="J68:M69" si="39">J$3*J110</f>
        <v>50281.139091821315</v>
      </c>
      <c r="K68" s="25">
        <f t="shared" si="39"/>
        <v>62486.68734112574</v>
      </c>
      <c r="L68" s="25">
        <f t="shared" si="39"/>
        <v>71671.480059525798</v>
      </c>
      <c r="M68" s="25">
        <f t="shared" si="39"/>
        <v>76330.381529402628</v>
      </c>
    </row>
    <row r="69" spans="2:26" x14ac:dyDescent="0.2">
      <c r="B69" s="26" t="s">
        <v>74</v>
      </c>
      <c r="C69" s="3"/>
      <c r="D69" s="5">
        <v>361.50200000000001</v>
      </c>
      <c r="E69" s="5">
        <v>282.49200000000002</v>
      </c>
      <c r="F69" s="3">
        <v>1218</v>
      </c>
      <c r="G69" s="3">
        <v>1558</v>
      </c>
      <c r="H69" s="3">
        <v>2016</v>
      </c>
      <c r="I69" s="25">
        <f>I$3*I111</f>
        <v>3491.874107438503</v>
      </c>
      <c r="J69" s="25">
        <f t="shared" si="39"/>
        <v>4788.2695559777476</v>
      </c>
      <c r="K69" s="25">
        <f t="shared" si="39"/>
        <v>5950.6031099060883</v>
      </c>
      <c r="L69" s="25">
        <f t="shared" si="39"/>
        <v>6825.2703140672356</v>
      </c>
      <c r="M69" s="25">
        <f t="shared" si="39"/>
        <v>7268.9371934466608</v>
      </c>
    </row>
    <row r="70" spans="2:26" x14ac:dyDescent="0.2">
      <c r="B70" s="26" t="s">
        <v>75</v>
      </c>
      <c r="C70" s="3"/>
      <c r="D70" s="5">
        <v>60.237000000000002</v>
      </c>
      <c r="E70" s="5">
        <v>68.159000000000006</v>
      </c>
      <c r="F70" s="3"/>
      <c r="G70" s="3"/>
      <c r="H70" s="3">
        <v>1260</v>
      </c>
      <c r="I70" s="25"/>
      <c r="J70" s="25"/>
      <c r="K70" s="25"/>
      <c r="L70" s="25"/>
      <c r="M70" s="25"/>
      <c r="Q70" s="13"/>
    </row>
    <row r="71" spans="2:26" x14ac:dyDescent="0.2">
      <c r="B71" s="26" t="s">
        <v>76</v>
      </c>
      <c r="C71" s="3">
        <v>376.14499999999998</v>
      </c>
      <c r="D71" s="5">
        <v>456.65200000000004</v>
      </c>
      <c r="E71" s="5">
        <v>421.54799999999994</v>
      </c>
      <c r="F71" s="3">
        <v>339</v>
      </c>
      <c r="G71" s="3">
        <v>313</v>
      </c>
      <c r="H71" s="3">
        <v>257</v>
      </c>
      <c r="I71" s="25">
        <f>AVERAGE($E71:$H71)</f>
        <v>332.637</v>
      </c>
      <c r="J71" s="25">
        <f>AVERAGE($E71:$H71)</f>
        <v>332.637</v>
      </c>
      <c r="K71" s="25">
        <f>AVERAGE($E71:$H71)</f>
        <v>332.637</v>
      </c>
      <c r="L71" s="25">
        <f>AVERAGE($E71:$H71)</f>
        <v>332.637</v>
      </c>
      <c r="M71" s="25">
        <f>AVERAGE($E71:$H71)</f>
        <v>332.637</v>
      </c>
      <c r="R71" s="13"/>
      <c r="S71" s="13"/>
      <c r="T71" s="13"/>
      <c r="U71" s="13"/>
      <c r="V71" s="13"/>
      <c r="W71" s="13"/>
      <c r="X71" s="13"/>
      <c r="Y71" s="13"/>
      <c r="Z71" s="13"/>
    </row>
    <row r="72" spans="2:26" x14ac:dyDescent="0.2">
      <c r="B72" s="26" t="s">
        <v>77</v>
      </c>
      <c r="C72" s="3"/>
      <c r="D72" s="5">
        <v>441.72200000000004</v>
      </c>
      <c r="E72" s="5">
        <v>398.21899999999999</v>
      </c>
      <c r="F72" s="3">
        <v>198</v>
      </c>
      <c r="G72" s="3">
        <v>207</v>
      </c>
      <c r="H72" s="3">
        <v>200</v>
      </c>
      <c r="I72" s="25">
        <f>I$3*I112</f>
        <v>861.20747197929325</v>
      </c>
      <c r="J72" s="25">
        <f>J$3*J112</f>
        <v>1180.9399172423155</v>
      </c>
      <c r="K72" s="25">
        <f>K$3*K112</f>
        <v>1467.6084255493442</v>
      </c>
      <c r="L72" s="25">
        <f>L$3*L112</f>
        <v>1683.3292415186766</v>
      </c>
      <c r="M72" s="25">
        <f>M$3*M112</f>
        <v>1792.7516375831162</v>
      </c>
    </row>
    <row r="73" spans="2:26" x14ac:dyDescent="0.2">
      <c r="B73" s="26" t="s">
        <v>78</v>
      </c>
      <c r="C73" s="3">
        <v>506.30200000000002</v>
      </c>
      <c r="D73" s="5"/>
      <c r="E73" s="5"/>
      <c r="F73" s="3">
        <v>393</v>
      </c>
      <c r="G73" s="3"/>
      <c r="H73" s="3"/>
      <c r="I73" s="25"/>
      <c r="J73" s="25"/>
      <c r="K73" s="25"/>
      <c r="L73" s="25"/>
      <c r="M73" s="25"/>
    </row>
    <row r="74" spans="2:26" x14ac:dyDescent="0.2">
      <c r="B74" s="26" t="s">
        <v>79</v>
      </c>
      <c r="C74" s="3">
        <v>268.16500000000002</v>
      </c>
      <c r="D74" s="5"/>
      <c r="E74" s="5"/>
      <c r="F74" s="3">
        <v>269</v>
      </c>
      <c r="G74" s="3"/>
      <c r="H74" s="3"/>
      <c r="I74" s="25"/>
      <c r="J74" s="25"/>
      <c r="K74" s="25"/>
      <c r="L74" s="25"/>
      <c r="M74" s="25"/>
    </row>
    <row r="75" spans="2:26" x14ac:dyDescent="0.2">
      <c r="B75" s="26" t="s">
        <v>80</v>
      </c>
      <c r="C75" s="5">
        <v>216.75100000000003</v>
      </c>
      <c r="D75" s="5">
        <v>273.12299999999999</v>
      </c>
      <c r="E75" s="4">
        <v>571.65699999999993</v>
      </c>
      <c r="F75" s="4">
        <v>808</v>
      </c>
      <c r="G75" s="4">
        <v>1536</v>
      </c>
      <c r="H75" s="4">
        <v>2138</v>
      </c>
      <c r="I75" s="15">
        <f>I$3*I113</f>
        <v>3453.6191784982198</v>
      </c>
      <c r="J75" s="15">
        <f>J$3*J113</f>
        <v>4735.8120772786606</v>
      </c>
      <c r="K75" s="15">
        <f>K$3*K113</f>
        <v>5885.4117850996299</v>
      </c>
      <c r="L75" s="15">
        <f>L$3*L113</f>
        <v>6750.4966473114209</v>
      </c>
      <c r="M75" s="15">
        <f>M$3*M113</f>
        <v>7189.302972036925</v>
      </c>
    </row>
    <row r="76" spans="2:26" s="13" customFormat="1" x14ac:dyDescent="0.2">
      <c r="B76" s="14" t="s">
        <v>81</v>
      </c>
      <c r="C76" s="17">
        <f>SUM(C66:C75)</f>
        <v>16404.28</v>
      </c>
      <c r="D76" s="17">
        <f>SUM(D66:D75)</f>
        <v>22084.852000000006</v>
      </c>
      <c r="E76" s="4">
        <f>SUM(E66:E75)</f>
        <v>21433.305999999997</v>
      </c>
      <c r="F76" s="4">
        <f>SUM(F66:F75)</f>
        <v>22206</v>
      </c>
      <c r="G76" s="4">
        <f t="shared" ref="G76:H76" si="40">SUM(G66:G75)</f>
        <v>25431</v>
      </c>
      <c r="H76" s="4">
        <f t="shared" si="40"/>
        <v>35031</v>
      </c>
      <c r="I76" s="15">
        <f>SUM(I66:I75)</f>
        <v>67502.037065758355</v>
      </c>
      <c r="J76" s="15">
        <f t="shared" ref="J76:M76" si="41">SUM(J66:J75)</f>
        <v>92439.392149913387</v>
      </c>
      <c r="K76" s="15">
        <f t="shared" si="41"/>
        <v>114797.94377333912</v>
      </c>
      <c r="L76" s="15">
        <f t="shared" si="41"/>
        <v>131622.96940514681</v>
      </c>
      <c r="M76" s="15">
        <f t="shared" si="41"/>
        <v>140157.30861671246</v>
      </c>
      <c r="N76" s="16"/>
      <c r="Q76" s="14"/>
      <c r="R76" s="14"/>
      <c r="S76" s="14"/>
      <c r="T76" s="14"/>
      <c r="U76" s="14"/>
      <c r="V76" s="14"/>
      <c r="W76" s="14"/>
      <c r="X76" s="14"/>
      <c r="Y76" s="14"/>
      <c r="Z76" s="14"/>
    </row>
    <row r="77" spans="2:26" x14ac:dyDescent="0.2">
      <c r="B77" s="13" t="s">
        <v>82</v>
      </c>
      <c r="C77" s="107">
        <v>22664.076000000001</v>
      </c>
      <c r="D77" s="108">
        <v>28655.371999999996</v>
      </c>
      <c r="E77" s="108">
        <v>29739.614000000001</v>
      </c>
      <c r="F77" s="107">
        <v>34309</v>
      </c>
      <c r="G77" s="107">
        <v>52148</v>
      </c>
      <c r="H77" s="107">
        <v>62131</v>
      </c>
      <c r="I77" s="53">
        <f>I76+I64</f>
        <v>96087.951523973825</v>
      </c>
      <c r="J77" s="53">
        <f t="shared" ref="J77:M77" si="42">J76+J64</f>
        <v>127055.55494577636</v>
      </c>
      <c r="K77" s="53">
        <f t="shared" si="42"/>
        <v>158267.47942020488</v>
      </c>
      <c r="L77" s="53">
        <f t="shared" si="42"/>
        <v>184969.20299143827</v>
      </c>
      <c r="M77" s="53">
        <f t="shared" si="42"/>
        <v>202106.48294220353</v>
      </c>
    </row>
    <row r="78" spans="2:26" x14ac:dyDescent="0.2">
      <c r="B78" s="13"/>
      <c r="C78" s="107"/>
      <c r="D78" s="108"/>
      <c r="E78" s="108"/>
      <c r="F78" s="107"/>
      <c r="G78" s="107"/>
      <c r="H78" s="107"/>
      <c r="I78" s="53"/>
      <c r="J78" s="25"/>
      <c r="K78" s="25"/>
      <c r="L78" s="25"/>
      <c r="M78" s="53"/>
    </row>
    <row r="79" spans="2:26" x14ac:dyDescent="0.2">
      <c r="B79" s="14" t="s">
        <v>83</v>
      </c>
      <c r="C79" s="3"/>
      <c r="D79" s="5"/>
      <c r="E79" s="5"/>
      <c r="F79" s="3"/>
      <c r="G79" s="3"/>
      <c r="H79" s="3"/>
    </row>
    <row r="80" spans="2:26" x14ac:dyDescent="0.2">
      <c r="B80" s="26" t="s">
        <v>84</v>
      </c>
      <c r="C80" s="3">
        <v>1860.3409999999999</v>
      </c>
      <c r="D80" s="5">
        <v>2390.25</v>
      </c>
      <c r="E80" s="5">
        <v>3404.451</v>
      </c>
      <c r="F80" s="3">
        <v>3771</v>
      </c>
      <c r="G80" s="3">
        <v>6051</v>
      </c>
      <c r="H80" s="3">
        <v>10025</v>
      </c>
      <c r="I80" s="25">
        <f>I3/365*I116</f>
        <v>16112.387574163531</v>
      </c>
      <c r="J80" s="25">
        <f>J3/365*J116</f>
        <v>22094.283047356435</v>
      </c>
      <c r="K80" s="25">
        <f>K3/365*K116</f>
        <v>27457.583136398422</v>
      </c>
      <c r="L80" s="25">
        <f>L3/365*L116</f>
        <v>31493.518155313654</v>
      </c>
      <c r="M80" s="25">
        <f>M3/365*M116</f>
        <v>33540.709003103075</v>
      </c>
    </row>
    <row r="81" spans="2:13" x14ac:dyDescent="0.2">
      <c r="B81" s="26" t="s">
        <v>85</v>
      </c>
      <c r="C81" s="3">
        <v>1210.028</v>
      </c>
      <c r="D81" s="5">
        <v>1731.366</v>
      </c>
      <c r="E81" s="5">
        <v>2094.2529999999997</v>
      </c>
      <c r="F81" s="3">
        <v>2905</v>
      </c>
      <c r="G81" s="3">
        <v>3855</v>
      </c>
      <c r="H81" s="3">
        <v>5719</v>
      </c>
      <c r="I81" s="25">
        <f>I$3*$I$117</f>
        <v>10371.433573316888</v>
      </c>
      <c r="J81" s="25">
        <f>J3*$I$117</f>
        <v>14221.938736327529</v>
      </c>
      <c r="K81" s="25">
        <f>K3*$I$117</f>
        <v>17674.258285570453</v>
      </c>
      <c r="L81" s="25">
        <f>L3*$I$117</f>
        <v>20272.162026541992</v>
      </c>
      <c r="M81" s="25">
        <f>M3*$I$117</f>
        <v>21589.924759843954</v>
      </c>
    </row>
    <row r="82" spans="2:13" x14ac:dyDescent="0.2">
      <c r="B82" s="26" t="s">
        <v>86</v>
      </c>
      <c r="C82" s="3">
        <v>763.12599999999998</v>
      </c>
      <c r="D82" s="5">
        <v>1015.253</v>
      </c>
      <c r="E82" s="5">
        <v>630.29200000000003</v>
      </c>
      <c r="F82" s="3">
        <v>1163</v>
      </c>
      <c r="G82" s="3">
        <v>1458</v>
      </c>
      <c r="H82" s="3">
        <v>1447</v>
      </c>
      <c r="I82" s="25">
        <f>I3*I118</f>
        <v>3497.1382622881729</v>
      </c>
      <c r="J82" s="25">
        <f>J3*J118</f>
        <v>4795.4880843751298</v>
      </c>
      <c r="K82" s="25">
        <f>K3*K118</f>
        <v>5959.5739076083146</v>
      </c>
      <c r="L82" s="25">
        <f>L3*L118</f>
        <v>6835.5597113131344</v>
      </c>
      <c r="M82" s="25">
        <f>M3*M118</f>
        <v>7279.8954381603853</v>
      </c>
    </row>
    <row r="83" spans="2:13" x14ac:dyDescent="0.2">
      <c r="B83" s="26" t="s">
        <v>87</v>
      </c>
      <c r="C83" s="3">
        <v>179.50399999999999</v>
      </c>
      <c r="D83" s="5">
        <v>787.33299999999997</v>
      </c>
      <c r="E83" s="5">
        <v>502.84</v>
      </c>
      <c r="F83" s="3">
        <v>317</v>
      </c>
      <c r="G83" s="3"/>
      <c r="H83" s="3"/>
      <c r="I83" s="25"/>
      <c r="J83" s="25"/>
      <c r="K83" s="25"/>
      <c r="L83" s="25"/>
      <c r="M83" s="25"/>
    </row>
    <row r="84" spans="2:13" x14ac:dyDescent="0.2">
      <c r="B84" s="26" t="s">
        <v>88</v>
      </c>
      <c r="C84" s="3">
        <v>663.85900000000004</v>
      </c>
      <c r="D84" s="5">
        <v>853.9190000000001</v>
      </c>
      <c r="E84" s="5">
        <v>792.601</v>
      </c>
      <c r="F84" s="3">
        <v>726</v>
      </c>
      <c r="G84" s="3">
        <v>752</v>
      </c>
      <c r="H84" s="3">
        <v>925</v>
      </c>
      <c r="I84" s="25">
        <f>I3*I120</f>
        <v>2509.5947839154574</v>
      </c>
      <c r="J84" s="25">
        <f>J3*J120</f>
        <v>3441.3085729708168</v>
      </c>
      <c r="K84" s="25">
        <f>K3*K120</f>
        <v>4276.6726595209657</v>
      </c>
      <c r="L84" s="25">
        <f>L3*L120</f>
        <v>4905.2921875127513</v>
      </c>
      <c r="M84" s="25">
        <f>M3*M120</f>
        <v>5224.1536504488877</v>
      </c>
    </row>
    <row r="85" spans="2:13" x14ac:dyDescent="0.2">
      <c r="B85" s="26" t="s">
        <v>89</v>
      </c>
      <c r="C85" s="3">
        <v>984.21100000000001</v>
      </c>
      <c r="D85" s="5">
        <v>796.54899999999998</v>
      </c>
      <c r="E85" s="4">
        <v>2567.6990000000001</v>
      </c>
      <c r="F85" s="4">
        <v>1785</v>
      </c>
      <c r="G85" s="4">
        <v>2132</v>
      </c>
      <c r="H85" s="4">
        <v>1589</v>
      </c>
      <c r="I85" s="15">
        <f>I3*I121</f>
        <v>2756.7851402406354</v>
      </c>
      <c r="J85" s="15">
        <f>J3*J121</f>
        <v>3780.2709814957316</v>
      </c>
      <c r="K85" s="15">
        <f>K3*K121</f>
        <v>4697.9168561413335</v>
      </c>
      <c r="L85" s="15">
        <f>L3*L121</f>
        <v>5388.4542228667569</v>
      </c>
      <c r="M85" s="15">
        <f>M3*M121</f>
        <v>5738.7229389366348</v>
      </c>
    </row>
    <row r="86" spans="2:13" x14ac:dyDescent="0.2">
      <c r="B86" s="13" t="s">
        <v>90</v>
      </c>
      <c r="C86" s="107">
        <v>5827.0050000000001</v>
      </c>
      <c r="D86" s="108">
        <v>7674.67</v>
      </c>
      <c r="E86" s="108">
        <v>9992.1360000000004</v>
      </c>
      <c r="F86" s="107">
        <v>10667</v>
      </c>
      <c r="G86" s="107">
        <v>14248</v>
      </c>
      <c r="H86" s="107">
        <v>19705</v>
      </c>
      <c r="I86" s="53">
        <f>SUM(I80:I85)</f>
        <v>35247.339333924683</v>
      </c>
      <c r="J86" s="53">
        <f>SUM(J80:J85)</f>
        <v>48333.289422525646</v>
      </c>
      <c r="K86" s="53">
        <f>SUM(K80:K85)</f>
        <v>60066.004845239477</v>
      </c>
      <c r="L86" s="53">
        <f>SUM(L80:L85)</f>
        <v>68894.986303548285</v>
      </c>
      <c r="M86" s="53">
        <f>SUM(M80:M85)</f>
        <v>73373.405790492936</v>
      </c>
    </row>
    <row r="87" spans="2:13" x14ac:dyDescent="0.2">
      <c r="B87" s="14" t="s">
        <v>91</v>
      </c>
      <c r="C87" s="107"/>
      <c r="D87" s="108"/>
      <c r="E87" s="108"/>
      <c r="F87" s="107"/>
      <c r="G87" s="107"/>
      <c r="H87" s="107"/>
      <c r="I87" s="53"/>
      <c r="J87" s="53"/>
      <c r="K87" s="53"/>
      <c r="L87" s="53"/>
      <c r="M87" s="53"/>
    </row>
    <row r="88" spans="2:13" x14ac:dyDescent="0.2">
      <c r="B88" s="26" t="s">
        <v>92</v>
      </c>
      <c r="C88" s="3">
        <v>5860.049</v>
      </c>
      <c r="D88" s="5">
        <v>9418.3189999999995</v>
      </c>
      <c r="E88" s="5">
        <v>9403.6720000000005</v>
      </c>
      <c r="F88" s="3">
        <v>11634</v>
      </c>
      <c r="G88" s="3">
        <v>9556</v>
      </c>
      <c r="H88" s="3">
        <v>5245</v>
      </c>
      <c r="I88" s="25">
        <f>I$3*I122</f>
        <v>9099.6463565526319</v>
      </c>
      <c r="J88" s="25">
        <f>J3*J122</f>
        <v>12477.98697164576</v>
      </c>
      <c r="K88" s="25">
        <f>K3*K122</f>
        <v>15506.969106646504</v>
      </c>
      <c r="L88" s="25">
        <f>L3*L122</f>
        <v>17786.307362451946</v>
      </c>
      <c r="M88" s="25">
        <f>M3*M122</f>
        <v>18942.480688938107</v>
      </c>
    </row>
    <row r="89" spans="2:13" x14ac:dyDescent="0.2">
      <c r="B89" s="26" t="s">
        <v>93</v>
      </c>
      <c r="C89" s="3">
        <v>851.79</v>
      </c>
      <c r="D89" s="5">
        <v>1177.799</v>
      </c>
      <c r="E89" s="5">
        <v>990.87299999999993</v>
      </c>
      <c r="F89" s="3">
        <v>1207</v>
      </c>
      <c r="G89" s="3">
        <v>1284</v>
      </c>
      <c r="H89" s="3">
        <v>2052</v>
      </c>
      <c r="I89" s="25">
        <f>I$3*I123</f>
        <v>4064.7567830445064</v>
      </c>
      <c r="J89" s="25">
        <f>J$3*J123</f>
        <v>5573.8410257245605</v>
      </c>
      <c r="K89" s="25">
        <f>K$3*K123</f>
        <v>6926.8689563208973</v>
      </c>
      <c r="L89" s="25">
        <f>L$3*L123</f>
        <v>7945.0355172077752</v>
      </c>
      <c r="M89" s="25">
        <f>M$3*M123</f>
        <v>8461.4911229605877</v>
      </c>
    </row>
    <row r="90" spans="2:13" x14ac:dyDescent="0.2">
      <c r="B90" s="26" t="s">
        <v>94</v>
      </c>
      <c r="C90" s="3">
        <v>2210.4229999999998</v>
      </c>
      <c r="D90" s="5">
        <v>2309.2220000000002</v>
      </c>
      <c r="E90" s="5">
        <v>328.92600000000004</v>
      </c>
      <c r="F90" s="3">
        <v>36</v>
      </c>
      <c r="G90" s="3"/>
      <c r="H90" s="3"/>
      <c r="I90" s="25"/>
      <c r="J90" s="25"/>
      <c r="K90" s="25"/>
      <c r="L90" s="25"/>
      <c r="M90" s="25"/>
    </row>
    <row r="91" spans="2:13" x14ac:dyDescent="0.2">
      <c r="B91" s="26" t="s">
        <v>95</v>
      </c>
      <c r="C91" s="4">
        <v>1891.4490000000001</v>
      </c>
      <c r="D91" s="4">
        <v>2442.9700000000003</v>
      </c>
      <c r="E91" s="4">
        <v>2710.4029999999998</v>
      </c>
      <c r="F91" s="4">
        <v>2655</v>
      </c>
      <c r="G91" s="4">
        <v>3330</v>
      </c>
      <c r="H91" s="4">
        <v>3546</v>
      </c>
      <c r="I91" s="15">
        <f>I$3*I125</f>
        <v>6152.0202059743815</v>
      </c>
      <c r="J91" s="15">
        <f>J$3*J125</f>
        <v>8436.0232223938729</v>
      </c>
      <c r="K91" s="15">
        <f>K$3*K125</f>
        <v>10483.834595265682</v>
      </c>
      <c r="L91" s="15">
        <f>L$3*L125</f>
        <v>12024.83239413815</v>
      </c>
      <c r="M91" s="15">
        <f>M$3*M125</f>
        <v>12806.489327545189</v>
      </c>
    </row>
    <row r="92" spans="2:13" ht="17" thickBot="1" x14ac:dyDescent="0.25">
      <c r="B92" s="14" t="s">
        <v>117</v>
      </c>
      <c r="C92" s="28"/>
      <c r="D92" s="28"/>
      <c r="E92" s="28">
        <f>SUM(E88:E91)</f>
        <v>13433.874</v>
      </c>
      <c r="F92" s="28">
        <f t="shared" ref="F92:M92" si="43">SUM(F88:F91)</f>
        <v>15532</v>
      </c>
      <c r="G92" s="28">
        <f t="shared" si="43"/>
        <v>14170</v>
      </c>
      <c r="H92" s="28">
        <f t="shared" si="43"/>
        <v>10843</v>
      </c>
      <c r="I92" s="28">
        <f t="shared" si="43"/>
        <v>19316.423345571518</v>
      </c>
      <c r="J92" s="28">
        <f t="shared" si="43"/>
        <v>26487.851219764194</v>
      </c>
      <c r="K92" s="28">
        <f t="shared" si="43"/>
        <v>32917.672658233081</v>
      </c>
      <c r="L92" s="28">
        <f t="shared" si="43"/>
        <v>37756.175273797868</v>
      </c>
      <c r="M92" s="28">
        <f t="shared" si="43"/>
        <v>40210.461139443883</v>
      </c>
    </row>
    <row r="93" spans="2:13" ht="17" thickTop="1" x14ac:dyDescent="0.2">
      <c r="B93" s="13" t="s">
        <v>96</v>
      </c>
      <c r="C93" s="107">
        <v>16750.167000000001</v>
      </c>
      <c r="D93" s="108">
        <v>23022.98</v>
      </c>
      <c r="E93" s="108">
        <v>23426.01</v>
      </c>
      <c r="F93" s="107">
        <v>26199</v>
      </c>
      <c r="G93" s="107">
        <v>28418</v>
      </c>
      <c r="H93" s="107">
        <v>30548</v>
      </c>
      <c r="I93" s="53">
        <f>I92+I86</f>
        <v>54563.762679496198</v>
      </c>
      <c r="J93" s="53">
        <f t="shared" ref="J93:M93" si="44">J92+J86</f>
        <v>74821.140642289844</v>
      </c>
      <c r="K93" s="53">
        <f t="shared" si="44"/>
        <v>92983.677503472558</v>
      </c>
      <c r="L93" s="53">
        <f t="shared" si="44"/>
        <v>106651.16157734615</v>
      </c>
      <c r="M93" s="53">
        <f t="shared" si="44"/>
        <v>113583.86692993682</v>
      </c>
    </row>
    <row r="94" spans="2:13" x14ac:dyDescent="0.2">
      <c r="B94" s="13"/>
      <c r="C94" s="107"/>
      <c r="D94" s="108"/>
      <c r="E94" s="108"/>
      <c r="F94" s="107"/>
      <c r="G94" s="107"/>
      <c r="H94" s="107"/>
      <c r="I94" s="53"/>
      <c r="J94" s="25"/>
      <c r="K94" s="25"/>
      <c r="L94" s="25"/>
      <c r="M94" s="53"/>
    </row>
    <row r="95" spans="2:13" x14ac:dyDescent="0.2">
      <c r="B95" s="14" t="s">
        <v>97</v>
      </c>
      <c r="C95" s="107"/>
      <c r="D95" s="108"/>
      <c r="E95" s="108"/>
      <c r="F95" s="107"/>
      <c r="G95" s="107"/>
      <c r="H95" s="107"/>
      <c r="I95" s="53"/>
      <c r="J95" s="25"/>
      <c r="K95" s="25"/>
      <c r="L95" s="25"/>
      <c r="M95" s="53"/>
    </row>
    <row r="96" spans="2:13" x14ac:dyDescent="0.2">
      <c r="B96" s="26" t="s">
        <v>98</v>
      </c>
      <c r="C96" s="3">
        <v>0.161</v>
      </c>
      <c r="D96" s="5">
        <v>0.16899999999999998</v>
      </c>
      <c r="E96" s="175">
        <v>0.17299999999999999</v>
      </c>
      <c r="F96" s="176"/>
      <c r="G96" s="176">
        <v>1</v>
      </c>
      <c r="H96" s="176">
        <v>1</v>
      </c>
      <c r="I96" s="190">
        <v>1</v>
      </c>
      <c r="J96" s="190">
        <v>1</v>
      </c>
      <c r="K96" s="190">
        <v>1</v>
      </c>
      <c r="L96" s="190">
        <v>1</v>
      </c>
      <c r="M96" s="190">
        <v>1</v>
      </c>
    </row>
    <row r="97" spans="1:14" x14ac:dyDescent="0.2">
      <c r="B97" s="26" t="s">
        <v>99</v>
      </c>
      <c r="C97" s="1">
        <v>-7773.7270000000008</v>
      </c>
      <c r="D97" s="8">
        <v>9178.0240000000013</v>
      </c>
      <c r="E97" s="8">
        <v>10249.119999999999</v>
      </c>
      <c r="F97" s="1">
        <v>12737</v>
      </c>
      <c r="G97" s="1">
        <v>27260</v>
      </c>
      <c r="H97" s="1">
        <v>29803</v>
      </c>
      <c r="I97" s="25">
        <f>H97</f>
        <v>29803</v>
      </c>
      <c r="J97" s="25">
        <f t="shared" ref="J97:M97" si="45">I97</f>
        <v>29803</v>
      </c>
      <c r="K97" s="25">
        <f t="shared" si="45"/>
        <v>29803</v>
      </c>
      <c r="L97" s="25">
        <f t="shared" si="45"/>
        <v>29803</v>
      </c>
      <c r="M97" s="25">
        <f t="shared" si="45"/>
        <v>29803</v>
      </c>
    </row>
    <row r="98" spans="1:14" x14ac:dyDescent="0.2">
      <c r="B98" s="26" t="s">
        <v>100</v>
      </c>
      <c r="C98" s="1">
        <v>-23.740000000000002</v>
      </c>
      <c r="D98" s="8">
        <v>33.347999999999999</v>
      </c>
      <c r="E98" s="8">
        <v>-8.218</v>
      </c>
      <c r="F98" s="1">
        <v>-36</v>
      </c>
      <c r="G98" s="1">
        <v>363</v>
      </c>
      <c r="H98" s="1">
        <v>54</v>
      </c>
      <c r="I98" s="1">
        <v>54</v>
      </c>
      <c r="J98" s="1">
        <v>54</v>
      </c>
      <c r="K98" s="1">
        <v>54</v>
      </c>
      <c r="L98" s="1">
        <v>54</v>
      </c>
      <c r="M98" s="1">
        <v>54</v>
      </c>
    </row>
    <row r="99" spans="1:14" x14ac:dyDescent="0.2">
      <c r="B99" s="26" t="s">
        <v>101</v>
      </c>
      <c r="C99" s="2">
        <v>-2997.2370000000001</v>
      </c>
      <c r="D99" s="2">
        <v>-4974.299</v>
      </c>
      <c r="E99" s="2">
        <v>-5317.8320000000003</v>
      </c>
      <c r="F99" s="2">
        <v>-6083</v>
      </c>
      <c r="G99" s="2">
        <v>-5399</v>
      </c>
      <c r="H99" s="2">
        <v>331</v>
      </c>
      <c r="I99" s="15">
        <f>H99+I18</f>
        <v>5265.4655430738294</v>
      </c>
      <c r="J99" s="15">
        <f>I99+J18</f>
        <v>12041.551812906637</v>
      </c>
      <c r="K99" s="15">
        <f>J99+K18</f>
        <v>20460.813300727685</v>
      </c>
      <c r="L99" s="15">
        <f>K99+L18</f>
        <v>30169.187734688581</v>
      </c>
      <c r="M99" s="15">
        <f>L99+M18</f>
        <v>40464.81185363741</v>
      </c>
    </row>
    <row r="100" spans="1:14" ht="17" thickBot="1" x14ac:dyDescent="0.25">
      <c r="B100" s="13" t="s">
        <v>102</v>
      </c>
      <c r="C100" s="109">
        <v>4752.9110000000001</v>
      </c>
      <c r="D100" s="109">
        <v>4237.2420000000002</v>
      </c>
      <c r="E100" s="109">
        <v>4923.2430000000004</v>
      </c>
      <c r="F100" s="109">
        <v>6618</v>
      </c>
      <c r="G100" s="109">
        <v>22225</v>
      </c>
      <c r="H100" s="109">
        <v>30189</v>
      </c>
      <c r="I100" s="110">
        <f>SUM(I96:I99)</f>
        <v>35123.465543073828</v>
      </c>
      <c r="J100" s="110">
        <f t="shared" ref="J100:M100" si="46">SUM(J96:J99)</f>
        <v>41899.551812906633</v>
      </c>
      <c r="K100" s="110">
        <f t="shared" si="46"/>
        <v>50318.813300727685</v>
      </c>
      <c r="L100" s="110">
        <f t="shared" si="46"/>
        <v>60027.187734688581</v>
      </c>
      <c r="M100" s="110">
        <f t="shared" si="46"/>
        <v>70322.81185363741</v>
      </c>
    </row>
    <row r="101" spans="1:14" ht="17" thickTop="1" x14ac:dyDescent="0.2">
      <c r="B101" s="13" t="s">
        <v>103</v>
      </c>
      <c r="C101" s="69">
        <v>22664.076000000001</v>
      </c>
      <c r="D101" s="68">
        <v>28655.371999999996</v>
      </c>
      <c r="E101" s="68">
        <v>29739.614000000001</v>
      </c>
      <c r="F101" s="69">
        <v>34309</v>
      </c>
      <c r="G101" s="69">
        <v>52148</v>
      </c>
      <c r="H101" s="69">
        <v>62131</v>
      </c>
      <c r="I101" s="53">
        <f>I93+I100</f>
        <v>89687.228222570033</v>
      </c>
      <c r="J101" s="53">
        <f t="shared" ref="J101:M101" si="47">J93+J100</f>
        <v>116720.69245519648</v>
      </c>
      <c r="K101" s="53">
        <f t="shared" si="47"/>
        <v>143302.49080420024</v>
      </c>
      <c r="L101" s="53">
        <f t="shared" si="47"/>
        <v>166678.34931203473</v>
      </c>
      <c r="M101" s="53">
        <f t="shared" si="47"/>
        <v>183906.67878357423</v>
      </c>
    </row>
    <row r="102" spans="1:14" hidden="1" x14ac:dyDescent="0.2">
      <c r="B102" s="13"/>
      <c r="C102" s="69"/>
      <c r="D102" s="68"/>
      <c r="E102" s="68">
        <f>E100+E93</f>
        <v>28349.252999999997</v>
      </c>
      <c r="F102" s="69">
        <f t="shared" ref="F102:H102" si="48">F100+F93</f>
        <v>32817</v>
      </c>
      <c r="G102" s="69">
        <f t="shared" si="48"/>
        <v>50643</v>
      </c>
      <c r="H102" s="69">
        <f t="shared" si="48"/>
        <v>60737</v>
      </c>
      <c r="I102" s="69"/>
      <c r="J102" s="69"/>
      <c r="K102" s="69"/>
      <c r="L102" s="69"/>
      <c r="M102" s="69"/>
    </row>
    <row r="103" spans="1:14" x14ac:dyDescent="0.2">
      <c r="B103" s="13"/>
      <c r="C103" s="69"/>
      <c r="D103" s="68"/>
      <c r="E103" s="68"/>
      <c r="F103" s="69"/>
      <c r="G103" s="69"/>
      <c r="H103" s="69"/>
      <c r="I103" s="25"/>
      <c r="J103" s="25"/>
      <c r="K103" s="25"/>
      <c r="L103" s="25"/>
      <c r="M103" s="25"/>
    </row>
    <row r="104" spans="1:14" x14ac:dyDescent="0.2">
      <c r="B104" s="10" t="s">
        <v>115</v>
      </c>
      <c r="C104" s="111"/>
      <c r="D104" s="112"/>
      <c r="E104" s="112"/>
      <c r="F104" s="111"/>
      <c r="G104" s="111"/>
      <c r="H104" s="111"/>
      <c r="I104" s="22"/>
      <c r="J104" s="22"/>
      <c r="K104" s="22"/>
      <c r="L104" s="22"/>
      <c r="M104" s="22"/>
      <c r="N104" s="14" t="s">
        <v>233</v>
      </c>
    </row>
    <row r="105" spans="1:14" x14ac:dyDescent="0.2">
      <c r="B105" s="20" t="s">
        <v>104</v>
      </c>
      <c r="C105" s="113"/>
      <c r="D105" s="114">
        <f>[1]income!C54/((C61+D61)/2)</f>
        <v>3.7424011767971128E-3</v>
      </c>
      <c r="E105" s="114">
        <f t="shared" ref="E105:H106" si="49">E61/(E$3/365)</f>
        <v>16.140380428593499</v>
      </c>
      <c r="F105" s="113">
        <f t="shared" si="49"/>
        <v>19.662299617544146</v>
      </c>
      <c r="G105" s="113">
        <f t="shared" si="49"/>
        <v>21.828703703703702</v>
      </c>
      <c r="H105" s="113">
        <f t="shared" si="49"/>
        <v>12.972985526633595</v>
      </c>
      <c r="I105" s="6">
        <f>AVERAGE(E105:H105)</f>
        <v>17.651092319118735</v>
      </c>
      <c r="J105" s="115">
        <f t="shared" ref="J105:M107" si="50">I105</f>
        <v>17.651092319118735</v>
      </c>
      <c r="K105" s="115">
        <f t="shared" si="50"/>
        <v>17.651092319118735</v>
      </c>
      <c r="L105" s="115">
        <f t="shared" si="50"/>
        <v>17.651092319118735</v>
      </c>
      <c r="M105" s="115">
        <f t="shared" si="50"/>
        <v>17.651092319118735</v>
      </c>
      <c r="N105" s="105">
        <f>AVERAGE(E105:H105)</f>
        <v>17.651092319118735</v>
      </c>
    </row>
    <row r="106" spans="1:14" x14ac:dyDescent="0.2">
      <c r="B106" s="20" t="s">
        <v>105</v>
      </c>
      <c r="C106" s="113"/>
      <c r="D106" s="114">
        <f>[1]income!C60/((C62+D62)/2)</f>
        <v>0</v>
      </c>
      <c r="E106" s="114">
        <f t="shared" si="49"/>
        <v>52.951567912949038</v>
      </c>
      <c r="F106" s="113">
        <f t="shared" si="49"/>
        <v>52.749613475465864</v>
      </c>
      <c r="G106" s="113">
        <f t="shared" si="49"/>
        <v>47.465277777777771</v>
      </c>
      <c r="H106" s="113">
        <f t="shared" si="49"/>
        <v>39.041023354328075</v>
      </c>
      <c r="I106" s="6">
        <f>AVERAGE(E106:H106)</f>
        <v>48.051870630130189</v>
      </c>
      <c r="J106" s="115">
        <f t="shared" si="50"/>
        <v>48.051870630130189</v>
      </c>
      <c r="K106" s="115">
        <f t="shared" si="50"/>
        <v>48.051870630130189</v>
      </c>
      <c r="L106" s="115">
        <f t="shared" si="50"/>
        <v>48.051870630130189</v>
      </c>
      <c r="M106" s="115">
        <f t="shared" si="50"/>
        <v>48.051870630130189</v>
      </c>
      <c r="N106" s="105">
        <f>AVERAGE(E106:H106)</f>
        <v>48.051870630130189</v>
      </c>
    </row>
    <row r="107" spans="1:14" x14ac:dyDescent="0.2">
      <c r="B107" s="20" t="s">
        <v>106</v>
      </c>
      <c r="C107" s="116">
        <f>C63/[1]income!B$2</f>
        <v>2.7780190430694733E-2</v>
      </c>
      <c r="D107" s="117">
        <f>D63/[1]income!C$2</f>
        <v>2.2822576989681983E-2</v>
      </c>
      <c r="E107" s="117">
        <f>E63/E3</f>
        <v>1.7038648415368559E-2</v>
      </c>
      <c r="F107" s="116">
        <f>F63/F3</f>
        <v>2.9009683456749938E-2</v>
      </c>
      <c r="G107" s="116">
        <f>G63/G3</f>
        <v>4.2681380010147131E-2</v>
      </c>
      <c r="H107" s="116">
        <f>H63/H3</f>
        <v>3.2012336733366779E-2</v>
      </c>
      <c r="I107" s="7">
        <f t="shared" ref="I107" si="51">AVERAGE(E107:H107)</f>
        <v>3.0185512153908106E-2</v>
      </c>
      <c r="J107" s="118">
        <f t="shared" si="50"/>
        <v>3.0185512153908106E-2</v>
      </c>
      <c r="K107" s="118">
        <f t="shared" si="50"/>
        <v>3.0185512153908106E-2</v>
      </c>
      <c r="L107" s="118">
        <f t="shared" si="50"/>
        <v>3.0185512153908106E-2</v>
      </c>
      <c r="M107" s="118">
        <f t="shared" si="50"/>
        <v>3.0185512153908106E-2</v>
      </c>
      <c r="N107" s="188">
        <f>AVERAGE(E107:H107)</f>
        <v>3.0185512153908106E-2</v>
      </c>
    </row>
    <row r="108" spans="1:14" x14ac:dyDescent="0.2">
      <c r="A108" s="10"/>
      <c r="B108" s="20" t="s">
        <v>114</v>
      </c>
      <c r="C108" s="10"/>
      <c r="D108" s="29"/>
      <c r="E108" s="31">
        <f t="shared" ref="E108:H111" si="52">E66/E$3</f>
        <v>9.7373463674187394E-2</v>
      </c>
      <c r="F108" s="12">
        <f t="shared" si="52"/>
        <v>9.9560582634876715E-2</v>
      </c>
      <c r="G108" s="12">
        <f t="shared" si="52"/>
        <v>9.8014967021816335E-2</v>
      </c>
      <c r="H108" s="12">
        <f t="shared" si="52"/>
        <v>8.3811753339650338E-2</v>
      </c>
      <c r="I108" s="21">
        <f t="shared" ref="I108:M113" si="53">AVERAGE($E108:$H108)</f>
        <v>9.4690191667632692E-2</v>
      </c>
      <c r="J108" s="21">
        <f t="shared" si="53"/>
        <v>9.4690191667632692E-2</v>
      </c>
      <c r="K108" s="21">
        <f t="shared" si="53"/>
        <v>9.4690191667632692E-2</v>
      </c>
      <c r="L108" s="21">
        <f t="shared" si="53"/>
        <v>9.4690191667632692E-2</v>
      </c>
      <c r="M108" s="21">
        <f t="shared" si="53"/>
        <v>9.4690191667632692E-2</v>
      </c>
      <c r="N108" s="188">
        <f t="shared" ref="N108:N113" si="54">AVERAGE(E108:H108)</f>
        <v>9.4690191667632692E-2</v>
      </c>
    </row>
    <row r="109" spans="1:14" x14ac:dyDescent="0.2">
      <c r="A109" s="10"/>
      <c r="B109" s="20" t="s">
        <v>72</v>
      </c>
      <c r="C109" s="10"/>
      <c r="D109" s="29"/>
      <c r="E109" s="31">
        <f t="shared" si="52"/>
        <v>0.29221926682058114</v>
      </c>
      <c r="F109" s="12">
        <f t="shared" si="52"/>
        <v>0.24973553584506469</v>
      </c>
      <c r="G109" s="12">
        <f t="shared" si="52"/>
        <v>0.18959284627092846</v>
      </c>
      <c r="H109" s="12">
        <f t="shared" si="52"/>
        <v>0.10711034316184531</v>
      </c>
      <c r="I109" s="21">
        <f>AVERAGE($G109:$H109)</f>
        <v>0.14835159471638687</v>
      </c>
      <c r="J109" s="21">
        <f t="shared" ref="J109:M109" si="55">AVERAGE($G109:$H109)</f>
        <v>0.14835159471638687</v>
      </c>
      <c r="K109" s="21">
        <f t="shared" si="55"/>
        <v>0.14835159471638687</v>
      </c>
      <c r="L109" s="21">
        <f t="shared" si="55"/>
        <v>0.14835159471638687</v>
      </c>
      <c r="M109" s="21">
        <f t="shared" si="55"/>
        <v>0.14835159471638687</v>
      </c>
      <c r="N109" s="188">
        <f t="shared" si="54"/>
        <v>0.20966449802460488</v>
      </c>
    </row>
    <row r="110" spans="1:14" x14ac:dyDescent="0.2">
      <c r="A110" s="10"/>
      <c r="B110" s="20" t="s">
        <v>113</v>
      </c>
      <c r="C110" s="10"/>
      <c r="D110" s="29"/>
      <c r="E110" s="31">
        <f>E68/E$3</f>
        <v>0.52793138783784821</v>
      </c>
      <c r="F110" s="12">
        <f t="shared" si="52"/>
        <v>0.42297990072422492</v>
      </c>
      <c r="G110" s="12">
        <f t="shared" si="52"/>
        <v>0.40420471841704719</v>
      </c>
      <c r="H110" s="12">
        <f>H68/H$3</f>
        <v>0.35085372424428218</v>
      </c>
      <c r="I110" s="21">
        <f>AVERAGE($F110:$H110)</f>
        <v>0.39267944779518477</v>
      </c>
      <c r="J110" s="21">
        <f t="shared" ref="J110" si="56">AVERAGE($F110:$H110)</f>
        <v>0.39267944779518477</v>
      </c>
      <c r="K110" s="21">
        <f t="shared" ref="K110:M110" si="57">AVERAGE($F110:$H110)</f>
        <v>0.39267944779518477</v>
      </c>
      <c r="L110" s="21">
        <f t="shared" si="57"/>
        <v>0.39267944779518477</v>
      </c>
      <c r="M110" s="21">
        <f t="shared" si="57"/>
        <v>0.39267944779518477</v>
      </c>
      <c r="N110" s="188">
        <f t="shared" si="54"/>
        <v>0.42649243280585064</v>
      </c>
    </row>
    <row r="111" spans="1:14" x14ac:dyDescent="0.2">
      <c r="A111" s="10"/>
      <c r="B111" s="20" t="s">
        <v>74</v>
      </c>
      <c r="C111" s="10"/>
      <c r="D111" s="29"/>
      <c r="E111" s="31">
        <f t="shared" si="52"/>
        <v>1.3162875557958646E-2</v>
      </c>
      <c r="F111" s="12">
        <f t="shared" si="52"/>
        <v>4.9556513955570022E-2</v>
      </c>
      <c r="G111" s="12">
        <f t="shared" si="52"/>
        <v>4.9403855910705223E-2</v>
      </c>
      <c r="H111" s="12">
        <f t="shared" si="52"/>
        <v>3.745610612563402E-2</v>
      </c>
      <c r="I111" s="21">
        <f t="shared" si="53"/>
        <v>3.7394837887466975E-2</v>
      </c>
      <c r="J111" s="21">
        <f t="shared" si="53"/>
        <v>3.7394837887466975E-2</v>
      </c>
      <c r="K111" s="21">
        <f t="shared" si="53"/>
        <v>3.7394837887466975E-2</v>
      </c>
      <c r="L111" s="21">
        <f t="shared" si="53"/>
        <v>3.7394837887466975E-2</v>
      </c>
      <c r="M111" s="21">
        <f t="shared" si="53"/>
        <v>3.7394837887466975E-2</v>
      </c>
      <c r="N111" s="188">
        <f t="shared" si="54"/>
        <v>3.7394837887466975E-2</v>
      </c>
    </row>
    <row r="112" spans="1:14" x14ac:dyDescent="0.2">
      <c r="A112" s="10"/>
      <c r="B112" s="20" t="s">
        <v>77</v>
      </c>
      <c r="C112" s="10"/>
      <c r="D112" s="29"/>
      <c r="E112" s="31">
        <f>E72/E$3</f>
        <v>1.8555241004399179E-2</v>
      </c>
      <c r="F112" s="12">
        <f>F72/F$3</f>
        <v>8.0559850272601506E-3</v>
      </c>
      <c r="G112" s="12">
        <f>G72/G$3</f>
        <v>6.563926940639269E-3</v>
      </c>
      <c r="H112" s="12">
        <f>H72/H$3</f>
        <v>3.7158835442097243E-3</v>
      </c>
      <c r="I112" s="21">
        <f t="shared" si="53"/>
        <v>9.2227591291270811E-3</v>
      </c>
      <c r="J112" s="21">
        <f t="shared" si="53"/>
        <v>9.2227591291270811E-3</v>
      </c>
      <c r="K112" s="21">
        <f t="shared" si="53"/>
        <v>9.2227591291270811E-3</v>
      </c>
      <c r="L112" s="21">
        <f t="shared" si="53"/>
        <v>9.2227591291270811E-3</v>
      </c>
      <c r="M112" s="21">
        <f t="shared" si="53"/>
        <v>9.2227591291270811E-3</v>
      </c>
      <c r="N112" s="188">
        <f t="shared" si="54"/>
        <v>9.2227591291270811E-3</v>
      </c>
    </row>
    <row r="113" spans="1:14" x14ac:dyDescent="0.2">
      <c r="A113" s="10"/>
      <c r="B113" s="20" t="s">
        <v>80</v>
      </c>
      <c r="C113" s="10"/>
      <c r="D113" s="29"/>
      <c r="E113" s="32">
        <f>E75/E3</f>
        <v>2.663668334974429E-2</v>
      </c>
      <c r="F113" s="11">
        <f>F75/F3</f>
        <v>3.287492879811213E-2</v>
      </c>
      <c r="G113" s="11">
        <f>G75/G3</f>
        <v>4.8706240487062402E-2</v>
      </c>
      <c r="H113" s="11">
        <f>H75/H3</f>
        <v>3.9722795087601952E-2</v>
      </c>
      <c r="I113" s="21">
        <f t="shared" si="53"/>
        <v>3.6985161930630193E-2</v>
      </c>
      <c r="J113" s="21">
        <f t="shared" si="53"/>
        <v>3.6985161930630193E-2</v>
      </c>
      <c r="K113" s="21">
        <f t="shared" si="53"/>
        <v>3.6985161930630193E-2</v>
      </c>
      <c r="L113" s="21">
        <f t="shared" si="53"/>
        <v>3.6985161930630193E-2</v>
      </c>
      <c r="M113" s="21">
        <f t="shared" si="53"/>
        <v>3.6985161930630193E-2</v>
      </c>
      <c r="N113" s="188">
        <f t="shared" si="54"/>
        <v>3.6985161930630193E-2</v>
      </c>
    </row>
    <row r="114" spans="1:14" x14ac:dyDescent="0.2">
      <c r="A114" s="10"/>
      <c r="B114" s="20"/>
      <c r="C114" s="10"/>
      <c r="D114" s="29"/>
      <c r="E114" s="32"/>
      <c r="F114" s="11"/>
      <c r="G114" s="11"/>
      <c r="H114" s="11"/>
      <c r="I114" s="21"/>
      <c r="J114" s="21"/>
      <c r="K114" s="21"/>
      <c r="L114" s="21"/>
      <c r="M114" s="21"/>
      <c r="N114" s="10"/>
    </row>
    <row r="115" spans="1:14" x14ac:dyDescent="0.2">
      <c r="B115" s="10" t="s">
        <v>116</v>
      </c>
      <c r="C115" s="10"/>
      <c r="D115" s="29"/>
      <c r="E115" s="29"/>
      <c r="F115" s="10"/>
      <c r="G115" s="10"/>
      <c r="H115" s="10"/>
      <c r="I115" s="24"/>
      <c r="J115" s="24"/>
      <c r="K115" s="24"/>
      <c r="L115" s="24"/>
      <c r="M115" s="24"/>
    </row>
    <row r="116" spans="1:14" x14ac:dyDescent="0.2">
      <c r="B116" s="20" t="s">
        <v>107</v>
      </c>
      <c r="C116" s="119">
        <v>1860.3409999999999</v>
      </c>
      <c r="D116" s="120">
        <v>2390.25</v>
      </c>
      <c r="E116" s="121">
        <f>E80/(E3/365)</f>
        <v>57.900801341281422</v>
      </c>
      <c r="F116" s="122">
        <f>F80/F3*365</f>
        <v>56.001912279274144</v>
      </c>
      <c r="G116" s="122">
        <f>G80/G3*365</f>
        <v>70.034722222222214</v>
      </c>
      <c r="H116" s="122">
        <f>H80/H3*365</f>
        <v>67.984411868532035</v>
      </c>
      <c r="I116" s="123">
        <f>AVERAGE(E116:H116)</f>
        <v>62.980461927827463</v>
      </c>
      <c r="J116" s="123">
        <f t="shared" ref="J116:J120" si="58">I116</f>
        <v>62.980461927827463</v>
      </c>
      <c r="K116" s="123">
        <f t="shared" ref="K116:M116" si="59">J116</f>
        <v>62.980461927827463</v>
      </c>
      <c r="L116" s="123">
        <f t="shared" si="59"/>
        <v>62.980461927827463</v>
      </c>
      <c r="M116" s="123">
        <f t="shared" si="59"/>
        <v>62.980461927827463</v>
      </c>
      <c r="N116" s="105">
        <f>AVERAGE(E116:H116)</f>
        <v>62.980461927827463</v>
      </c>
    </row>
    <row r="117" spans="1:14" x14ac:dyDescent="0.2">
      <c r="B117" s="20" t="s">
        <v>108</v>
      </c>
      <c r="C117" s="119">
        <v>1210.028</v>
      </c>
      <c r="D117" s="120">
        <v>1731.366</v>
      </c>
      <c r="E117" s="117">
        <f t="shared" ref="E117:H118" si="60">E81/E$3</f>
        <v>9.7582910758115496E-2</v>
      </c>
      <c r="F117" s="116">
        <f t="shared" si="60"/>
        <v>0.11819513385954919</v>
      </c>
      <c r="G117" s="116">
        <f t="shared" si="60"/>
        <v>0.12224124809741248</v>
      </c>
      <c r="H117" s="116">
        <f t="shared" si="60"/>
        <v>0.10625568994667707</v>
      </c>
      <c r="I117" s="7">
        <f t="shared" ref="I117" si="61">AVERAGE(E117:H117)</f>
        <v>0.11106874566543856</v>
      </c>
      <c r="J117" s="118">
        <f t="shared" si="58"/>
        <v>0.11106874566543856</v>
      </c>
      <c r="K117" s="118">
        <f t="shared" ref="K117:M120" si="62">J117</f>
        <v>0.11106874566543856</v>
      </c>
      <c r="L117" s="118">
        <f t="shared" si="62"/>
        <v>0.11106874566543856</v>
      </c>
      <c r="M117" s="118">
        <f t="shared" si="62"/>
        <v>0.11106874566543856</v>
      </c>
      <c r="N117" s="188">
        <f>AVERAGE(E117:H117)</f>
        <v>0.11106874566543856</v>
      </c>
    </row>
    <row r="118" spans="1:14" x14ac:dyDescent="0.2">
      <c r="B118" s="20" t="s">
        <v>109</v>
      </c>
      <c r="C118" s="119">
        <v>763.12599999999998</v>
      </c>
      <c r="D118" s="120">
        <v>1015.253</v>
      </c>
      <c r="E118" s="117">
        <f t="shared" si="60"/>
        <v>2.9368814554666577E-2</v>
      </c>
      <c r="F118" s="116">
        <f t="shared" si="60"/>
        <v>4.7318740336886649E-2</v>
      </c>
      <c r="G118" s="116">
        <f t="shared" si="60"/>
        <v>4.6232876712328765E-2</v>
      </c>
      <c r="H118" s="116">
        <f t="shared" si="60"/>
        <v>2.6884417442357356E-2</v>
      </c>
      <c r="I118" s="7">
        <f>AVERAGE(E118:H118)</f>
        <v>3.7451212261559841E-2</v>
      </c>
      <c r="J118" s="118">
        <f t="shared" si="58"/>
        <v>3.7451212261559841E-2</v>
      </c>
      <c r="K118" s="118">
        <f t="shared" si="62"/>
        <v>3.7451212261559841E-2</v>
      </c>
      <c r="L118" s="118">
        <f t="shared" si="62"/>
        <v>3.7451212261559841E-2</v>
      </c>
      <c r="M118" s="118">
        <f t="shared" si="62"/>
        <v>3.7451212261559841E-2</v>
      </c>
      <c r="N118" s="188">
        <f t="shared" ref="N118:N125" si="63">AVERAGE(E118:H118)</f>
        <v>3.7451212261559841E-2</v>
      </c>
    </row>
    <row r="119" spans="1:14" x14ac:dyDescent="0.2">
      <c r="B119" s="20" t="s">
        <v>110</v>
      </c>
      <c r="C119" s="119">
        <v>179.50399999999999</v>
      </c>
      <c r="D119" s="120">
        <v>787.33299999999997</v>
      </c>
      <c r="E119" s="117">
        <f t="shared" ref="E119:F121" si="64">E83/E$3</f>
        <v>2.3430116058380145E-2</v>
      </c>
      <c r="F119" s="116">
        <f t="shared" si="64"/>
        <v>1.2897713402229637E-2</v>
      </c>
      <c r="G119" s="116"/>
      <c r="H119" s="116"/>
      <c r="I119" s="7">
        <f>AVERAGE(E119:H119)</f>
        <v>1.8163914730304889E-2</v>
      </c>
      <c r="J119" s="118">
        <f t="shared" si="58"/>
        <v>1.8163914730304889E-2</v>
      </c>
      <c r="K119" s="118">
        <f t="shared" si="62"/>
        <v>1.8163914730304889E-2</v>
      </c>
      <c r="L119" s="118">
        <f t="shared" si="62"/>
        <v>1.8163914730304889E-2</v>
      </c>
      <c r="M119" s="118">
        <f t="shared" si="62"/>
        <v>1.8163914730304889E-2</v>
      </c>
      <c r="N119" s="188">
        <f t="shared" si="63"/>
        <v>1.8163914730304889E-2</v>
      </c>
    </row>
    <row r="120" spans="1:14" x14ac:dyDescent="0.2">
      <c r="B120" s="20" t="s">
        <v>111</v>
      </c>
      <c r="C120" s="119">
        <v>663.85900000000004</v>
      </c>
      <c r="D120" s="120">
        <v>853.9190000000001</v>
      </c>
      <c r="E120" s="117">
        <f t="shared" si="64"/>
        <v>3.6931694809458605E-2</v>
      </c>
      <c r="F120" s="116">
        <f t="shared" si="64"/>
        <v>2.9538611766620555E-2</v>
      </c>
      <c r="G120" s="116">
        <f>G84/G$3</f>
        <v>2.3845763571790968E-2</v>
      </c>
      <c r="H120" s="116">
        <f>H84/H$3</f>
        <v>1.7185961391969977E-2</v>
      </c>
      <c r="I120" s="7">
        <f>AVERAGE(E120:H120)</f>
        <v>2.6875507884960029E-2</v>
      </c>
      <c r="J120" s="118">
        <f t="shared" si="58"/>
        <v>2.6875507884960029E-2</v>
      </c>
      <c r="K120" s="118">
        <f t="shared" si="62"/>
        <v>2.6875507884960029E-2</v>
      </c>
      <c r="L120" s="118">
        <f t="shared" si="62"/>
        <v>2.6875507884960029E-2</v>
      </c>
      <c r="M120" s="118">
        <f t="shared" si="62"/>
        <v>2.6875507884960029E-2</v>
      </c>
      <c r="N120" s="188">
        <f t="shared" si="63"/>
        <v>2.6875507884960029E-2</v>
      </c>
    </row>
    <row r="121" spans="1:14" x14ac:dyDescent="0.2">
      <c r="B121" s="20" t="s">
        <v>89</v>
      </c>
      <c r="C121" s="119">
        <v>984.21100000000001</v>
      </c>
      <c r="D121" s="120">
        <v>796.54899999999998</v>
      </c>
      <c r="E121" s="117">
        <f t="shared" si="64"/>
        <v>0.11964339665298435</v>
      </c>
      <c r="F121" s="116">
        <f t="shared" si="64"/>
        <v>7.2625925624542273E-2</v>
      </c>
      <c r="G121" s="116">
        <f>G85/G$3</f>
        <v>6.7605276509386095E-2</v>
      </c>
      <c r="H121" s="116">
        <f>H85/H$3</f>
        <v>2.9522694758746262E-2</v>
      </c>
      <c r="I121" s="7">
        <f>H121</f>
        <v>2.9522694758746262E-2</v>
      </c>
      <c r="J121" s="7">
        <f t="shared" ref="J121:M121" si="65">AVERAGE(H121:I121)</f>
        <v>2.9522694758746262E-2</v>
      </c>
      <c r="K121" s="7">
        <f t="shared" si="65"/>
        <v>2.9522694758746262E-2</v>
      </c>
      <c r="L121" s="7">
        <f t="shared" si="65"/>
        <v>2.9522694758746262E-2</v>
      </c>
      <c r="M121" s="7">
        <f t="shared" si="65"/>
        <v>2.9522694758746262E-2</v>
      </c>
      <c r="N121" s="188">
        <f t="shared" si="63"/>
        <v>7.2349323386414741E-2</v>
      </c>
    </row>
    <row r="122" spans="1:14" x14ac:dyDescent="0.2">
      <c r="B122" s="20" t="s">
        <v>92</v>
      </c>
      <c r="C122" s="10"/>
      <c r="D122" s="29"/>
      <c r="E122" s="31">
        <f t="shared" ref="E122:H123" si="66">E88/E$3</f>
        <v>0.43816945019278453</v>
      </c>
      <c r="F122" s="12">
        <f t="shared" si="66"/>
        <v>0.47335015054113433</v>
      </c>
      <c r="G122" s="12">
        <f t="shared" si="66"/>
        <v>0.30301877219685441</v>
      </c>
      <c r="H122" s="12">
        <f t="shared" si="66"/>
        <v>9.7449045946900029E-2</v>
      </c>
      <c r="I122" s="21">
        <f>$H$122</f>
        <v>9.7449045946900029E-2</v>
      </c>
      <c r="J122" s="21">
        <f t="shared" ref="J122:M122" si="67">$H$122</f>
        <v>9.7449045946900029E-2</v>
      </c>
      <c r="K122" s="21">
        <f t="shared" si="67"/>
        <v>9.7449045946900029E-2</v>
      </c>
      <c r="L122" s="21">
        <f t="shared" si="67"/>
        <v>9.7449045946900029E-2</v>
      </c>
      <c r="M122" s="21">
        <f t="shared" si="67"/>
        <v>9.7449045946900029E-2</v>
      </c>
      <c r="N122" s="188">
        <f t="shared" si="63"/>
        <v>0.32799685471941831</v>
      </c>
    </row>
    <row r="123" spans="1:14" x14ac:dyDescent="0.2">
      <c r="B123" s="20" t="s">
        <v>93</v>
      </c>
      <c r="C123" s="10"/>
      <c r="D123" s="29"/>
      <c r="E123" s="31">
        <f t="shared" si="66"/>
        <v>4.6170291522383486E-2</v>
      </c>
      <c r="F123" s="12">
        <f t="shared" si="66"/>
        <v>4.9108959231833345E-2</v>
      </c>
      <c r="G123" s="12">
        <f t="shared" si="66"/>
        <v>4.0715372907153727E-2</v>
      </c>
      <c r="H123" s="12">
        <f t="shared" si="66"/>
        <v>3.8124965163591776E-2</v>
      </c>
      <c r="I123" s="21">
        <f t="shared" ref="I123:M123" si="68">AVERAGE($E123:$H123)</f>
        <v>4.3529897206240578E-2</v>
      </c>
      <c r="J123" s="21">
        <f t="shared" si="68"/>
        <v>4.3529897206240578E-2</v>
      </c>
      <c r="K123" s="21">
        <f t="shared" si="68"/>
        <v>4.3529897206240578E-2</v>
      </c>
      <c r="L123" s="21">
        <f t="shared" si="68"/>
        <v>4.3529897206240578E-2</v>
      </c>
      <c r="M123" s="21">
        <f t="shared" si="68"/>
        <v>4.3529897206240578E-2</v>
      </c>
      <c r="N123" s="188">
        <f t="shared" si="63"/>
        <v>4.3529897206240578E-2</v>
      </c>
    </row>
    <row r="124" spans="1:14" x14ac:dyDescent="0.2">
      <c r="B124" s="20" t="s">
        <v>94</v>
      </c>
      <c r="C124" s="10"/>
      <c r="D124" s="29"/>
      <c r="E124" s="31">
        <f>E90/E$3</f>
        <v>1.532649422205622E-2</v>
      </c>
      <c r="F124" s="12">
        <f>F90/F$3</f>
        <v>1.4647245504109366E-3</v>
      </c>
      <c r="G124" s="12"/>
      <c r="H124" s="12"/>
      <c r="I124" s="21"/>
      <c r="J124" s="21"/>
      <c r="K124" s="21"/>
      <c r="L124" s="21"/>
      <c r="M124" s="21"/>
      <c r="N124" s="188"/>
    </row>
    <row r="125" spans="1:14" x14ac:dyDescent="0.2">
      <c r="B125" s="20" t="s">
        <v>95</v>
      </c>
      <c r="C125" s="57"/>
      <c r="D125" s="58"/>
      <c r="E125" s="31">
        <f>E91/E$3</f>
        <v>0.12629277077197862</v>
      </c>
      <c r="F125" s="12">
        <f>F91/F$3</f>
        <v>0.10802343559280657</v>
      </c>
      <c r="G125" s="12">
        <f>G91/G$3</f>
        <v>0.10559360730593607</v>
      </c>
      <c r="H125" s="12">
        <f>H91/H$3</f>
        <v>6.5882615238838413E-2</v>
      </c>
      <c r="I125" s="21">
        <f>$H$125</f>
        <v>6.5882615238838413E-2</v>
      </c>
      <c r="J125" s="21">
        <f t="shared" ref="J125:M125" si="69">$H$125</f>
        <v>6.5882615238838413E-2</v>
      </c>
      <c r="K125" s="21">
        <f t="shared" si="69"/>
        <v>6.5882615238838413E-2</v>
      </c>
      <c r="L125" s="21">
        <f t="shared" si="69"/>
        <v>6.5882615238838413E-2</v>
      </c>
      <c r="M125" s="21">
        <f t="shared" si="69"/>
        <v>6.5882615238838413E-2</v>
      </c>
      <c r="N125" s="188">
        <f t="shared" si="63"/>
        <v>0.10144810722738992</v>
      </c>
    </row>
    <row r="127" spans="1:14" x14ac:dyDescent="0.2">
      <c r="B127" s="39" t="s">
        <v>118</v>
      </c>
      <c r="C127" s="40">
        <v>2016</v>
      </c>
      <c r="D127" s="64">
        <v>2017</v>
      </c>
      <c r="E127" s="65">
        <v>2018</v>
      </c>
      <c r="F127" s="41">
        <v>2019</v>
      </c>
      <c r="G127" s="41">
        <v>2020</v>
      </c>
      <c r="H127" s="41">
        <v>2021</v>
      </c>
      <c r="I127" s="42">
        <v>2022</v>
      </c>
      <c r="J127" s="42">
        <v>2023</v>
      </c>
      <c r="K127" s="42">
        <v>2024</v>
      </c>
      <c r="L127" s="42">
        <v>2025</v>
      </c>
      <c r="M127" s="42">
        <v>2026</v>
      </c>
    </row>
    <row r="128" spans="1:14" x14ac:dyDescent="0.2">
      <c r="B128" s="14" t="s">
        <v>119</v>
      </c>
      <c r="C128" s="72"/>
      <c r="D128" s="72"/>
      <c r="E128" s="8"/>
      <c r="F128" s="1"/>
      <c r="G128" s="1"/>
      <c r="H128" s="1"/>
      <c r="I128" s="25"/>
      <c r="J128" s="25"/>
      <c r="K128" s="25"/>
      <c r="L128" s="25"/>
      <c r="M128" s="25"/>
    </row>
    <row r="129" spans="2:26" x14ac:dyDescent="0.2">
      <c r="B129" s="124" t="s">
        <v>60</v>
      </c>
      <c r="C129" s="72">
        <v>-773.04600000000005</v>
      </c>
      <c r="D129" s="72">
        <v>-2240.578</v>
      </c>
      <c r="E129" s="8">
        <v>-1062.5819999999999</v>
      </c>
      <c r="F129" s="1">
        <v>-775</v>
      </c>
      <c r="G129" s="1">
        <v>862</v>
      </c>
      <c r="H129" s="1">
        <v>5644</v>
      </c>
      <c r="I129" s="25">
        <f>I18</f>
        <v>4934.4655430738294</v>
      </c>
      <c r="J129" s="25">
        <f>J18</f>
        <v>6776.0862698328074</v>
      </c>
      <c r="K129" s="25">
        <f>K18</f>
        <v>8419.2614878210479</v>
      </c>
      <c r="L129" s="25">
        <f>L18</f>
        <v>9708.3744339608947</v>
      </c>
      <c r="M129" s="25">
        <f>M18</f>
        <v>10295.624118948832</v>
      </c>
    </row>
    <row r="130" spans="2:26" ht="17" customHeight="1" x14ac:dyDescent="0.2">
      <c r="B130" s="124" t="s">
        <v>120</v>
      </c>
      <c r="C130" s="72"/>
      <c r="D130" s="72"/>
      <c r="E130" s="8"/>
      <c r="F130" s="1"/>
      <c r="G130" s="1"/>
      <c r="H130" s="1"/>
      <c r="I130" s="25"/>
      <c r="J130" s="25"/>
      <c r="K130" s="25"/>
      <c r="L130" s="25"/>
      <c r="M130" s="25"/>
    </row>
    <row r="131" spans="2:26" x14ac:dyDescent="0.2">
      <c r="B131" s="125" t="s">
        <v>121</v>
      </c>
      <c r="C131" s="72">
        <v>947.09899999999993</v>
      </c>
      <c r="D131" s="72">
        <v>1636.0030000000002</v>
      </c>
      <c r="E131" s="8">
        <v>1901.05</v>
      </c>
      <c r="F131" s="1">
        <v>2154</v>
      </c>
      <c r="G131" s="1">
        <v>2322</v>
      </c>
      <c r="H131" s="1">
        <v>2911</v>
      </c>
      <c r="I131" s="25">
        <f>I3*I221</f>
        <v>7095.2416407975079</v>
      </c>
      <c r="J131" s="25">
        <f>J3*J221</f>
        <v>9729.4256595803254</v>
      </c>
      <c r="K131" s="25">
        <f>K3*K221</f>
        <v>12091.205374020892</v>
      </c>
      <c r="L131" s="25">
        <f>L3*L221</f>
        <v>13868.467376561</v>
      </c>
      <c r="M131" s="25">
        <f>M3*M221</f>
        <v>14769.967150138111</v>
      </c>
    </row>
    <row r="132" spans="2:26" hidden="1" x14ac:dyDescent="0.2">
      <c r="B132" s="125" t="s">
        <v>122</v>
      </c>
      <c r="C132" s="72">
        <v>334.22500000000002</v>
      </c>
      <c r="D132" s="72">
        <v>466.76000000000005</v>
      </c>
      <c r="E132" s="8">
        <v>749.024</v>
      </c>
      <c r="F132" s="1">
        <v>898</v>
      </c>
      <c r="G132" s="1">
        <v>1734</v>
      </c>
      <c r="H132" s="1">
        <v>2121</v>
      </c>
      <c r="I132" s="25"/>
      <c r="J132" s="25"/>
      <c r="K132" s="25"/>
      <c r="L132" s="25"/>
      <c r="M132" s="25"/>
    </row>
    <row r="133" spans="2:26" hidden="1" x14ac:dyDescent="0.2">
      <c r="B133" s="125" t="s">
        <v>123</v>
      </c>
      <c r="C133" s="72">
        <v>94.69</v>
      </c>
      <c r="D133" s="72">
        <v>91.037000000000006</v>
      </c>
      <c r="E133" s="8">
        <v>158.72999999999999</v>
      </c>
      <c r="F133" s="1"/>
      <c r="G133" s="1"/>
      <c r="H133" s="1"/>
      <c r="I133" s="25"/>
      <c r="J133" s="25"/>
      <c r="K133" s="25"/>
      <c r="L133" s="25"/>
      <c r="M133" s="25"/>
    </row>
    <row r="134" spans="2:26" hidden="1" x14ac:dyDescent="0.2">
      <c r="B134" s="125" t="s">
        <v>124</v>
      </c>
      <c r="C134" s="72">
        <v>65.52000000000001</v>
      </c>
      <c r="D134" s="72">
        <v>131.66500000000002</v>
      </c>
      <c r="E134" s="8">
        <v>85.272000000000006</v>
      </c>
      <c r="F134" s="1">
        <v>193</v>
      </c>
      <c r="G134" s="1">
        <v>202</v>
      </c>
      <c r="H134" s="1">
        <v>140</v>
      </c>
      <c r="I134" s="25"/>
      <c r="J134" s="25"/>
      <c r="K134" s="25"/>
      <c r="L134" s="25"/>
      <c r="M134" s="25"/>
    </row>
    <row r="135" spans="2:26" hidden="1" x14ac:dyDescent="0.2">
      <c r="B135" s="125" t="s">
        <v>125</v>
      </c>
      <c r="C135" s="72">
        <v>34.632999999999996</v>
      </c>
      <c r="D135" s="72">
        <v>105.77000000000001</v>
      </c>
      <c r="E135" s="8">
        <v>161.36099999999999</v>
      </c>
      <c r="F135" s="1"/>
      <c r="G135" s="1"/>
      <c r="H135" s="1"/>
      <c r="I135" s="25"/>
      <c r="J135" s="25"/>
      <c r="K135" s="25"/>
      <c r="L135" s="25"/>
      <c r="M135" s="25"/>
      <c r="Q135" s="37"/>
    </row>
    <row r="136" spans="2:26" hidden="1" x14ac:dyDescent="0.2">
      <c r="B136" s="125" t="s">
        <v>126</v>
      </c>
      <c r="C136" s="72">
        <v>-29.183</v>
      </c>
      <c r="D136" s="72">
        <v>52.309000000000005</v>
      </c>
      <c r="E136" s="8">
        <v>-1.5109999999999999</v>
      </c>
      <c r="F136" s="1">
        <v>-48</v>
      </c>
      <c r="G136" s="1">
        <v>114</v>
      </c>
      <c r="H136" s="1">
        <v>-55</v>
      </c>
      <c r="I136" s="25"/>
      <c r="J136" s="25"/>
      <c r="K136" s="25"/>
      <c r="L136" s="25"/>
      <c r="M136" s="25"/>
      <c r="Q136" s="37"/>
      <c r="R136" s="37"/>
      <c r="S136" s="37"/>
      <c r="T136" s="37"/>
      <c r="U136" s="37"/>
      <c r="V136" s="37"/>
      <c r="W136" s="37"/>
      <c r="X136" s="37"/>
      <c r="Y136" s="37"/>
      <c r="Z136" s="37"/>
    </row>
    <row r="137" spans="2:26" hidden="1" x14ac:dyDescent="0.2">
      <c r="B137" s="125" t="s">
        <v>127</v>
      </c>
      <c r="C137" s="72">
        <v>-88.727000000000004</v>
      </c>
      <c r="D137" s="72">
        <v>57.746000000000002</v>
      </c>
      <c r="E137" s="8">
        <v>0</v>
      </c>
      <c r="F137" s="1"/>
      <c r="G137" s="1"/>
      <c r="H137" s="1"/>
      <c r="I137" s="25"/>
      <c r="J137" s="25"/>
      <c r="K137" s="25"/>
      <c r="L137" s="25"/>
      <c r="M137" s="25"/>
      <c r="Q137" s="37"/>
      <c r="R137" s="37"/>
      <c r="S137" s="37"/>
      <c r="T137" s="37"/>
      <c r="U137" s="37"/>
      <c r="V137" s="37"/>
      <c r="W137" s="37"/>
      <c r="X137" s="37"/>
      <c r="Y137" s="37"/>
      <c r="Z137" s="37"/>
    </row>
    <row r="138" spans="2:26" hidden="1" x14ac:dyDescent="0.2">
      <c r="B138" s="125" t="s">
        <v>128</v>
      </c>
      <c r="C138" s="72">
        <v>-15.178999999999998</v>
      </c>
      <c r="D138" s="72">
        <v>135.23699999999999</v>
      </c>
      <c r="E138" s="8">
        <v>48.506999999999998</v>
      </c>
      <c r="F138" s="1">
        <v>520</v>
      </c>
      <c r="G138" s="1">
        <v>525</v>
      </c>
      <c r="H138" s="1">
        <v>245</v>
      </c>
      <c r="I138" s="25"/>
      <c r="J138" s="25"/>
      <c r="K138" s="25"/>
      <c r="L138" s="25"/>
      <c r="M138" s="25"/>
      <c r="Q138" s="37"/>
      <c r="R138" s="37"/>
      <c r="S138" s="37"/>
      <c r="T138" s="37"/>
      <c r="U138" s="37"/>
      <c r="V138" s="37"/>
      <c r="W138" s="37"/>
      <c r="X138" s="37"/>
      <c r="Y138" s="37"/>
      <c r="Z138" s="37"/>
    </row>
    <row r="139" spans="2:26" hidden="1" x14ac:dyDescent="0.2">
      <c r="B139" s="125" t="s">
        <v>129</v>
      </c>
      <c r="C139" s="72">
        <v>-216.565</v>
      </c>
      <c r="D139" s="72"/>
      <c r="E139" s="8"/>
      <c r="F139" s="1"/>
      <c r="G139" s="1"/>
      <c r="H139" s="1">
        <v>-27</v>
      </c>
      <c r="I139" s="25"/>
      <c r="J139" s="25"/>
      <c r="K139" s="25"/>
      <c r="L139" s="25"/>
      <c r="M139" s="25"/>
      <c r="Q139" s="37"/>
      <c r="R139" s="37"/>
      <c r="S139" s="37"/>
      <c r="T139" s="37"/>
      <c r="U139" s="37"/>
      <c r="V139" s="37"/>
      <c r="W139" s="37"/>
      <c r="X139" s="37"/>
      <c r="Y139" s="37"/>
      <c r="Z139" s="37"/>
    </row>
    <row r="140" spans="2:26" hidden="1" x14ac:dyDescent="0.2">
      <c r="B140" s="125" t="s">
        <v>130</v>
      </c>
      <c r="C140" s="72">
        <v>-632.86699999999996</v>
      </c>
      <c r="D140" s="72"/>
      <c r="E140" s="8"/>
      <c r="F140" s="1">
        <v>-188</v>
      </c>
      <c r="G140" s="1"/>
      <c r="H140" s="1"/>
      <c r="I140" s="25"/>
      <c r="J140" s="25"/>
      <c r="K140" s="25"/>
      <c r="L140" s="25"/>
      <c r="M140" s="25"/>
      <c r="Q140" s="10"/>
      <c r="R140" s="37"/>
      <c r="S140" s="37"/>
      <c r="T140" s="37"/>
      <c r="U140" s="37"/>
      <c r="V140" s="37"/>
      <c r="W140" s="37"/>
      <c r="X140" s="37"/>
      <c r="Y140" s="37"/>
      <c r="Z140" s="37"/>
    </row>
    <row r="141" spans="2:26" s="37" customFormat="1" hidden="1" x14ac:dyDescent="0.2">
      <c r="B141" s="33" t="s">
        <v>131</v>
      </c>
      <c r="C141" s="34"/>
      <c r="D141" s="34"/>
      <c r="E141" s="34"/>
      <c r="F141" s="35"/>
      <c r="G141" s="35"/>
      <c r="H141" s="36"/>
      <c r="I141" s="36"/>
      <c r="J141" s="36"/>
      <c r="K141" s="36"/>
      <c r="L141" s="36"/>
      <c r="M141" s="36"/>
      <c r="Q141" s="10"/>
      <c r="R141" s="10"/>
      <c r="S141" s="10"/>
      <c r="T141" s="10"/>
      <c r="U141" s="10"/>
      <c r="V141" s="10"/>
      <c r="W141" s="10"/>
      <c r="X141" s="10"/>
      <c r="Y141" s="10"/>
      <c r="Z141" s="10"/>
    </row>
    <row r="142" spans="2:26" s="37" customFormat="1" hidden="1" x14ac:dyDescent="0.2">
      <c r="B142" s="38" t="s">
        <v>132</v>
      </c>
      <c r="C142" s="34">
        <v>-1832.836</v>
      </c>
      <c r="D142" s="34">
        <v>-24.634999999999998</v>
      </c>
      <c r="E142" s="34">
        <v>-496.73200000000003</v>
      </c>
      <c r="F142" s="35">
        <v>-367</v>
      </c>
      <c r="G142" s="35">
        <v>-652</v>
      </c>
      <c r="H142" s="35">
        <v>-130</v>
      </c>
      <c r="I142" s="36"/>
      <c r="J142" s="36"/>
      <c r="K142" s="36"/>
      <c r="L142" s="36"/>
      <c r="M142" s="36"/>
      <c r="Q142" s="10"/>
      <c r="R142" s="10"/>
      <c r="S142" s="10"/>
      <c r="T142" s="10"/>
      <c r="U142" s="10"/>
      <c r="V142" s="10"/>
      <c r="W142" s="10"/>
      <c r="X142" s="10"/>
      <c r="Y142" s="10"/>
      <c r="Z142" s="10"/>
    </row>
    <row r="143" spans="2:26" s="37" customFormat="1" hidden="1" x14ac:dyDescent="0.2">
      <c r="B143" s="38" t="s">
        <v>67</v>
      </c>
      <c r="C143" s="34">
        <v>56.805999999999997</v>
      </c>
      <c r="D143" s="34">
        <v>-178.85</v>
      </c>
      <c r="E143" s="34">
        <v>-1023.2639999999999</v>
      </c>
      <c r="F143" s="35">
        <v>-429</v>
      </c>
      <c r="G143" s="35">
        <v>-422</v>
      </c>
      <c r="H143" s="35">
        <v>-1709</v>
      </c>
      <c r="I143" s="36"/>
      <c r="J143" s="36"/>
      <c r="K143" s="36"/>
      <c r="L143" s="36"/>
      <c r="M143" s="36"/>
      <c r="Q143" s="10"/>
      <c r="R143" s="10"/>
      <c r="S143" s="10"/>
      <c r="T143" s="10"/>
      <c r="U143" s="10"/>
      <c r="V143" s="10"/>
      <c r="W143" s="10"/>
      <c r="X143" s="10"/>
      <c r="Y143" s="10"/>
      <c r="Z143" s="10"/>
    </row>
    <row r="144" spans="2:26" s="37" customFormat="1" hidden="1" x14ac:dyDescent="0.2">
      <c r="B144" s="191" t="s">
        <v>133</v>
      </c>
      <c r="C144" s="34">
        <v>-49.352999999999994</v>
      </c>
      <c r="D144" s="34">
        <v>-1522.5729999999999</v>
      </c>
      <c r="E144" s="34">
        <v>-214.74699999999999</v>
      </c>
      <c r="F144" s="35">
        <v>-764</v>
      </c>
      <c r="G144" s="35">
        <v>-1072</v>
      </c>
      <c r="H144" s="35">
        <v>-2114</v>
      </c>
      <c r="I144" s="36"/>
      <c r="J144" s="36"/>
      <c r="K144" s="36"/>
      <c r="L144" s="36"/>
      <c r="M144" s="36"/>
      <c r="Q144" s="10"/>
      <c r="R144" s="10"/>
      <c r="S144" s="10"/>
      <c r="T144" s="10"/>
      <c r="U144" s="10"/>
      <c r="V144" s="10"/>
      <c r="W144" s="10"/>
      <c r="X144" s="10"/>
      <c r="Y144" s="10"/>
      <c r="Z144" s="10"/>
    </row>
    <row r="145" spans="2:26" s="37" customFormat="1" hidden="1" x14ac:dyDescent="0.2">
      <c r="B145" s="38" t="s">
        <v>68</v>
      </c>
      <c r="C145" s="34">
        <v>750.64</v>
      </c>
      <c r="D145" s="34">
        <v>-72.084000000000003</v>
      </c>
      <c r="E145" s="34">
        <v>-82.125</v>
      </c>
      <c r="F145" s="35">
        <v>-288</v>
      </c>
      <c r="G145" s="35">
        <v>-251</v>
      </c>
      <c r="H145" s="35">
        <v>-271</v>
      </c>
      <c r="I145" s="36"/>
      <c r="J145" s="36"/>
      <c r="K145" s="36"/>
      <c r="L145" s="36"/>
      <c r="M145" s="36"/>
      <c r="Q145" s="10"/>
      <c r="R145" s="10"/>
      <c r="S145" s="10"/>
      <c r="T145" s="10"/>
      <c r="U145" s="10"/>
      <c r="V145" s="10"/>
      <c r="W145" s="10"/>
      <c r="X145" s="10"/>
      <c r="Y145" s="10"/>
      <c r="Z145" s="10"/>
    </row>
    <row r="146" spans="2:26" s="37" customFormat="1" hidden="1" x14ac:dyDescent="0.2">
      <c r="B146" s="38"/>
      <c r="C146" s="34"/>
      <c r="D146" s="34"/>
      <c r="E146" s="34"/>
      <c r="F146" s="35"/>
      <c r="G146" s="35"/>
      <c r="H146" s="35"/>
      <c r="I146" s="36"/>
      <c r="J146" s="36"/>
      <c r="K146" s="36"/>
      <c r="L146" s="36"/>
      <c r="M146" s="36"/>
      <c r="Q146" s="10"/>
      <c r="R146" s="10"/>
      <c r="S146" s="10"/>
      <c r="T146" s="10"/>
      <c r="U146" s="10"/>
      <c r="V146" s="10"/>
      <c r="W146" s="10"/>
      <c r="X146" s="10"/>
      <c r="Y146" s="10"/>
      <c r="Z146" s="10"/>
    </row>
    <row r="147" spans="2:26" s="10" customFormat="1" ht="15" customHeight="1" x14ac:dyDescent="0.2">
      <c r="B147" s="9" t="s">
        <v>131</v>
      </c>
      <c r="C147" s="126"/>
      <c r="D147" s="126"/>
      <c r="E147" s="121"/>
      <c r="F147" s="122"/>
      <c r="G147" s="122"/>
      <c r="H147" s="122"/>
      <c r="I147" s="96"/>
      <c r="J147" s="96"/>
      <c r="K147" s="96"/>
      <c r="L147" s="96"/>
    </row>
    <row r="148" spans="2:26" s="10" customFormat="1" x14ac:dyDescent="0.2">
      <c r="B148" s="20" t="s">
        <v>66</v>
      </c>
      <c r="C148" s="126"/>
      <c r="D148" s="126"/>
      <c r="E148" s="121">
        <f>D61-E61</f>
        <v>-433.64099999999985</v>
      </c>
      <c r="F148" s="121">
        <f t="shared" ref="F148:M148" si="70">E61-F61</f>
        <v>-374.97800000000007</v>
      </c>
      <c r="G148" s="121">
        <f t="shared" si="70"/>
        <v>-562</v>
      </c>
      <c r="H148" s="121">
        <f t="shared" si="70"/>
        <v>-27</v>
      </c>
      <c r="I148" s="121">
        <f t="shared" si="70"/>
        <v>-2602.7058530134636</v>
      </c>
      <c r="J148" s="121">
        <f t="shared" si="70"/>
        <v>-1676.5038872157511</v>
      </c>
      <c r="K148" s="121">
        <f t="shared" si="70"/>
        <v>-1503.1344977320568</v>
      </c>
      <c r="L148" s="121">
        <f t="shared" si="70"/>
        <v>-1131.1231996753704</v>
      </c>
      <c r="M148" s="121">
        <f t="shared" si="70"/>
        <v>-573.75181989924204</v>
      </c>
    </row>
    <row r="149" spans="2:26" s="10" customFormat="1" x14ac:dyDescent="0.2">
      <c r="B149" s="20" t="s">
        <v>67</v>
      </c>
      <c r="C149" s="126"/>
      <c r="D149" s="126"/>
      <c r="E149" s="121">
        <f t="shared" ref="E149:M149" si="71">D62-E62</f>
        <v>-849.90900000000011</v>
      </c>
      <c r="F149" s="121">
        <f>E62-F62</f>
        <v>-438.55400000000009</v>
      </c>
      <c r="G149" s="121">
        <f t="shared" si="71"/>
        <v>-549</v>
      </c>
      <c r="H149" s="121">
        <f t="shared" si="71"/>
        <v>-1656</v>
      </c>
      <c r="I149" s="121">
        <f t="shared" si="71"/>
        <v>-6536.1833072843037</v>
      </c>
      <c r="J149" s="121">
        <f t="shared" si="71"/>
        <v>-4563.9752171113068</v>
      </c>
      <c r="K149" s="121">
        <f t="shared" si="71"/>
        <v>-4092.0087617734862</v>
      </c>
      <c r="L149" s="121">
        <f t="shared" si="71"/>
        <v>-3079.276039968805</v>
      </c>
      <c r="M149" s="121">
        <f t="shared" si="71"/>
        <v>-1561.9343961924678</v>
      </c>
    </row>
    <row r="150" spans="2:26" s="10" customFormat="1" x14ac:dyDescent="0.2">
      <c r="B150" s="192" t="s">
        <v>133</v>
      </c>
      <c r="C150" s="126"/>
      <c r="D150" s="126"/>
      <c r="E150" s="121"/>
      <c r="F150" s="121"/>
      <c r="G150" s="121"/>
      <c r="H150" s="121"/>
      <c r="I150" s="121"/>
      <c r="J150" s="121"/>
      <c r="K150" s="121"/>
      <c r="L150" s="121"/>
      <c r="M150" s="121"/>
    </row>
    <row r="151" spans="2:26" s="10" customFormat="1" x14ac:dyDescent="0.2">
      <c r="B151" s="177" t="s">
        <v>68</v>
      </c>
      <c r="C151" s="126"/>
      <c r="D151" s="126"/>
      <c r="E151" s="121">
        <f t="shared" ref="E151:M151" si="72">D63-E63</f>
        <v>-97.305999999999983</v>
      </c>
      <c r="F151" s="121">
        <f t="shared" si="72"/>
        <v>-347.32900000000001</v>
      </c>
      <c r="G151" s="121">
        <f t="shared" si="72"/>
        <v>-633</v>
      </c>
      <c r="H151" s="121">
        <f t="shared" si="72"/>
        <v>-377</v>
      </c>
      <c r="I151" s="121">
        <f t="shared" si="72"/>
        <v>-1095.6780385890779</v>
      </c>
      <c r="J151" s="121">
        <f t="shared" si="72"/>
        <v>-1046.4642388854395</v>
      </c>
      <c r="K151" s="121">
        <f t="shared" si="72"/>
        <v>-938.24804708561669</v>
      </c>
      <c r="L151" s="121">
        <f t="shared" si="72"/>
        <v>-706.04070009031784</v>
      </c>
      <c r="M151" s="121">
        <f t="shared" si="72"/>
        <v>-358.13263905825443</v>
      </c>
    </row>
    <row r="152" spans="2:26" s="10" customFormat="1" x14ac:dyDescent="0.2">
      <c r="B152" s="20" t="s">
        <v>84</v>
      </c>
      <c r="C152" s="126"/>
      <c r="D152" s="126"/>
      <c r="E152" s="8">
        <f>E80-D80</f>
        <v>1014.201</v>
      </c>
      <c r="F152" s="8">
        <f>F80-E80</f>
        <v>366.54899999999998</v>
      </c>
      <c r="G152" s="8">
        <f>G80-F80</f>
        <v>2280</v>
      </c>
      <c r="H152" s="8">
        <f>H80-G80</f>
        <v>3974</v>
      </c>
      <c r="I152" s="8">
        <f>I80-H80</f>
        <v>6087.3875741635311</v>
      </c>
      <c r="J152" s="8">
        <f>J80-I80</f>
        <v>5981.8954731929043</v>
      </c>
      <c r="K152" s="8">
        <f>K80-J80</f>
        <v>5363.3000890419862</v>
      </c>
      <c r="L152" s="8">
        <f>L80-K80</f>
        <v>4035.9350189152319</v>
      </c>
      <c r="M152" s="8">
        <f>M80-L80</f>
        <v>2047.1908477894212</v>
      </c>
      <c r="Q152" s="37"/>
    </row>
    <row r="153" spans="2:26" s="10" customFormat="1" x14ac:dyDescent="0.2">
      <c r="B153" s="20" t="s">
        <v>85</v>
      </c>
      <c r="C153" s="126"/>
      <c r="D153" s="126"/>
      <c r="E153" s="8">
        <f>E81-D81</f>
        <v>362.88699999999972</v>
      </c>
      <c r="F153" s="8">
        <f>F81-E81</f>
        <v>810.7470000000003</v>
      </c>
      <c r="G153" s="8">
        <f>G81-F81</f>
        <v>950</v>
      </c>
      <c r="H153" s="8">
        <f>H81-G81</f>
        <v>1864</v>
      </c>
      <c r="I153" s="8">
        <f>I81-H81</f>
        <v>4652.4335733168882</v>
      </c>
      <c r="J153" s="8">
        <f>J81-I81</f>
        <v>3850.5051630106409</v>
      </c>
      <c r="K153" s="8">
        <f>K81-J81</f>
        <v>3452.319549242924</v>
      </c>
      <c r="L153" s="8">
        <f>L81-K81</f>
        <v>2597.9037409715384</v>
      </c>
      <c r="M153" s="8">
        <f>M81-L81</f>
        <v>1317.7627333019627</v>
      </c>
      <c r="Q153" s="14"/>
      <c r="R153" s="37"/>
      <c r="S153" s="37"/>
      <c r="T153" s="37"/>
      <c r="U153" s="37"/>
      <c r="V153" s="37"/>
      <c r="W153" s="37"/>
      <c r="X153" s="37"/>
      <c r="Y153" s="37"/>
      <c r="Z153" s="37"/>
    </row>
    <row r="154" spans="2:26" s="10" customFormat="1" x14ac:dyDescent="0.2">
      <c r="B154" s="20" t="s">
        <v>86</v>
      </c>
      <c r="C154" s="126"/>
      <c r="D154" s="126"/>
      <c r="E154" s="8">
        <f>E82-D82</f>
        <v>-384.96100000000001</v>
      </c>
      <c r="F154" s="8">
        <f>F82-E82</f>
        <v>532.70799999999997</v>
      </c>
      <c r="G154" s="8">
        <f>G82-F82</f>
        <v>295</v>
      </c>
      <c r="H154" s="8">
        <f>H82-G82</f>
        <v>-11</v>
      </c>
      <c r="I154" s="8">
        <f>I82-H82</f>
        <v>2050.1382622881729</v>
      </c>
      <c r="J154" s="8">
        <f>J82-I82</f>
        <v>1298.3498220869569</v>
      </c>
      <c r="K154" s="8">
        <f>K82-J82</f>
        <v>1164.0858232331848</v>
      </c>
      <c r="L154" s="8">
        <f>L82-K82</f>
        <v>875.98580370481977</v>
      </c>
      <c r="M154" s="8">
        <f>M82-L82</f>
        <v>444.33572684725095</v>
      </c>
      <c r="Q154" s="14"/>
      <c r="R154" s="14"/>
      <c r="S154" s="14"/>
      <c r="T154" s="14"/>
      <c r="U154" s="14"/>
      <c r="V154" s="14"/>
      <c r="W154" s="14"/>
      <c r="X154" s="14"/>
      <c r="Y154" s="14"/>
      <c r="Z154" s="14"/>
    </row>
    <row r="155" spans="2:26" s="10" customFormat="1" x14ac:dyDescent="0.2">
      <c r="B155" s="20" t="s">
        <v>87</v>
      </c>
      <c r="C155" s="126"/>
      <c r="D155" s="126"/>
      <c r="E155" s="8">
        <f>E83-D83</f>
        <v>-284.49299999999999</v>
      </c>
      <c r="F155" s="8">
        <f>F83-E83</f>
        <v>-185.83999999999997</v>
      </c>
      <c r="G155" s="8">
        <f>G83-F83</f>
        <v>-317</v>
      </c>
      <c r="H155" s="8"/>
      <c r="I155" s="8"/>
      <c r="J155" s="8"/>
      <c r="K155" s="8"/>
      <c r="L155" s="8"/>
      <c r="M155" s="8"/>
      <c r="Q155" s="14"/>
      <c r="R155" s="14"/>
      <c r="S155" s="14"/>
      <c r="T155" s="14"/>
      <c r="U155" s="14"/>
      <c r="V155" s="14"/>
      <c r="W155" s="14"/>
      <c r="X155" s="14"/>
      <c r="Y155" s="14"/>
      <c r="Z155" s="14"/>
    </row>
    <row r="156" spans="2:26" s="10" customFormat="1" x14ac:dyDescent="0.2">
      <c r="B156" s="20" t="s">
        <v>88</v>
      </c>
      <c r="C156" s="126"/>
      <c r="D156" s="126"/>
      <c r="E156" s="2">
        <f>E84-D84</f>
        <v>-61.318000000000097</v>
      </c>
      <c r="F156" s="2">
        <f>F84-E84</f>
        <v>-66.600999999999999</v>
      </c>
      <c r="G156" s="2">
        <f>G84-F84</f>
        <v>26</v>
      </c>
      <c r="H156" s="2">
        <f>H84-G84</f>
        <v>173</v>
      </c>
      <c r="I156" s="2">
        <f>I84-H84</f>
        <v>1584.5947839154574</v>
      </c>
      <c r="J156" s="2">
        <f>J84-I84</f>
        <v>931.71378905535948</v>
      </c>
      <c r="K156" s="2">
        <f>K84-J84</f>
        <v>835.36408655014884</v>
      </c>
      <c r="L156" s="2">
        <f>L84-K84</f>
        <v>628.61952799178562</v>
      </c>
      <c r="M156" s="2">
        <f>M84-L84</f>
        <v>318.86146293613638</v>
      </c>
    </row>
    <row r="157" spans="2:26" s="10" customFormat="1" x14ac:dyDescent="0.2">
      <c r="B157" s="23" t="s">
        <v>112</v>
      </c>
      <c r="C157" s="126"/>
      <c r="D157" s="126"/>
      <c r="E157" s="68">
        <f>SUM(E148:E156)</f>
        <v>-734.5400000000003</v>
      </c>
      <c r="F157" s="69">
        <f>SUM(F148:F156)</f>
        <v>296.70200000000017</v>
      </c>
      <c r="G157" s="69">
        <f>SUM(G148:G156)</f>
        <v>1490</v>
      </c>
      <c r="H157" s="69">
        <f>SUM(H148:H156)</f>
        <v>3940</v>
      </c>
      <c r="I157" s="69">
        <f>SUM(I148:I156)</f>
        <v>4139.9869947972038</v>
      </c>
      <c r="J157" s="69">
        <f>SUM(J148:J156)</f>
        <v>4775.5209041333646</v>
      </c>
      <c r="K157" s="69">
        <f>SUM(K148:K156)</f>
        <v>4281.6782414770842</v>
      </c>
      <c r="L157" s="69">
        <f>SUM(L148:L156)</f>
        <v>3222.0041518488824</v>
      </c>
      <c r="M157" s="69">
        <f>SUM(M148:M156)</f>
        <v>1634.331915724807</v>
      </c>
      <c r="Q157" s="14"/>
      <c r="R157" s="14"/>
      <c r="S157" s="14"/>
      <c r="T157" s="14"/>
      <c r="U157" s="14"/>
      <c r="V157" s="14"/>
      <c r="W157" s="14"/>
      <c r="X157" s="14"/>
      <c r="Y157" s="14"/>
      <c r="Z157" s="14"/>
    </row>
    <row r="158" spans="2:26" s="10" customFormat="1" ht="13" customHeight="1" x14ac:dyDescent="0.2">
      <c r="B158" s="9" t="s">
        <v>80</v>
      </c>
      <c r="C158" s="126">
        <v>382.96199999999999</v>
      </c>
      <c r="D158" s="126">
        <v>-15.452999999999999</v>
      </c>
      <c r="E158" s="121">
        <v>-207.40900000000002</v>
      </c>
      <c r="F158" s="122">
        <v>115</v>
      </c>
      <c r="G158" s="122">
        <v>-344</v>
      </c>
      <c r="H158" s="122">
        <v>-1291</v>
      </c>
      <c r="I158" s="121">
        <f>H75-I75</f>
        <v>-1315.6191784982198</v>
      </c>
      <c r="J158" s="121">
        <f>I75-J75</f>
        <v>-1282.1928987804408</v>
      </c>
      <c r="K158" s="121">
        <f>J75-K75</f>
        <v>-1149.5997078209693</v>
      </c>
      <c r="L158" s="121">
        <f>K75-L75</f>
        <v>-865.08486221179101</v>
      </c>
      <c r="M158" s="121">
        <f>L75-M75</f>
        <v>-438.80632472550406</v>
      </c>
      <c r="Q158" s="14"/>
      <c r="R158" s="14"/>
      <c r="S158" s="14"/>
      <c r="T158" s="14"/>
      <c r="U158" s="14"/>
      <c r="V158" s="14"/>
      <c r="W158" s="14"/>
      <c r="X158" s="14"/>
      <c r="Y158" s="14"/>
      <c r="Z158" s="14"/>
    </row>
    <row r="159" spans="2:26" hidden="1" x14ac:dyDescent="0.2">
      <c r="B159" s="9" t="s">
        <v>134</v>
      </c>
      <c r="C159" s="72">
        <v>388.36099999999999</v>
      </c>
      <c r="D159" s="72">
        <v>388.20600000000002</v>
      </c>
      <c r="E159" s="8">
        <v>1722.85</v>
      </c>
      <c r="F159" s="1">
        <v>646</v>
      </c>
      <c r="G159" s="1">
        <v>2102</v>
      </c>
      <c r="H159" s="1">
        <v>4578</v>
      </c>
      <c r="I159" s="25"/>
      <c r="J159" s="25"/>
      <c r="K159" s="25"/>
      <c r="L159" s="25"/>
      <c r="M159" s="25"/>
    </row>
    <row r="160" spans="2:26" hidden="1" x14ac:dyDescent="0.2">
      <c r="B160" s="9" t="s">
        <v>86</v>
      </c>
      <c r="C160" s="72">
        <v>326.93400000000003</v>
      </c>
      <c r="D160" s="72">
        <v>468.90200000000004</v>
      </c>
      <c r="E160" s="8">
        <v>406.661</v>
      </c>
      <c r="F160" s="1">
        <v>801</v>
      </c>
      <c r="G160" s="1">
        <v>321</v>
      </c>
      <c r="H160" s="1">
        <v>793</v>
      </c>
      <c r="I160" s="25"/>
      <c r="J160" s="25"/>
      <c r="K160" s="25"/>
      <c r="L160" s="25"/>
      <c r="M160" s="25"/>
    </row>
    <row r="161" spans="2:13" hidden="1" x14ac:dyDescent="0.2">
      <c r="B161" s="9" t="s">
        <v>88</v>
      </c>
      <c r="C161" s="72">
        <v>132.05699999999999</v>
      </c>
      <c r="D161" s="72">
        <v>170.02699999999999</v>
      </c>
      <c r="E161" s="8">
        <v>-96.685000000000002</v>
      </c>
      <c r="F161" s="1">
        <v>-58</v>
      </c>
      <c r="G161" s="1">
        <v>7</v>
      </c>
      <c r="H161" s="1">
        <v>186</v>
      </c>
      <c r="I161" s="25"/>
      <c r="J161" s="25"/>
      <c r="K161" s="25"/>
      <c r="L161" s="25"/>
      <c r="M161" s="25"/>
    </row>
    <row r="162" spans="2:13" hidden="1" x14ac:dyDescent="0.2">
      <c r="B162" s="9" t="s">
        <v>135</v>
      </c>
      <c r="C162" s="72">
        <v>-123.82899999999999</v>
      </c>
      <c r="D162" s="72">
        <v>208.71799999999999</v>
      </c>
      <c r="E162" s="8">
        <v>-110.56400000000001</v>
      </c>
      <c r="F162" s="1"/>
      <c r="G162" s="1"/>
      <c r="H162" s="1"/>
      <c r="I162" s="25"/>
      <c r="J162" s="25"/>
      <c r="K162" s="25"/>
      <c r="L162" s="25"/>
      <c r="M162" s="25"/>
    </row>
    <row r="163" spans="2:13" ht="17" thickBot="1" x14ac:dyDescent="0.25">
      <c r="B163" s="9" t="s">
        <v>95</v>
      </c>
      <c r="C163" s="127">
        <v>0</v>
      </c>
      <c r="D163" s="127">
        <v>81.138999999999996</v>
      </c>
      <c r="E163" s="30">
        <v>159.96600000000001</v>
      </c>
      <c r="F163" s="30">
        <v>-5</v>
      </c>
      <c r="G163" s="30">
        <v>495</v>
      </c>
      <c r="H163" s="30">
        <v>476</v>
      </c>
      <c r="I163" s="128">
        <f>I91-H91</f>
        <v>2606.0202059743815</v>
      </c>
      <c r="J163" s="128">
        <f>J91-I91</f>
        <v>2284.0030164194914</v>
      </c>
      <c r="K163" s="128">
        <f>K91-J91</f>
        <v>2047.811372871809</v>
      </c>
      <c r="L163" s="128">
        <f>L91-K91</f>
        <v>1540.9977988724677</v>
      </c>
      <c r="M163" s="128">
        <f>M91-L91</f>
        <v>781.65693340703911</v>
      </c>
    </row>
    <row r="164" spans="2:13" ht="17" thickTop="1" x14ac:dyDescent="0.2">
      <c r="B164" s="130" t="s">
        <v>136</v>
      </c>
      <c r="C164" s="67">
        <v>-1280.8020000000001</v>
      </c>
      <c r="D164" s="67">
        <v>-60.653999999999996</v>
      </c>
      <c r="E164" s="68">
        <v>2097.8020000000001</v>
      </c>
      <c r="F164" s="69">
        <v>2405</v>
      </c>
      <c r="G164" s="69">
        <v>5943</v>
      </c>
      <c r="H164" s="69">
        <v>11497</v>
      </c>
      <c r="I164" s="25">
        <f>I129+I131+I157+I158+I163</f>
        <v>17460.095206144702</v>
      </c>
      <c r="J164" s="25">
        <f>J129+J131+J157+J158+J163</f>
        <v>22282.842951185547</v>
      </c>
      <c r="K164" s="25">
        <f>K129+K131+K157+K158+K163</f>
        <v>25690.356768369864</v>
      </c>
      <c r="L164" s="25">
        <f>L129+L131+L157+L158+L163</f>
        <v>27474.758899031454</v>
      </c>
      <c r="M164" s="25">
        <f>M129+M131+M157+M158+M163</f>
        <v>27042.773793493288</v>
      </c>
    </row>
    <row r="165" spans="2:13" x14ac:dyDescent="0.2">
      <c r="B165" s="129"/>
      <c r="C165" s="67"/>
      <c r="D165" s="67"/>
      <c r="E165" s="68"/>
      <c r="F165" s="69"/>
      <c r="G165" s="69"/>
      <c r="H165" s="69"/>
      <c r="I165" s="25"/>
      <c r="J165" s="25"/>
      <c r="K165" s="25"/>
      <c r="L165" s="25"/>
      <c r="M165" s="25"/>
    </row>
    <row r="166" spans="2:13" x14ac:dyDescent="0.2">
      <c r="B166" s="14" t="s">
        <v>137</v>
      </c>
      <c r="C166" s="72"/>
      <c r="D166" s="8">
        <f>C68-D68</f>
        <v>-4044.5650000000005</v>
      </c>
      <c r="E166" s="8"/>
      <c r="F166" s="8"/>
      <c r="G166" s="8"/>
      <c r="H166" s="8"/>
      <c r="I166" s="1"/>
      <c r="J166" s="25"/>
      <c r="K166" s="25"/>
      <c r="L166" s="25"/>
      <c r="M166" s="25"/>
    </row>
    <row r="167" spans="2:13" x14ac:dyDescent="0.2">
      <c r="B167" s="26" t="s">
        <v>138</v>
      </c>
      <c r="C167" s="72"/>
      <c r="D167" s="72">
        <v>-3414.8139999999999</v>
      </c>
      <c r="E167" s="8">
        <v>-2100.7240000000002</v>
      </c>
      <c r="F167" s="1">
        <v>-1327</v>
      </c>
      <c r="G167" s="1">
        <v>-3157</v>
      </c>
      <c r="H167" s="1">
        <v>-6482</v>
      </c>
      <c r="I167" s="25">
        <f>I3*I223</f>
        <v>-8693.898543682446</v>
      </c>
      <c r="J167" s="25">
        <f>J3*J223</f>
        <v>-11921.600962301323</v>
      </c>
      <c r="K167" s="25">
        <f>K3*K223</f>
        <v>-14815.522587437923</v>
      </c>
      <c r="L167" s="25">
        <f>L3*L223</f>
        <v>-16993.226507594878</v>
      </c>
      <c r="M167" s="25">
        <f>M3*M223</f>
        <v>-18097.846753868991</v>
      </c>
    </row>
    <row r="168" spans="2:13" ht="17" thickBot="1" x14ac:dyDescent="0.25">
      <c r="B168" s="26" t="s">
        <v>139</v>
      </c>
      <c r="C168" s="72">
        <v>-159.66900000000001</v>
      </c>
      <c r="D168" s="72">
        <v>-666.54</v>
      </c>
      <c r="E168" s="30">
        <v>-218.792</v>
      </c>
      <c r="F168" s="30">
        <v>-105</v>
      </c>
      <c r="G168" s="30">
        <v>-75</v>
      </c>
      <c r="H168" s="30">
        <v>-32</v>
      </c>
      <c r="I168" s="128">
        <f>H67-I67</f>
        <v>-8087.8503304724854</v>
      </c>
      <c r="J168" s="128">
        <f>I67-J67</f>
        <v>-5143.0182088934871</v>
      </c>
      <c r="K168" s="128">
        <f>J67-K67</f>
        <v>-4611.1721846888031</v>
      </c>
      <c r="L168" s="128">
        <f>K67-L67</f>
        <v>-3469.9515204187774</v>
      </c>
      <c r="M168" s="128">
        <f>L67-M67</f>
        <v>-1760.1009336328752</v>
      </c>
    </row>
    <row r="169" spans="2:13" ht="17" hidden="1" thickTop="1" x14ac:dyDescent="0.2">
      <c r="B169" s="124" t="s">
        <v>140</v>
      </c>
      <c r="C169" s="72"/>
      <c r="D169" s="72"/>
      <c r="E169" s="8"/>
      <c r="F169" s="1"/>
      <c r="G169" s="1"/>
      <c r="H169" s="1">
        <v>-1500</v>
      </c>
      <c r="I169" s="25"/>
      <c r="J169" s="25"/>
      <c r="K169" s="25"/>
      <c r="L169" s="25"/>
      <c r="M169" s="25"/>
    </row>
    <row r="170" spans="2:13" ht="17" hidden="1" thickTop="1" x14ac:dyDescent="0.2">
      <c r="B170" s="124" t="s">
        <v>141</v>
      </c>
      <c r="C170" s="72"/>
      <c r="D170" s="72"/>
      <c r="E170" s="8"/>
      <c r="F170" s="1"/>
      <c r="G170" s="1"/>
      <c r="H170" s="1">
        <v>272</v>
      </c>
      <c r="I170" s="25"/>
      <c r="J170" s="25"/>
      <c r="K170" s="25"/>
      <c r="L170" s="25"/>
      <c r="M170" s="25"/>
    </row>
    <row r="171" spans="2:13" ht="17" hidden="1" thickTop="1" x14ac:dyDescent="0.2">
      <c r="B171" s="124" t="s">
        <v>142</v>
      </c>
      <c r="C171" s="72"/>
      <c r="D171" s="72"/>
      <c r="E171" s="8"/>
      <c r="F171" s="1"/>
      <c r="G171" s="1"/>
      <c r="H171" s="1">
        <v>-132</v>
      </c>
      <c r="I171" s="25"/>
      <c r="J171" s="25"/>
      <c r="K171" s="25"/>
      <c r="L171" s="25"/>
      <c r="M171" s="25"/>
    </row>
    <row r="172" spans="2:13" ht="17" hidden="1" thickTop="1" x14ac:dyDescent="0.2">
      <c r="B172" s="124" t="s">
        <v>143</v>
      </c>
      <c r="C172" s="72"/>
      <c r="D172" s="72"/>
      <c r="E172" s="8"/>
      <c r="F172" s="1">
        <v>46</v>
      </c>
      <c r="G172" s="1">
        <v>123</v>
      </c>
      <c r="H172" s="1">
        <v>6</v>
      </c>
      <c r="I172" s="25"/>
      <c r="J172" s="25"/>
      <c r="K172" s="25"/>
      <c r="L172" s="25"/>
      <c r="M172" s="25"/>
    </row>
    <row r="173" spans="2:13" ht="17" hidden="1" thickTop="1" x14ac:dyDescent="0.2">
      <c r="B173" s="124" t="s">
        <v>144</v>
      </c>
      <c r="C173" s="72"/>
      <c r="D173" s="72"/>
      <c r="E173" s="8"/>
      <c r="F173" s="1">
        <v>-5</v>
      </c>
      <c r="G173" s="1">
        <v>-10</v>
      </c>
      <c r="H173" s="1"/>
      <c r="I173" s="25"/>
      <c r="J173" s="25"/>
      <c r="K173" s="25"/>
      <c r="L173" s="25"/>
      <c r="M173" s="25"/>
    </row>
    <row r="174" spans="2:13" ht="18" hidden="1" thickTop="1" thickBot="1" x14ac:dyDescent="0.25">
      <c r="B174" s="124" t="s">
        <v>145</v>
      </c>
      <c r="C174" s="127">
        <v>342.71899999999999</v>
      </c>
      <c r="D174" s="127">
        <v>-114.523</v>
      </c>
      <c r="E174" s="30">
        <v>-17.911999999999999</v>
      </c>
      <c r="F174" s="30">
        <v>-45</v>
      </c>
      <c r="G174" s="30">
        <v>-13</v>
      </c>
      <c r="H174" s="30"/>
      <c r="I174" s="128"/>
      <c r="J174" s="128"/>
      <c r="K174" s="128"/>
      <c r="L174" s="128"/>
      <c r="M174" s="128"/>
    </row>
    <row r="175" spans="2:13" ht="17" thickTop="1" x14ac:dyDescent="0.2">
      <c r="B175" s="130" t="s">
        <v>146</v>
      </c>
      <c r="C175" s="67">
        <v>-1081.085</v>
      </c>
      <c r="D175" s="67">
        <v>-4195.8769999999995</v>
      </c>
      <c r="E175" s="68">
        <v>-2337.4279999999999</v>
      </c>
      <c r="F175" s="69">
        <v>-1436</v>
      </c>
      <c r="G175" s="69">
        <v>-3132</v>
      </c>
      <c r="H175" s="69">
        <v>-7868</v>
      </c>
      <c r="I175" s="25">
        <f>SUM(I167:I168)</f>
        <v>-16781.748874154931</v>
      </c>
      <c r="J175" s="25">
        <f t="shared" ref="J175:M175" si="73">SUM(J167:J168)</f>
        <v>-17064.619171194812</v>
      </c>
      <c r="K175" s="25">
        <f t="shared" si="73"/>
        <v>-19426.694772126728</v>
      </c>
      <c r="L175" s="25">
        <f t="shared" si="73"/>
        <v>-20463.178028013655</v>
      </c>
      <c r="M175" s="25">
        <f t="shared" si="73"/>
        <v>-19857.947687501866</v>
      </c>
    </row>
    <row r="176" spans="2:13" x14ac:dyDescent="0.2">
      <c r="B176" s="129"/>
      <c r="C176" s="67"/>
      <c r="D176" s="67"/>
      <c r="E176" s="68"/>
      <c r="F176" s="69"/>
      <c r="G176" s="69"/>
      <c r="H176" s="69"/>
      <c r="I176" s="25"/>
      <c r="J176" s="25"/>
      <c r="K176" s="25"/>
      <c r="L176" s="25"/>
      <c r="M176" s="25"/>
    </row>
    <row r="177" spans="2:13" x14ac:dyDescent="0.2">
      <c r="B177" s="13" t="s">
        <v>147</v>
      </c>
      <c r="C177" s="72"/>
      <c r="D177" s="72"/>
      <c r="E177" s="8"/>
      <c r="F177" s="1"/>
      <c r="G177" s="1"/>
      <c r="H177" s="1"/>
      <c r="I177" s="25"/>
      <c r="J177" s="25"/>
      <c r="K177" s="25"/>
      <c r="L177" s="25"/>
      <c r="M177" s="25"/>
    </row>
    <row r="178" spans="2:13" hidden="1" x14ac:dyDescent="0.2">
      <c r="B178" s="26" t="s">
        <v>238</v>
      </c>
      <c r="C178" s="72"/>
      <c r="D178" s="72"/>
      <c r="E178" s="1">
        <f>E85-D85</f>
        <v>1771.15</v>
      </c>
      <c r="F178" s="1">
        <f>F85-E85</f>
        <v>-782.69900000000007</v>
      </c>
      <c r="G178" s="1">
        <f>G85-F85</f>
        <v>347</v>
      </c>
      <c r="H178" s="1">
        <f>H85-G85</f>
        <v>-543</v>
      </c>
      <c r="I178" s="1">
        <f>I85-H85</f>
        <v>1167.7851402406354</v>
      </c>
      <c r="J178" s="1">
        <f>J85-I85</f>
        <v>1023.4858412550961</v>
      </c>
      <c r="K178" s="1">
        <f>K85-J85</f>
        <v>917.64587464560191</v>
      </c>
      <c r="L178" s="1">
        <f>L85-K85</f>
        <v>690.53736672542345</v>
      </c>
      <c r="M178" s="1">
        <f>M85-L85</f>
        <v>350.26871606987788</v>
      </c>
    </row>
    <row r="179" spans="2:13" hidden="1" x14ac:dyDescent="0.2">
      <c r="B179" s="26" t="s">
        <v>239</v>
      </c>
      <c r="C179" s="72"/>
      <c r="D179" s="72"/>
      <c r="E179" s="1">
        <f>(E91-D91)+(E88-D88)</f>
        <v>252.78600000000051</v>
      </c>
      <c r="F179" s="1">
        <f>(F91-E91)+(F88-E88)</f>
        <v>2174.9249999999997</v>
      </c>
      <c r="G179" s="1">
        <f>(G91-F91)+(G88-F88)</f>
        <v>-1403</v>
      </c>
      <c r="H179" s="1">
        <f>(H91-G91)+(H88-G88)</f>
        <v>-4095</v>
      </c>
      <c r="I179" s="1">
        <f>(I91-H91)+(I88-H88)</f>
        <v>6460.6665625270134</v>
      </c>
      <c r="J179" s="1">
        <f>(J91-I91)+(J88-I88)</f>
        <v>5662.3436315126191</v>
      </c>
      <c r="K179" s="1">
        <f>(K91-J91)+(K88-J88)</f>
        <v>5076.7935078725532</v>
      </c>
      <c r="L179" s="1">
        <f>(L91-K91)+(L88-K88)</f>
        <v>3820.3360546779095</v>
      </c>
      <c r="M179" s="1">
        <f>(M91-L91)+(M88-L88)</f>
        <v>1937.8302598932005</v>
      </c>
    </row>
    <row r="180" spans="2:13" ht="17" hidden="1" thickBot="1" x14ac:dyDescent="0.25">
      <c r="B180" s="26" t="s">
        <v>240</v>
      </c>
      <c r="C180" s="72"/>
      <c r="D180" s="72"/>
      <c r="E180" s="30"/>
      <c r="F180" s="30"/>
      <c r="G180" s="30"/>
      <c r="H180" s="30"/>
      <c r="I180" s="128"/>
      <c r="J180" s="128"/>
      <c r="K180" s="128"/>
      <c r="L180" s="128"/>
      <c r="M180" s="128"/>
    </row>
    <row r="181" spans="2:13" hidden="1" x14ac:dyDescent="0.2">
      <c r="B181" s="130" t="s">
        <v>162</v>
      </c>
      <c r="C181" s="72"/>
      <c r="D181" s="72"/>
      <c r="E181" s="68">
        <f>SUM(E178:E180)</f>
        <v>2023.9360000000006</v>
      </c>
      <c r="F181" s="68">
        <f t="shared" ref="F181:M181" si="74">SUM(F178:F180)</f>
        <v>1392.2259999999997</v>
      </c>
      <c r="G181" s="68">
        <f t="shared" si="74"/>
        <v>-1056</v>
      </c>
      <c r="H181" s="68">
        <f t="shared" si="74"/>
        <v>-4638</v>
      </c>
      <c r="I181" s="68">
        <f t="shared" si="74"/>
        <v>7628.4517027676484</v>
      </c>
      <c r="J181" s="68">
        <f t="shared" si="74"/>
        <v>6685.8294727677148</v>
      </c>
      <c r="K181" s="68">
        <f t="shared" si="74"/>
        <v>5994.4393825181551</v>
      </c>
      <c r="L181" s="68">
        <f t="shared" si="74"/>
        <v>4510.8734214033329</v>
      </c>
      <c r="M181" s="68">
        <f t="shared" si="74"/>
        <v>2288.0989759630784</v>
      </c>
    </row>
    <row r="182" spans="2:13" hidden="1" x14ac:dyDescent="0.2">
      <c r="C182" s="72"/>
      <c r="D182" s="72"/>
      <c r="E182" s="8"/>
      <c r="F182" s="1"/>
      <c r="G182" s="1"/>
      <c r="H182" s="1"/>
      <c r="I182" s="25"/>
      <c r="J182" s="25"/>
      <c r="K182" s="25"/>
      <c r="L182" s="25"/>
      <c r="M182" s="25"/>
    </row>
    <row r="183" spans="2:13" x14ac:dyDescent="0.2">
      <c r="B183" s="14" t="s">
        <v>242</v>
      </c>
      <c r="C183" s="72"/>
      <c r="D183" s="72"/>
      <c r="E183" s="8"/>
      <c r="F183" s="1"/>
      <c r="G183" s="1"/>
      <c r="H183" s="1"/>
      <c r="I183" s="25"/>
      <c r="J183" s="25"/>
      <c r="K183" s="25"/>
      <c r="L183" s="25"/>
      <c r="M183" s="25"/>
    </row>
    <row r="184" spans="2:13" x14ac:dyDescent="0.2">
      <c r="B184" s="124" t="s">
        <v>148</v>
      </c>
      <c r="C184" s="72">
        <v>1701.7339999999999</v>
      </c>
      <c r="D184" s="72">
        <v>400.17500000000001</v>
      </c>
      <c r="E184" s="8"/>
      <c r="F184" s="1">
        <v>848</v>
      </c>
      <c r="G184" s="1">
        <v>12269</v>
      </c>
      <c r="H184" s="1"/>
      <c r="I184" s="25"/>
      <c r="J184" s="25"/>
      <c r="K184" s="25"/>
      <c r="L184" s="25"/>
      <c r="M184" s="25"/>
    </row>
    <row r="185" spans="2:13" x14ac:dyDescent="0.2">
      <c r="B185" s="124" t="s">
        <v>149</v>
      </c>
      <c r="C185" s="72">
        <v>2852.9639999999999</v>
      </c>
      <c r="D185" s="72">
        <v>7138.0550000000003</v>
      </c>
      <c r="E185" s="8">
        <v>6176.1730000000007</v>
      </c>
      <c r="F185" s="1">
        <v>10669</v>
      </c>
      <c r="G185" s="1">
        <v>9713</v>
      </c>
      <c r="H185" s="1">
        <v>8883</v>
      </c>
      <c r="I185" s="25">
        <f>(I85+I88+I91)*I225</f>
        <v>13003.784488218813</v>
      </c>
      <c r="J185" s="25">
        <f>(J85+J88+J91)*J225</f>
        <v>17831.577961185252</v>
      </c>
      <c r="K185" s="25">
        <f>(K85+K88+K91)*K225</f>
        <v>22160.123198973666</v>
      </c>
      <c r="L185" s="25">
        <f>(L85+L88+L91)*L225</f>
        <v>25417.395217342033</v>
      </c>
      <c r="M185" s="25">
        <f>(M85+M88+M91)*M225</f>
        <v>27069.616433370571</v>
      </c>
    </row>
    <row r="186" spans="2:13" x14ac:dyDescent="0.2">
      <c r="B186" s="124" t="s">
        <v>157</v>
      </c>
      <c r="C186" s="72"/>
      <c r="D186" s="72">
        <v>287.21300000000002</v>
      </c>
      <c r="E186" s="8"/>
      <c r="F186" s="1">
        <v>174</v>
      </c>
      <c r="G186" s="1"/>
      <c r="H186" s="1"/>
      <c r="I186" s="25"/>
      <c r="J186" s="25"/>
      <c r="K186" s="25"/>
      <c r="L186" s="25"/>
      <c r="M186" s="25"/>
    </row>
    <row r="187" spans="2:13" x14ac:dyDescent="0.2">
      <c r="B187" s="124" t="s">
        <v>158</v>
      </c>
      <c r="C187" s="72"/>
      <c r="D187" s="72">
        <v>52.883000000000003</v>
      </c>
      <c r="E187" s="8"/>
      <c r="F187" s="1">
        <v>279</v>
      </c>
      <c r="G187" s="1">
        <v>24</v>
      </c>
      <c r="H187" s="1">
        <v>2</v>
      </c>
      <c r="I187" s="25"/>
      <c r="J187" s="25"/>
      <c r="K187" s="25"/>
      <c r="L187" s="25"/>
      <c r="M187" s="25"/>
    </row>
    <row r="188" spans="2:13" x14ac:dyDescent="0.2">
      <c r="B188" s="124" t="s">
        <v>153</v>
      </c>
      <c r="C188" s="72">
        <v>163.81700000000001</v>
      </c>
      <c r="D188" s="72">
        <v>259.11599999999999</v>
      </c>
      <c r="E188" s="8">
        <v>295.72199999999998</v>
      </c>
      <c r="F188" s="1">
        <v>263</v>
      </c>
      <c r="G188" s="1">
        <v>417</v>
      </c>
      <c r="H188" s="1">
        <v>707</v>
      </c>
      <c r="I188" s="25"/>
      <c r="J188" s="25"/>
      <c r="K188" s="25"/>
      <c r="L188" s="25"/>
      <c r="M188" s="25"/>
    </row>
    <row r="189" spans="2:13" x14ac:dyDescent="0.2">
      <c r="B189" s="124" t="s">
        <v>158</v>
      </c>
      <c r="C189" s="72">
        <v>201.52699999999999</v>
      </c>
      <c r="D189" s="72">
        <v>789.70399999999995</v>
      </c>
      <c r="E189" s="8">
        <v>437.13400000000001</v>
      </c>
      <c r="F189" s="1"/>
      <c r="G189" s="1"/>
      <c r="H189" s="1"/>
      <c r="I189" s="25"/>
      <c r="J189" s="25"/>
      <c r="K189" s="25"/>
      <c r="L189" s="25"/>
      <c r="M189" s="25"/>
    </row>
    <row r="190" spans="2:13" x14ac:dyDescent="0.2">
      <c r="B190" s="48" t="s">
        <v>241</v>
      </c>
      <c r="C190" s="72"/>
      <c r="D190" s="72"/>
      <c r="E190" s="8"/>
      <c r="F190" s="1"/>
      <c r="G190" s="1"/>
      <c r="H190" s="1"/>
      <c r="I190" s="25"/>
      <c r="J190" s="25"/>
      <c r="K190" s="25"/>
      <c r="L190" s="25"/>
      <c r="M190" s="25"/>
    </row>
    <row r="191" spans="2:13" x14ac:dyDescent="0.2">
      <c r="B191" s="124" t="s">
        <v>150</v>
      </c>
      <c r="C191" s="72">
        <v>-1857.5939999999998</v>
      </c>
      <c r="D191" s="72">
        <v>-3995.4839999999995</v>
      </c>
      <c r="E191" s="8">
        <v>-5247.0569999999998</v>
      </c>
      <c r="F191" s="1">
        <v>-9161</v>
      </c>
      <c r="G191" s="1">
        <v>-11623</v>
      </c>
      <c r="H191" s="1">
        <v>-14167</v>
      </c>
      <c r="I191" s="25">
        <f>(I$91+I$94+I$97)*I226</f>
        <v>-20389.496225398638</v>
      </c>
      <c r="J191" s="25">
        <f>(J$91+J$94+J$97)*J226</f>
        <v>-21684.716492702122</v>
      </c>
      <c r="K191" s="25">
        <f>(K$91+K$94+K$97)*K226</f>
        <v>-22845.996392374109</v>
      </c>
      <c r="L191" s="25">
        <f>(L$91+L$94+L$97)*L226</f>
        <v>-23719.870711550186</v>
      </c>
      <c r="M191" s="25">
        <f>(M$91+M$94+M$97)*M226</f>
        <v>-24163.135407327249</v>
      </c>
    </row>
    <row r="192" spans="2:13" x14ac:dyDescent="0.2">
      <c r="B192" s="124" t="s">
        <v>151</v>
      </c>
      <c r="C192" s="72"/>
      <c r="D192" s="72">
        <v>-165</v>
      </c>
      <c r="E192" s="8">
        <v>-100</v>
      </c>
      <c r="F192" s="1"/>
      <c r="G192" s="1"/>
      <c r="H192" s="1"/>
      <c r="I192" s="25"/>
      <c r="J192" s="25"/>
      <c r="K192" s="25"/>
      <c r="L192" s="25"/>
      <c r="M192" s="25"/>
    </row>
    <row r="193" spans="2:13" x14ac:dyDescent="0.2">
      <c r="B193" s="124" t="s">
        <v>152</v>
      </c>
      <c r="C193" s="72">
        <v>769.70900000000006</v>
      </c>
      <c r="D193" s="72">
        <v>511.32100000000003</v>
      </c>
      <c r="E193" s="8">
        <v>-559.16700000000003</v>
      </c>
      <c r="F193" s="1">
        <v>-389</v>
      </c>
      <c r="G193" s="1">
        <v>-240</v>
      </c>
      <c r="H193" s="1">
        <v>-9</v>
      </c>
      <c r="I193" s="25">
        <f>(I$85+I$88+I$91+I$66+I$69)*I227</f>
        <v>-193.21263218252068</v>
      </c>
      <c r="J193" s="25">
        <f>(J$85+J$88+J$91+J$66+J$69)*J227</f>
        <v>-264.94487946718846</v>
      </c>
      <c r="K193" s="25">
        <f>(K$85+K$88+K$91+K$66+K$69)*K227</f>
        <v>-329.25920424486469</v>
      </c>
      <c r="L193" s="25">
        <f>(L$85+L$88+L$91+L$66+L$69)*L227</f>
        <v>-377.65635362653893</v>
      </c>
      <c r="M193" s="25">
        <f>(M$85+M$88+M$91+M$66+M$69)*M227</f>
        <v>-402.20536167768716</v>
      </c>
    </row>
    <row r="194" spans="2:13" x14ac:dyDescent="0.2">
      <c r="B194" s="124" t="s">
        <v>154</v>
      </c>
      <c r="C194" s="72">
        <v>-46.888999999999996</v>
      </c>
      <c r="D194" s="72">
        <v>-103.304</v>
      </c>
      <c r="E194" s="8">
        <v>-180.80500000000001</v>
      </c>
      <c r="F194" s="1">
        <v>-321</v>
      </c>
      <c r="G194" s="1">
        <v>-338</v>
      </c>
      <c r="H194" s="1">
        <v>-439</v>
      </c>
      <c r="I194" s="25">
        <f>(I$85+I$88+I$91+I$66+I$69)*I228</f>
        <v>-531.11139262229506</v>
      </c>
      <c r="J194" s="25">
        <f>(J$85+J$88+J$91+J$66+J$69)*J228</f>
        <v>-728.29215311883013</v>
      </c>
      <c r="K194" s="25">
        <f>(K$85+K$88+K$91+K$66+K$69)*K228</f>
        <v>-905.08220153536638</v>
      </c>
      <c r="L194" s="25">
        <f>(L$85+L$88+L$91+L$66+L$69)*L228</f>
        <v>-1038.1184172149312</v>
      </c>
      <c r="M194" s="25">
        <f>(M$85+M$88+M$91+M$66+M$69)*M228</f>
        <v>-1105.599811708975</v>
      </c>
    </row>
    <row r="195" spans="2:13" hidden="1" x14ac:dyDescent="0.2">
      <c r="B195" s="124" t="s">
        <v>159</v>
      </c>
      <c r="C195" s="72"/>
      <c r="D195" s="72">
        <v>-230.38499999999999</v>
      </c>
      <c r="E195" s="8"/>
      <c r="F195" s="1"/>
      <c r="G195" s="1"/>
      <c r="H195" s="1"/>
      <c r="I195" s="25"/>
      <c r="J195" s="25"/>
      <c r="K195" s="25"/>
      <c r="L195" s="25"/>
      <c r="M195" s="25"/>
    </row>
    <row r="196" spans="2:13" x14ac:dyDescent="0.2">
      <c r="B196" s="124" t="s">
        <v>160</v>
      </c>
      <c r="C196" s="72">
        <v>-21.25</v>
      </c>
      <c r="D196" s="72">
        <v>-261.84399999999999</v>
      </c>
      <c r="E196" s="8">
        <v>-227.304</v>
      </c>
      <c r="F196" s="1">
        <v>-311</v>
      </c>
      <c r="G196" s="1">
        <v>-208</v>
      </c>
      <c r="H196" s="1">
        <v>-161</v>
      </c>
      <c r="I196" s="25">
        <f>I$18*I229</f>
        <v>-1091.7901767788626</v>
      </c>
      <c r="J196" s="25">
        <f>J$18*J229</f>
        <v>-1499.2635700524324</v>
      </c>
      <c r="K196" s="25">
        <f>K$18*K229</f>
        <v>-1862.8292989172626</v>
      </c>
      <c r="L196" s="25">
        <f>L$18*L229</f>
        <v>-2148.0559033120326</v>
      </c>
      <c r="M196" s="25">
        <f>M$18*M229</f>
        <v>-2277.9896178733302</v>
      </c>
    </row>
    <row r="197" spans="2:13" ht="17" thickBot="1" x14ac:dyDescent="0.25">
      <c r="B197" s="124" t="s">
        <v>161</v>
      </c>
      <c r="C197" s="127"/>
      <c r="D197" s="127"/>
      <c r="E197" s="8">
        <v>-5.9569999999999999</v>
      </c>
      <c r="F197" s="8">
        <v>-9</v>
      </c>
      <c r="G197" s="8">
        <v>-35</v>
      </c>
      <c r="H197" s="8">
        <v>-10</v>
      </c>
      <c r="I197" s="25">
        <f>I$18*I230</f>
        <v>-73.516258393575214</v>
      </c>
      <c r="J197" s="25">
        <f>J$18*J230</f>
        <v>-100.9536908833842</v>
      </c>
      <c r="K197" s="25">
        <f>K$18*K230</f>
        <v>-125.43457799406664</v>
      </c>
      <c r="L197" s="25">
        <f>L$18*L230</f>
        <v>-144.64045948612471</v>
      </c>
      <c r="M197" s="25">
        <f>M$18*M230</f>
        <v>-153.38961361563668</v>
      </c>
    </row>
    <row r="198" spans="2:13" ht="17" thickTop="1" x14ac:dyDescent="0.2">
      <c r="B198" s="14" t="s">
        <v>243</v>
      </c>
    </row>
    <row r="199" spans="2:13" x14ac:dyDescent="0.2">
      <c r="B199" s="124" t="s">
        <v>155</v>
      </c>
      <c r="C199" s="72">
        <v>-20.041999999999998</v>
      </c>
      <c r="D199" s="72">
        <v>-63.111000000000004</v>
      </c>
      <c r="E199" s="8">
        <v>-14.972999999999999</v>
      </c>
      <c r="F199" s="1">
        <v>-37</v>
      </c>
      <c r="G199" s="1">
        <v>-6</v>
      </c>
      <c r="H199" s="1">
        <v>-9</v>
      </c>
      <c r="I199" s="25">
        <f>(I$85+I$88+I$91)*I231</f>
        <v>-20.65687550406895</v>
      </c>
      <c r="J199" s="25">
        <f>(J$85+J$88+J$91)*J231</f>
        <v>-28.325960517033852</v>
      </c>
      <c r="K199" s="25">
        <f>(K$85+K$88+K$91)*K231</f>
        <v>-35.201975739504924</v>
      </c>
      <c r="L199" s="25">
        <f>(L$85+L$88+L$91)*L231</f>
        <v>-40.376243478814331</v>
      </c>
      <c r="M199" s="25">
        <f>(M$85+M$88+M$91)*M231</f>
        <v>-43.000843109452923</v>
      </c>
    </row>
    <row r="200" spans="2:13" ht="15" customHeight="1" thickBot="1" x14ac:dyDescent="0.25">
      <c r="B200" s="124" t="s">
        <v>156</v>
      </c>
      <c r="C200" s="72"/>
      <c r="D200" s="72">
        <v>-204.102</v>
      </c>
      <c r="E200" s="30"/>
      <c r="F200" s="30">
        <v>-476</v>
      </c>
      <c r="G200" s="30"/>
      <c r="H200" s="30"/>
      <c r="I200" s="128"/>
      <c r="J200" s="128"/>
      <c r="K200" s="128"/>
      <c r="L200" s="128"/>
      <c r="M200" s="128"/>
    </row>
    <row r="201" spans="2:13" ht="17" thickTop="1" x14ac:dyDescent="0.2">
      <c r="B201" s="130" t="s">
        <v>162</v>
      </c>
      <c r="C201" s="67">
        <v>3743.9760000000001</v>
      </c>
      <c r="D201" s="67">
        <v>4414.8639999999996</v>
      </c>
      <c r="E201" s="68">
        <v>573.755</v>
      </c>
      <c r="F201" s="68">
        <v>1529</v>
      </c>
      <c r="G201" s="68">
        <v>9973</v>
      </c>
      <c r="H201" s="68">
        <v>-5203</v>
      </c>
      <c r="I201" s="16">
        <f>SUM(I184:I200)</f>
        <v>-9295.9990726611486</v>
      </c>
      <c r="J201" s="16">
        <f t="shared" ref="J201:M201" si="75">SUM(J184:J200)</f>
        <v>-6474.9187855557393</v>
      </c>
      <c r="K201" s="16">
        <f t="shared" si="75"/>
        <v>-3943.680451831508</v>
      </c>
      <c r="L201" s="16">
        <f t="shared" si="75"/>
        <v>-2051.3228713265944</v>
      </c>
      <c r="M201" s="16">
        <f t="shared" si="75"/>
        <v>-1075.7042219417594</v>
      </c>
    </row>
    <row r="202" spans="2:13" hidden="1" x14ac:dyDescent="0.2">
      <c r="B202" s="124" t="s">
        <v>163</v>
      </c>
      <c r="C202" s="72">
        <v>-6.5529999999999999</v>
      </c>
      <c r="D202" s="72">
        <v>39.725999999999999</v>
      </c>
      <c r="E202" s="8">
        <v>-22.7</v>
      </c>
      <c r="F202" s="1">
        <v>8</v>
      </c>
      <c r="G202" s="1">
        <v>334</v>
      </c>
      <c r="H202" s="1">
        <v>-183</v>
      </c>
      <c r="I202" s="25"/>
      <c r="J202" s="25"/>
      <c r="K202" s="25"/>
      <c r="L202" s="25"/>
      <c r="M202" s="25"/>
    </row>
    <row r="203" spans="2:13" hidden="1" x14ac:dyDescent="0.2">
      <c r="B203" s="124" t="s">
        <v>164</v>
      </c>
      <c r="C203" s="72">
        <v>2532.509</v>
      </c>
      <c r="D203" s="72">
        <v>198.059</v>
      </c>
      <c r="E203" s="8">
        <v>311.42899999999997</v>
      </c>
      <c r="F203" s="1">
        <v>2506</v>
      </c>
      <c r="G203" s="1">
        <v>13118</v>
      </c>
      <c r="H203" s="1">
        <v>-1757</v>
      </c>
      <c r="I203" s="25"/>
      <c r="J203" s="25"/>
      <c r="K203" s="25"/>
      <c r="L203" s="25"/>
      <c r="M203" s="25"/>
    </row>
    <row r="204" spans="2:13" hidden="1" x14ac:dyDescent="0.2">
      <c r="B204" s="124" t="s">
        <v>165</v>
      </c>
      <c r="C204" s="72">
        <v>1234.3910000000001</v>
      </c>
      <c r="D204" s="72">
        <v>3766.9</v>
      </c>
      <c r="E204" s="8">
        <v>3964.9589999999998</v>
      </c>
      <c r="F204" s="1">
        <v>4277</v>
      </c>
      <c r="G204" s="1">
        <v>6783</v>
      </c>
      <c r="H204" s="1">
        <v>19901</v>
      </c>
      <c r="I204" s="25"/>
      <c r="J204" s="25"/>
      <c r="K204" s="25"/>
      <c r="L204" s="25"/>
      <c r="M204" s="25"/>
    </row>
    <row r="205" spans="2:13" hidden="1" x14ac:dyDescent="0.2">
      <c r="B205" s="124" t="s">
        <v>166</v>
      </c>
      <c r="C205" s="72">
        <v>3766.9</v>
      </c>
      <c r="D205" s="72">
        <v>3964.9589999999998</v>
      </c>
      <c r="E205" s="8">
        <v>4276.3879999999999</v>
      </c>
      <c r="F205" s="1">
        <v>6783</v>
      </c>
      <c r="G205" s="1">
        <v>19901</v>
      </c>
      <c r="H205" s="1">
        <v>18144</v>
      </c>
      <c r="I205" s="25"/>
      <c r="J205" s="25"/>
      <c r="K205" s="25"/>
      <c r="L205" s="25"/>
      <c r="M205" s="25"/>
    </row>
    <row r="206" spans="2:13" hidden="1" x14ac:dyDescent="0.2">
      <c r="B206" s="124"/>
      <c r="C206" s="72"/>
      <c r="D206" s="72"/>
      <c r="E206" s="8"/>
      <c r="F206" s="1"/>
      <c r="G206" s="1"/>
      <c r="H206" s="1"/>
      <c r="I206" s="25"/>
      <c r="J206" s="25"/>
      <c r="K206" s="25"/>
      <c r="L206" s="25"/>
      <c r="M206" s="25"/>
    </row>
    <row r="207" spans="2:13" hidden="1" x14ac:dyDescent="0.2">
      <c r="B207" s="14" t="s">
        <v>167</v>
      </c>
      <c r="C207" s="72"/>
      <c r="D207" s="72"/>
      <c r="E207" s="8"/>
      <c r="F207" s="1"/>
      <c r="G207" s="1"/>
      <c r="H207" s="1"/>
      <c r="I207" s="25"/>
      <c r="J207" s="25"/>
      <c r="K207" s="25"/>
      <c r="L207" s="25"/>
      <c r="M207" s="25"/>
    </row>
    <row r="208" spans="2:13" hidden="1" x14ac:dyDescent="0.2">
      <c r="B208" s="124" t="s">
        <v>168</v>
      </c>
      <c r="C208" s="72">
        <v>2145.9769999999999</v>
      </c>
      <c r="D208" s="72">
        <v>10.528</v>
      </c>
      <c r="E208" s="8"/>
      <c r="F208" s="1">
        <v>207</v>
      </c>
      <c r="G208" s="1"/>
      <c r="H208" s="1"/>
      <c r="I208" s="25"/>
      <c r="J208" s="25"/>
      <c r="K208" s="25"/>
      <c r="L208" s="25"/>
      <c r="M208" s="25"/>
    </row>
    <row r="209" spans="2:26" hidden="1" x14ac:dyDescent="0.2">
      <c r="B209" s="124" t="s">
        <v>169</v>
      </c>
      <c r="C209" s="72">
        <v>663.77099999999996</v>
      </c>
      <c r="D209" s="72">
        <v>914.10799999999995</v>
      </c>
      <c r="E209" s="8">
        <v>249.14099999999999</v>
      </c>
      <c r="F209" s="1">
        <v>562</v>
      </c>
      <c r="G209" s="1">
        <v>1088</v>
      </c>
      <c r="H209" s="1">
        <v>2251</v>
      </c>
      <c r="I209" s="25"/>
      <c r="J209" s="25"/>
      <c r="K209" s="25"/>
      <c r="L209" s="25"/>
      <c r="M209" s="25"/>
    </row>
    <row r="210" spans="2:26" hidden="1" x14ac:dyDescent="0.2">
      <c r="B210" s="124" t="s">
        <v>170</v>
      </c>
      <c r="C210" s="72">
        <v>307.87900000000002</v>
      </c>
      <c r="D210" s="72">
        <v>313.483</v>
      </c>
      <c r="E210" s="8">
        <v>94.445000000000007</v>
      </c>
      <c r="F210" s="1"/>
      <c r="G210" s="1"/>
      <c r="H210" s="1"/>
      <c r="I210" s="25"/>
      <c r="J210" s="25"/>
      <c r="K210" s="25"/>
      <c r="L210" s="25"/>
      <c r="M210" s="25"/>
    </row>
    <row r="211" spans="2:26" hidden="1" x14ac:dyDescent="0.2">
      <c r="B211" s="124"/>
      <c r="C211" s="72"/>
      <c r="D211" s="72"/>
      <c r="E211" s="8"/>
      <c r="F211" s="1"/>
      <c r="G211" s="1"/>
      <c r="H211" s="1"/>
      <c r="I211" s="25"/>
      <c r="J211" s="25"/>
      <c r="K211" s="25"/>
      <c r="L211" s="25"/>
      <c r="M211" s="25"/>
    </row>
    <row r="212" spans="2:26" hidden="1" x14ac:dyDescent="0.2">
      <c r="B212" s="14" t="s">
        <v>171</v>
      </c>
      <c r="C212" s="72"/>
      <c r="D212" s="72"/>
      <c r="E212" s="8"/>
      <c r="F212" s="1"/>
      <c r="G212" s="1"/>
      <c r="H212" s="1"/>
      <c r="I212" s="25"/>
      <c r="J212" s="25"/>
      <c r="K212" s="25"/>
      <c r="L212" s="25"/>
      <c r="M212" s="25"/>
    </row>
    <row r="213" spans="2:26" hidden="1" x14ac:dyDescent="0.2">
      <c r="B213" s="124" t="s">
        <v>172</v>
      </c>
      <c r="C213" s="72">
        <v>38.692999999999998</v>
      </c>
      <c r="D213" s="72">
        <v>182.571</v>
      </c>
      <c r="E213" s="8">
        <v>380.83600000000001</v>
      </c>
      <c r="F213" s="1">
        <v>455</v>
      </c>
      <c r="G213" s="1">
        <v>444</v>
      </c>
      <c r="H213" s="1">
        <v>266</v>
      </c>
      <c r="I213" s="25"/>
      <c r="J213" s="25"/>
      <c r="K213" s="25"/>
      <c r="L213" s="25"/>
      <c r="M213" s="25"/>
    </row>
    <row r="214" spans="2:26" hidden="1" x14ac:dyDescent="0.2">
      <c r="B214" s="124" t="s">
        <v>173</v>
      </c>
      <c r="C214" s="72">
        <v>16.384999999999998</v>
      </c>
      <c r="D214" s="72">
        <v>65.695000000000007</v>
      </c>
      <c r="E214" s="8">
        <v>35.408999999999999</v>
      </c>
      <c r="F214" s="1">
        <v>54</v>
      </c>
      <c r="G214" s="1">
        <v>115</v>
      </c>
      <c r="H214" s="1">
        <v>561</v>
      </c>
      <c r="I214" s="25"/>
      <c r="J214" s="25"/>
      <c r="K214" s="25"/>
      <c r="L214" s="25"/>
      <c r="M214" s="25"/>
      <c r="Q214" s="13"/>
      <c r="R214" s="13"/>
      <c r="S214" s="13"/>
      <c r="T214" s="13"/>
      <c r="U214" s="13"/>
      <c r="V214" s="13"/>
      <c r="W214" s="13"/>
      <c r="X214" s="13"/>
      <c r="Y214" s="13"/>
      <c r="Z214" s="13"/>
    </row>
    <row r="215" spans="2:26" hidden="1" x14ac:dyDescent="0.2">
      <c r="B215" s="124"/>
      <c r="C215" s="72"/>
      <c r="D215" s="72"/>
      <c r="E215" s="8"/>
      <c r="F215" s="1"/>
      <c r="G215" s="1"/>
      <c r="H215" s="1"/>
      <c r="I215" s="25"/>
      <c r="J215" s="25"/>
      <c r="K215" s="25"/>
      <c r="L215" s="25"/>
      <c r="M215" s="25"/>
      <c r="Q215" s="13"/>
      <c r="R215" s="13"/>
      <c r="S215" s="13"/>
      <c r="T215" s="13"/>
      <c r="U215" s="13"/>
      <c r="V215" s="13"/>
      <c r="W215" s="13"/>
      <c r="X215" s="13"/>
      <c r="Y215" s="13"/>
      <c r="Z215" s="13"/>
    </row>
    <row r="216" spans="2:26" s="13" customFormat="1" x14ac:dyDescent="0.2">
      <c r="B216" s="130" t="s">
        <v>237</v>
      </c>
      <c r="C216" s="67"/>
      <c r="D216" s="67"/>
      <c r="E216" s="68">
        <f>E201+E164+E175</f>
        <v>334.12900000000036</v>
      </c>
      <c r="F216" s="68">
        <f t="shared" ref="F216:M216" si="76">F201+F164+F175</f>
        <v>2498</v>
      </c>
      <c r="G216" s="68">
        <f t="shared" si="76"/>
        <v>12784</v>
      </c>
      <c r="H216" s="68">
        <f>H201+H164+H175</f>
        <v>-1574</v>
      </c>
      <c r="I216" s="68">
        <f t="shared" si="76"/>
        <v>-8617.6527406713776</v>
      </c>
      <c r="J216" s="68">
        <f t="shared" si="76"/>
        <v>-1256.695005565005</v>
      </c>
      <c r="K216" s="68">
        <f>K201+K164+K175</f>
        <v>2319.9815444116284</v>
      </c>
      <c r="L216" s="68">
        <f t="shared" si="76"/>
        <v>4960.2579996912064</v>
      </c>
      <c r="M216" s="68">
        <f t="shared" si="76"/>
        <v>6109.1218840496622</v>
      </c>
      <c r="Q216" s="14"/>
      <c r="R216" s="14"/>
      <c r="S216" s="14"/>
      <c r="T216" s="14"/>
      <c r="U216" s="14"/>
      <c r="V216" s="14"/>
      <c r="W216" s="14"/>
      <c r="X216" s="14"/>
      <c r="Y216" s="14"/>
      <c r="Z216" s="14"/>
    </row>
    <row r="217" spans="2:26" s="13" customFormat="1" x14ac:dyDescent="0.2">
      <c r="B217" s="130"/>
      <c r="C217" s="67"/>
      <c r="D217" s="67"/>
      <c r="E217" s="68"/>
      <c r="F217" s="68"/>
      <c r="G217" s="68"/>
      <c r="H217" s="68"/>
      <c r="I217" s="68"/>
      <c r="J217" s="68"/>
      <c r="K217" s="68"/>
      <c r="L217" s="68"/>
      <c r="M217" s="68"/>
      <c r="Q217" s="14"/>
      <c r="R217" s="14"/>
      <c r="S217" s="14"/>
      <c r="T217" s="14"/>
      <c r="U217" s="14"/>
      <c r="V217" s="14"/>
      <c r="W217" s="14"/>
      <c r="X217" s="14"/>
      <c r="Y217" s="14"/>
      <c r="Z217" s="14"/>
    </row>
    <row r="218" spans="2:26" x14ac:dyDescent="0.2">
      <c r="B218" s="124"/>
      <c r="C218" s="72"/>
      <c r="D218" s="72"/>
      <c r="E218" s="8"/>
      <c r="F218" s="1"/>
      <c r="G218" s="1"/>
      <c r="H218" s="68"/>
      <c r="I218" s="68"/>
      <c r="J218" s="25"/>
      <c r="K218" s="25"/>
      <c r="L218" s="25"/>
      <c r="M218" s="25"/>
    </row>
    <row r="219" spans="2:26" x14ac:dyDescent="0.2">
      <c r="B219" s="94" t="s">
        <v>53</v>
      </c>
      <c r="C219" s="10"/>
      <c r="D219" s="29"/>
      <c r="E219" s="29"/>
      <c r="F219" s="10"/>
      <c r="G219" s="10"/>
      <c r="H219" s="10"/>
      <c r="I219" s="10"/>
      <c r="J219" s="10"/>
      <c r="K219" s="10"/>
      <c r="L219" s="10"/>
      <c r="M219" s="10"/>
    </row>
    <row r="220" spans="2:26" x14ac:dyDescent="0.2">
      <c r="B220" s="10" t="s">
        <v>119</v>
      </c>
      <c r="C220" s="10"/>
      <c r="D220" s="29"/>
      <c r="E220" s="29"/>
      <c r="F220" s="10"/>
      <c r="G220" s="10"/>
      <c r="H220" s="10"/>
      <c r="I220" s="10"/>
      <c r="J220" s="10"/>
      <c r="K220" s="10"/>
      <c r="L220" s="10"/>
      <c r="M220" s="10"/>
    </row>
    <row r="221" spans="2:26" x14ac:dyDescent="0.2">
      <c r="B221" s="19" t="s">
        <v>121</v>
      </c>
      <c r="C221" s="57">
        <f>C174/C$9</f>
        <v>0.1512042061292766</v>
      </c>
      <c r="D221" s="58">
        <f>D174/D$9</f>
        <v>-2.9710943339249247E-2</v>
      </c>
      <c r="E221" s="59">
        <f>E131/E$3</f>
        <v>8.858050698588732E-2</v>
      </c>
      <c r="F221" s="59">
        <f>F131/F$3</f>
        <v>8.7639352266254369E-2</v>
      </c>
      <c r="G221" s="59">
        <f>G131/G$3</f>
        <v>7.3630136986301373E-2</v>
      </c>
      <c r="H221" s="59">
        <f>H131/H$3</f>
        <v>5.4084684985972541E-2</v>
      </c>
      <c r="I221" s="118">
        <f>AVERAGE(E221:H221)</f>
        <v>7.5983670306103895E-2</v>
      </c>
      <c r="J221" s="118">
        <f t="shared" ref="J221:M221" si="77">I221</f>
        <v>7.5983670306103895E-2</v>
      </c>
      <c r="K221" s="118">
        <f t="shared" si="77"/>
        <v>7.5983670306103895E-2</v>
      </c>
      <c r="L221" s="118">
        <f t="shared" si="77"/>
        <v>7.5983670306103895E-2</v>
      </c>
      <c r="M221" s="118">
        <f t="shared" si="77"/>
        <v>7.5983670306103895E-2</v>
      </c>
    </row>
    <row r="222" spans="2:26" ht="15" customHeight="1" x14ac:dyDescent="0.2">
      <c r="B222" s="10" t="s">
        <v>137</v>
      </c>
      <c r="C222" s="126"/>
      <c r="D222" s="126"/>
      <c r="E222" s="121"/>
      <c r="F222" s="122"/>
      <c r="G222" s="122"/>
      <c r="H222" s="122"/>
      <c r="I222" s="10"/>
      <c r="J222" s="10"/>
      <c r="K222" s="10"/>
      <c r="L222" s="10"/>
      <c r="M222" s="10"/>
    </row>
    <row r="223" spans="2:26" x14ac:dyDescent="0.2">
      <c r="B223" s="131" t="s">
        <v>55</v>
      </c>
      <c r="C223" s="57" t="e">
        <f>[1]cashflow!B185/C$9</f>
        <v>#REF!</v>
      </c>
      <c r="D223" s="58" t="e">
        <f>[1]cashflow!C185/D$9</f>
        <v>#REF!</v>
      </c>
      <c r="E223" s="59">
        <f>E167/E3</f>
        <v>-9.7884430686947299E-2</v>
      </c>
      <c r="F223" s="59">
        <f>F167/F3</f>
        <v>-5.3991374399869806E-2</v>
      </c>
      <c r="G223" s="59">
        <f>G167/G3</f>
        <v>-0.1001078132927448</v>
      </c>
      <c r="H223" s="59">
        <f>H167/H3</f>
        <v>-0.12043178566783717</v>
      </c>
      <c r="I223" s="118">
        <f>AVERAGE(E223:H223)</f>
        <v>-9.3103851011849773E-2</v>
      </c>
      <c r="J223" s="118">
        <f>I223</f>
        <v>-9.3103851011849773E-2</v>
      </c>
      <c r="K223" s="118">
        <f t="shared" ref="K223:L223" si="78">J223</f>
        <v>-9.3103851011849773E-2</v>
      </c>
      <c r="L223" s="118">
        <f t="shared" si="78"/>
        <v>-9.3103851011849773E-2</v>
      </c>
      <c r="M223" s="118">
        <f>L223</f>
        <v>-9.3103851011849773E-2</v>
      </c>
    </row>
    <row r="224" spans="2:26" x14ac:dyDescent="0.2">
      <c r="B224" s="10" t="s">
        <v>147</v>
      </c>
      <c r="C224" s="57"/>
      <c r="D224" s="58"/>
      <c r="E224" s="59"/>
      <c r="F224" s="60"/>
      <c r="G224" s="60"/>
      <c r="H224" s="60"/>
      <c r="I224" s="96"/>
      <c r="J224" s="96"/>
      <c r="K224" s="96"/>
      <c r="L224" s="96"/>
      <c r="M224" s="96"/>
    </row>
    <row r="225" spans="2:13" x14ac:dyDescent="0.2">
      <c r="B225" s="19" t="s">
        <v>149</v>
      </c>
      <c r="E225" s="193">
        <f>E185/(E$85+E$88+E$91)</f>
        <v>0.42066939594629371</v>
      </c>
      <c r="F225" s="193">
        <f>F185/(F$85+F$88+F$91)</f>
        <v>0.66374269005847952</v>
      </c>
      <c r="G225" s="193">
        <f>G185/(G$85+G$88+G$91)</f>
        <v>0.64675722466373686</v>
      </c>
      <c r="H225" s="193">
        <f>H185/(H$85+H$88+H$91)</f>
        <v>0.85578034682080928</v>
      </c>
      <c r="I225" s="118">
        <f>AVERAGE(F225:H225)</f>
        <v>0.72209342051434178</v>
      </c>
      <c r="J225" s="118">
        <f>I225</f>
        <v>0.72209342051434178</v>
      </c>
      <c r="K225" s="118">
        <f t="shared" ref="K225" si="79">J225</f>
        <v>0.72209342051434178</v>
      </c>
      <c r="L225" s="118">
        <f t="shared" ref="L225" si="80">K225</f>
        <v>0.72209342051434178</v>
      </c>
      <c r="M225" s="118">
        <f>L225</f>
        <v>0.72209342051434178</v>
      </c>
    </row>
    <row r="226" spans="2:13" x14ac:dyDescent="0.2">
      <c r="B226" s="19" t="s">
        <v>150</v>
      </c>
      <c r="E226" s="193">
        <f>E191/(E$85+E$88+E$91)</f>
        <v>-0.35738576278316225</v>
      </c>
      <c r="F226" s="193">
        <f>F191/(F$85+F$88+F$91)</f>
        <v>-0.56992658952345399</v>
      </c>
      <c r="G226" s="193">
        <f>G191/(G$85+G$88+G$91)</f>
        <v>-0.77393794113730185</v>
      </c>
      <c r="H226" s="193">
        <f>H191/(H$85+H$88+H$91)</f>
        <v>-1.3648362235067437</v>
      </c>
      <c r="I226" s="118">
        <f>AVERAGE(E226:G226)</f>
        <v>-0.56708343114797266</v>
      </c>
      <c r="J226" s="118">
        <f>I226</f>
        <v>-0.56708343114797266</v>
      </c>
      <c r="K226" s="118">
        <f t="shared" ref="K226:K230" si="81">J226</f>
        <v>-0.56708343114797266</v>
      </c>
      <c r="L226" s="118">
        <f t="shared" ref="L226:L230" si="82">K226</f>
        <v>-0.56708343114797266</v>
      </c>
      <c r="M226" s="118">
        <f t="shared" ref="M226:M231" si="83">L226</f>
        <v>-0.56708343114797266</v>
      </c>
    </row>
    <row r="227" spans="2:13" x14ac:dyDescent="0.2">
      <c r="B227" s="19" t="s">
        <v>152</v>
      </c>
      <c r="E227" s="193">
        <f>E193/(E$85+E$88+E$91+E$66+E$69)</f>
        <v>-3.2787980127153567E-2</v>
      </c>
      <c r="F227" s="193">
        <f>F193/(F$85+F$88+F$91+F$66+F$69)</f>
        <v>-1.9707178681797458E-2</v>
      </c>
      <c r="G227" s="193">
        <f>G193/(G$85+G$88+G$91+G$66+G$69)</f>
        <v>-1.2203182996898357E-2</v>
      </c>
      <c r="H227" s="193">
        <f>H193/(H$85+H$88+H$91+H$66+H$69)</f>
        <v>-5.3232388951321939E-4</v>
      </c>
      <c r="I227" s="118">
        <f>AVERAGE(G227:H227)</f>
        <v>-6.3677534432057883E-3</v>
      </c>
      <c r="J227" s="118">
        <f t="shared" ref="J227:J231" si="84">I227</f>
        <v>-6.3677534432057883E-3</v>
      </c>
      <c r="K227" s="118">
        <f t="shared" si="81"/>
        <v>-6.3677534432057883E-3</v>
      </c>
      <c r="L227" s="118">
        <f t="shared" si="82"/>
        <v>-6.3677534432057883E-3</v>
      </c>
      <c r="M227" s="118">
        <f t="shared" si="83"/>
        <v>-6.3677534432057883E-3</v>
      </c>
    </row>
    <row r="228" spans="2:13" x14ac:dyDescent="0.2">
      <c r="B228" s="19" t="s">
        <v>154</v>
      </c>
      <c r="E228" s="193">
        <f>E194/(E$85+E$88+E$91+E$66+E$69)</f>
        <v>-1.0601896655006465E-2</v>
      </c>
      <c r="F228" s="193">
        <f>F194/(F$85+F$88+F$91+F$66+F$69)</f>
        <v>-1.6262221997061656E-2</v>
      </c>
      <c r="G228" s="193">
        <f>G194/(G$85+G$88+G$91+G$66+G$69)</f>
        <v>-1.7186149387298521E-2</v>
      </c>
      <c r="H228" s="193">
        <f>H194/(H$85+H$88+H$91+H$66+H$69)</f>
        <v>-2.5965576388478146E-2</v>
      </c>
      <c r="I228" s="118">
        <f t="shared" ref="I228:I230" si="85">AVERAGE(E228:H228)</f>
        <v>-1.7503961106961195E-2</v>
      </c>
      <c r="J228" s="118">
        <f t="shared" si="84"/>
        <v>-1.7503961106961195E-2</v>
      </c>
      <c r="K228" s="118">
        <f t="shared" si="81"/>
        <v>-1.7503961106961195E-2</v>
      </c>
      <c r="L228" s="118">
        <f t="shared" si="82"/>
        <v>-1.7503961106961195E-2</v>
      </c>
      <c r="M228" s="118">
        <f t="shared" si="83"/>
        <v>-1.7503961106961195E-2</v>
      </c>
    </row>
    <row r="229" spans="2:13" x14ac:dyDescent="0.2">
      <c r="B229" s="19" t="s">
        <v>160</v>
      </c>
      <c r="E229" s="193">
        <f>-E196/E18</f>
        <v>-0.21391666713721857</v>
      </c>
      <c r="F229" s="193">
        <f>-F196/F18</f>
        <v>-0.40129032258064518</v>
      </c>
      <c r="G229" s="193">
        <f>G196/G18</f>
        <v>-0.24129930394431554</v>
      </c>
      <c r="H229" s="193">
        <f>H196/H18</f>
        <v>-2.8525868178596741E-2</v>
      </c>
      <c r="I229" s="118">
        <f>AVERAGE(E229:H229)</f>
        <v>-0.22125804046019401</v>
      </c>
      <c r="J229" s="118">
        <f t="shared" si="84"/>
        <v>-0.22125804046019401</v>
      </c>
      <c r="K229" s="118">
        <f t="shared" si="81"/>
        <v>-0.22125804046019401</v>
      </c>
      <c r="L229" s="118">
        <f t="shared" si="82"/>
        <v>-0.22125804046019401</v>
      </c>
      <c r="M229" s="118">
        <f t="shared" si="83"/>
        <v>-0.22125804046019401</v>
      </c>
    </row>
    <row r="230" spans="2:13" x14ac:dyDescent="0.2">
      <c r="B230" s="19" t="s">
        <v>161</v>
      </c>
      <c r="E230" s="193">
        <f>-E197/E18</f>
        <v>-5.6061555719935019E-3</v>
      </c>
      <c r="F230" s="193">
        <f>-F197/F18</f>
        <v>-1.1612903225806452E-2</v>
      </c>
      <c r="G230" s="193">
        <f>G197/G18</f>
        <v>-4.0603248259860787E-2</v>
      </c>
      <c r="H230" s="193">
        <f>H197/H18</f>
        <v>-1.771793054571226E-3</v>
      </c>
      <c r="I230" s="118">
        <f t="shared" si="85"/>
        <v>-1.4898525028057991E-2</v>
      </c>
      <c r="J230" s="118">
        <f t="shared" si="84"/>
        <v>-1.4898525028057991E-2</v>
      </c>
      <c r="K230" s="118">
        <f t="shared" si="81"/>
        <v>-1.4898525028057991E-2</v>
      </c>
      <c r="L230" s="118">
        <f t="shared" si="82"/>
        <v>-1.4898525028057991E-2</v>
      </c>
      <c r="M230" s="118">
        <f t="shared" si="83"/>
        <v>-1.4898525028057991E-2</v>
      </c>
    </row>
    <row r="231" spans="2:13" x14ac:dyDescent="0.2">
      <c r="B231" s="19" t="s">
        <v>155</v>
      </c>
      <c r="E231" s="193">
        <f>E199/(E$85+E$88+E$91)</f>
        <v>-1.01983588631728E-3</v>
      </c>
      <c r="F231" s="193">
        <f>F199/(F$85+F$88+F$91)</f>
        <v>-2.3018539255941274E-3</v>
      </c>
      <c r="G231" s="193">
        <f>G199/(G$85+G$88+G$91)</f>
        <v>-3.9952057530962844E-4</v>
      </c>
      <c r="H231" s="193">
        <f>H199/(H$85+H$88+H$91)</f>
        <v>-8.6705202312138728E-4</v>
      </c>
      <c r="I231" s="118">
        <f t="shared" ref="I231" si="86">AVERAGE(E231:H231)</f>
        <v>-1.1470656025856056E-3</v>
      </c>
      <c r="J231" s="118">
        <f t="shared" si="84"/>
        <v>-1.1470656025856056E-3</v>
      </c>
      <c r="K231" s="118">
        <f t="shared" ref="K231" si="87">J231</f>
        <v>-1.1470656025856056E-3</v>
      </c>
      <c r="L231" s="118">
        <f t="shared" ref="L231" si="88">K231</f>
        <v>-1.1470656025856056E-3</v>
      </c>
      <c r="M231" s="118">
        <f t="shared" si="83"/>
        <v>-1.1470656025856056E-3</v>
      </c>
    </row>
    <row r="232" spans="2:13" x14ac:dyDescent="0.2">
      <c r="E232" s="193"/>
      <c r="F232" s="27"/>
      <c r="G232" s="27"/>
      <c r="H232" s="27"/>
      <c r="I232" s="27"/>
      <c r="J232" s="27"/>
      <c r="K232" s="27"/>
      <c r="L232" s="27"/>
      <c r="M232" s="27"/>
    </row>
  </sheetData>
  <pageMargins left="0.7" right="0.7" top="0.75" bottom="0.75" header="0.3" footer="0.3"/>
  <pageSetup orientation="portrait" horizontalDpi="0" verticalDpi="0"/>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DCF</vt:lpstr>
      <vt:lpstr>Revenue</vt:lpstr>
      <vt:lpstr>Financial Statements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2022-02-25T00:16:37Z</dcterms:created>
  <dcterms:modified xsi:type="dcterms:W3CDTF">2022-03-05T03:42:35Z</dcterms:modified>
</cp:coreProperties>
</file>