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D4254242-3F7C-E84C-8CED-990E274223F5}" xr6:coauthVersionLast="47" xr6:coauthVersionMax="47" xr10:uidLastSave="{00000000-0000-0000-0000-000000000000}"/>
  <bookViews>
    <workbookView xWindow="38540" yWindow="500" windowWidth="58760" windowHeight="28300" xr2:uid="{00000000-000D-0000-FFFF-FFFF00000000}"/>
  </bookViews>
  <sheets>
    <sheet name="QLYS-US" sheetId="2" r:id="rId1"/>
    <sheet name="Sheet1" sheetId="3" r:id="rId2"/>
  </sheets>
  <definedNames>
    <definedName name="_xlchart.v2.0" hidden="1">'QLYS-US'!$R$7:$R$10</definedName>
    <definedName name="_xlchart.v2.1" hidden="1">'QLYS-US'!$S$6</definedName>
    <definedName name="_xlchart.v2.2" hidden="1">'QLYS-US'!$S$7:$S$10</definedName>
    <definedName name="_xlchart.v2.3" hidden="1">'QLYS-US'!$T$6</definedName>
    <definedName name="_xlchart.v2.4" hidden="1">'QLYS-US'!$T$7:$T$10</definedName>
    <definedName name="_xlchart.v2.5" hidden="1">'QLYS-US'!$U$6</definedName>
    <definedName name="_xlchart.v2.6" hidden="1">'QLYS-US'!$U$7:$U$10</definedName>
    <definedName name="_xlchart.v2.7" hidden="1">'QLYS-US'!$V$6</definedName>
    <definedName name="_xlchart.v2.8" hidden="1">'QLYS-US'!$V$7:$V$10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7" i="2" l="1"/>
  <c r="D19" i="2" a="1"/>
  <c r="D19" i="2" s="1"/>
  <c r="E19" i="2" s="1"/>
  <c r="E25" i="2"/>
  <c r="E30" i="2" l="1"/>
  <c r="F30" i="2"/>
  <c r="G30" i="2"/>
  <c r="H30" i="2"/>
  <c r="I30" i="2"/>
  <c r="J30" i="2"/>
  <c r="J48" i="2"/>
  <c r="I48" i="2"/>
  <c r="H48" i="2"/>
  <c r="G48" i="2"/>
  <c r="F48" i="2"/>
  <c r="E48" i="2"/>
  <c r="F46" i="2"/>
  <c r="G46" i="2"/>
  <c r="H46" i="2"/>
  <c r="I46" i="2"/>
  <c r="J46" i="2"/>
  <c r="E46"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T135" i="2" s="1"/>
  <c r="W122" i="2"/>
  <c r="X122" i="2"/>
  <c r="AE123" i="2"/>
  <c r="AE124" i="2"/>
  <c r="U121" i="2"/>
  <c r="V121" i="2"/>
  <c r="W121" i="2"/>
  <c r="X121" i="2"/>
  <c r="Y121" i="2"/>
  <c r="S34" i="2" s="1"/>
  <c r="T121" i="2"/>
  <c r="W120" i="2"/>
  <c r="X120" i="2"/>
  <c r="W117" i="2"/>
  <c r="X117" i="2"/>
  <c r="Y117" i="2"/>
  <c r="X109" i="2"/>
  <c r="W112" i="2"/>
  <c r="X112" i="2"/>
  <c r="W113" i="2"/>
  <c r="X113" i="2"/>
  <c r="W114" i="2"/>
  <c r="X114" i="2"/>
  <c r="W115" i="2"/>
  <c r="X115" i="2"/>
  <c r="W116" i="2"/>
  <c r="X116" i="2"/>
  <c r="W111" i="2"/>
  <c r="X111" i="2"/>
  <c r="W110" i="2"/>
  <c r="X110" i="2"/>
  <c r="W109" i="2"/>
  <c r="X108" i="2"/>
  <c r="L54" i="2"/>
  <c r="M54" i="2" s="1"/>
  <c r="N54" i="2" s="1"/>
  <c r="O54" i="2" s="1"/>
  <c r="S31" i="2" a="1"/>
  <c r="S31" i="2" s="1"/>
  <c r="S30" i="2" a="1"/>
  <c r="S30" i="2" s="1"/>
  <c r="S88" i="2" l="1"/>
  <c r="G31" i="2"/>
  <c r="H31" i="2"/>
  <c r="J31" i="2"/>
  <c r="E50" i="2"/>
  <c r="I31" i="2"/>
  <c r="F31" i="2"/>
  <c r="L66" i="2"/>
  <c r="K66" i="2" s="1"/>
  <c r="L75" i="2"/>
  <c r="K75" i="2" s="1"/>
  <c r="D75" i="2"/>
  <c r="C75" i="2" s="1"/>
  <c r="S36" i="2"/>
  <c r="B91" i="2" s="1"/>
  <c r="I33" i="2"/>
  <c r="X135" i="2" s="1"/>
  <c r="H33" i="2"/>
  <c r="I40" i="2"/>
  <c r="F33" i="2"/>
  <c r="J33" i="2"/>
  <c r="Y135" i="2" s="1"/>
  <c r="G33" i="2"/>
  <c r="I41" i="2"/>
  <c r="H40" i="2"/>
  <c r="F41" i="2"/>
  <c r="H41" i="2"/>
  <c r="J41" i="2"/>
  <c r="B90" i="2" l="1"/>
  <c r="J91" i="2"/>
  <c r="J100" i="2" s="1"/>
  <c r="B100" i="2"/>
  <c r="B92" i="2"/>
  <c r="G50" i="2"/>
  <c r="V135" i="2"/>
  <c r="J50" i="2"/>
  <c r="H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S86" i="2" l="1"/>
  <c r="S90" i="2" s="1"/>
  <c r="S87" i="2"/>
  <c r="B101" i="2"/>
  <c r="J92" i="2"/>
  <c r="J101" i="2" s="1"/>
  <c r="B93" i="2"/>
  <c r="J90" i="2"/>
  <c r="J99" i="2" s="1"/>
  <c r="B99" i="2"/>
  <c r="B89" i="2"/>
  <c r="I52" i="2"/>
  <c r="AE135" i="2"/>
  <c r="J40" i="2"/>
  <c r="J34" i="2"/>
  <c r="J51" i="2"/>
  <c r="F52" i="2"/>
  <c r="H51" i="2"/>
  <c r="J52" i="2"/>
  <c r="H52" i="2"/>
  <c r="E88" i="2" l="1"/>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E122" i="2" l="1"/>
  <c r="D11" i="2" s="1"/>
  <c r="M97" i="2"/>
  <c r="M88" i="2"/>
  <c r="E97" i="2"/>
  <c r="F88" i="2"/>
  <c r="N88" i="2" s="1"/>
  <c r="L97" i="2"/>
  <c r="L88" i="2"/>
  <c r="D97" i="2"/>
  <c r="AE109" i="2"/>
  <c r="AE120" i="2"/>
  <c r="AE182" i="2"/>
  <c r="AE178" i="2"/>
  <c r="AE183" i="2"/>
  <c r="AE115" i="2"/>
  <c r="AE121" i="2"/>
  <c r="AE188" i="2"/>
  <c r="AE189" i="2"/>
  <c r="AE180" i="2"/>
  <c r="AE117" i="2"/>
  <c r="S33" i="2" s="1"/>
  <c r="S35" i="2" s="1"/>
  <c r="S39" i="2" s="1"/>
  <c r="AE186" i="2"/>
  <c r="AE187" i="2"/>
  <c r="AE116" i="2"/>
  <c r="AE108" i="2"/>
  <c r="K108" i="2" s="1"/>
  <c r="AE114" i="2"/>
  <c r="AE110" i="2"/>
  <c r="F40" i="2"/>
  <c r="AE112" i="2"/>
  <c r="AE111" i="2"/>
  <c r="AE185" i="2"/>
  <c r="AE184" i="2"/>
  <c r="AE191" i="2"/>
  <c r="AE179" i="2"/>
  <c r="AE113" i="2"/>
  <c r="AE181" i="2"/>
  <c r="E34" i="2"/>
  <c r="E51" i="2"/>
  <c r="G40" i="2"/>
  <c r="G34" i="2"/>
  <c r="G88" i="2" l="1"/>
  <c r="G97" i="2" s="1"/>
  <c r="N97" i="2"/>
  <c r="F97" i="2"/>
  <c r="K97" i="2"/>
  <c r="C97" i="2"/>
  <c r="K88" i="2"/>
  <c r="L108" i="2"/>
  <c r="L30" i="2" s="1"/>
  <c r="K30" i="2"/>
  <c r="K31" i="2" s="1"/>
  <c r="G57" i="2"/>
  <c r="G56" i="2" s="1"/>
  <c r="G55" i="2" s="1"/>
  <c r="B69" i="2"/>
  <c r="B68" i="2" s="1"/>
  <c r="B67" i="2" s="1"/>
  <c r="Z178" i="2"/>
  <c r="K116" i="2"/>
  <c r="Z116" i="2" s="1"/>
  <c r="Z114" i="2"/>
  <c r="Z112" i="2"/>
  <c r="Z113" i="2"/>
  <c r="Z184" i="2"/>
  <c r="Z108" i="2"/>
  <c r="Z183" i="2"/>
  <c r="K109" i="2"/>
  <c r="Z109" i="2" s="1"/>
  <c r="Z182" i="2"/>
  <c r="K191" i="2"/>
  <c r="K117" i="2"/>
  <c r="Z179" i="2"/>
  <c r="Z185" i="2"/>
  <c r="K120" i="2"/>
  <c r="K39" i="2" s="1"/>
  <c r="Z181" i="2"/>
  <c r="K180" i="2"/>
  <c r="K46" i="2" s="1"/>
  <c r="K111" i="2"/>
  <c r="Z111" i="2" s="1"/>
  <c r="O97" i="2" l="1"/>
  <c r="O88" i="2"/>
  <c r="L180" i="2"/>
  <c r="L46" i="2" s="1"/>
  <c r="L111" i="2"/>
  <c r="AA111" i="2" s="1"/>
  <c r="L116" i="2"/>
  <c r="AA116" i="2" s="1"/>
  <c r="AA112" i="2"/>
  <c r="AA185" i="2"/>
  <c r="L117" i="2"/>
  <c r="AA108" i="2"/>
  <c r="M108" i="2"/>
  <c r="M30" i="2" s="1"/>
  <c r="M31" i="2" s="1"/>
  <c r="AA184" i="2"/>
  <c r="AA113" i="2"/>
  <c r="AA178" i="2"/>
  <c r="AA183" i="2"/>
  <c r="AA179" i="2"/>
  <c r="L109" i="2"/>
  <c r="AA109" i="2" s="1"/>
  <c r="AA114" i="2"/>
  <c r="AA181" i="2"/>
  <c r="AA182" i="2"/>
  <c r="K110" i="2"/>
  <c r="K115" i="2" s="1"/>
  <c r="Z115" i="2" s="1"/>
  <c r="K37" i="2"/>
  <c r="K33" i="2" s="1"/>
  <c r="L191" i="2"/>
  <c r="L48" i="2" s="1"/>
  <c r="L120" i="2"/>
  <c r="L39" i="2" s="1"/>
  <c r="Z180" i="2"/>
  <c r="L31" i="2"/>
  <c r="Z191" i="2"/>
  <c r="K48" i="2"/>
  <c r="G58" i="2"/>
  <c r="G59" i="2" s="1"/>
  <c r="B78" i="2"/>
  <c r="J69" i="2"/>
  <c r="J78" i="2" s="1"/>
  <c r="B70" i="2"/>
  <c r="Z120" i="2"/>
  <c r="K121" i="2"/>
  <c r="K122" i="2" s="1"/>
  <c r="Z122" i="2" s="1"/>
  <c r="K41" i="2"/>
  <c r="K40" i="2"/>
  <c r="AA180" i="2" l="1"/>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N30" i="2" s="1"/>
  <c r="N31" i="2" s="1"/>
  <c r="AB113" i="2"/>
  <c r="M180" i="2"/>
  <c r="M46" i="2" s="1"/>
  <c r="M109" i="2"/>
  <c r="AB109" i="2" s="1"/>
  <c r="AB179" i="2"/>
  <c r="AB108" i="2"/>
  <c r="M111" i="2"/>
  <c r="AB111" i="2" s="1"/>
  <c r="L121" i="2"/>
  <c r="L43" i="2" s="1"/>
  <c r="AA191" i="2"/>
  <c r="J68" i="2"/>
  <c r="J77" i="2" s="1"/>
  <c r="B77" i="2"/>
  <c r="B79" i="2"/>
  <c r="B71" i="2"/>
  <c r="J70" i="2"/>
  <c r="J79" i="2" s="1"/>
  <c r="Z121" i="2"/>
  <c r="K43" i="2"/>
  <c r="K50" i="2" s="1"/>
  <c r="L40" i="2"/>
  <c r="L41" i="2"/>
  <c r="K35" i="2"/>
  <c r="K34" i="2"/>
  <c r="AC179" i="2" l="1"/>
  <c r="N117" i="2"/>
  <c r="AC184" i="2"/>
  <c r="AC112" i="2"/>
  <c r="M48" i="2"/>
  <c r="O108" i="2"/>
  <c r="O30" i="2" s="1"/>
  <c r="O31" i="2" s="1"/>
  <c r="D10" i="2" s="1"/>
  <c r="N191" i="2"/>
  <c r="AC191" i="2" s="1"/>
  <c r="N111" i="2"/>
  <c r="AC111" i="2" s="1"/>
  <c r="M37" i="2"/>
  <c r="AC114" i="2"/>
  <c r="AC108" i="2"/>
  <c r="N109" i="2"/>
  <c r="AC109" i="2" s="1"/>
  <c r="N120" i="2"/>
  <c r="AC120" i="2" s="1"/>
  <c r="AB180" i="2"/>
  <c r="AC183" i="2"/>
  <c r="AA121" i="2"/>
  <c r="AC182" i="2"/>
  <c r="AC185" i="2"/>
  <c r="M110" i="2"/>
  <c r="AB110" i="2" s="1"/>
  <c r="AA110" i="2"/>
  <c r="AB120" i="2"/>
  <c r="N180" i="2"/>
  <c r="N46" i="2" s="1"/>
  <c r="M39" i="2"/>
  <c r="M40" i="2" s="1"/>
  <c r="AC178" i="2"/>
  <c r="N116" i="2"/>
  <c r="AC116" i="2" s="1"/>
  <c r="AC113" i="2"/>
  <c r="AC181" i="2"/>
  <c r="L50" i="2"/>
  <c r="L122" i="2"/>
  <c r="AA122" i="2" s="1"/>
  <c r="J71" i="2"/>
  <c r="J80" i="2" s="1"/>
  <c r="B80" i="2"/>
  <c r="J67" i="2"/>
  <c r="J76" i="2" s="1"/>
  <c r="B76" i="2"/>
  <c r="K51" i="2"/>
  <c r="K52" i="2"/>
  <c r="M43" i="2"/>
  <c r="AB121" i="2"/>
  <c r="L34" i="2"/>
  <c r="L35" i="2"/>
  <c r="AD113" i="2" l="1"/>
  <c r="O117" i="2"/>
  <c r="AD179" i="2"/>
  <c r="AD108" i="2"/>
  <c r="O116" i="2"/>
  <c r="AD116" i="2" s="1"/>
  <c r="O191" i="2"/>
  <c r="AD191" i="2" s="1"/>
  <c r="AD181" i="2"/>
  <c r="AD184" i="2"/>
  <c r="AD182" i="2"/>
  <c r="AD114" i="2"/>
  <c r="AD183" i="2"/>
  <c r="AD178" i="2"/>
  <c r="O109" i="2"/>
  <c r="AD109" i="2" s="1"/>
  <c r="N37" i="2"/>
  <c r="AD112" i="2"/>
  <c r="N48" i="2"/>
  <c r="O111" i="2"/>
  <c r="AD111" i="2" s="1"/>
  <c r="O180" i="2"/>
  <c r="O46" i="2" s="1"/>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M70" i="2"/>
  <c r="E79" i="2" s="1"/>
  <c r="M79" i="2" s="1"/>
  <c r="K92" i="2"/>
  <c r="C101" i="2" s="1"/>
  <c r="K101" i="2" s="1"/>
  <c r="M92" i="2"/>
  <c r="E101" i="2" s="1"/>
  <c r="M101" i="2" s="1"/>
  <c r="O92" i="2"/>
  <c r="G101" i="2" s="1"/>
  <c r="O101" i="2" s="1"/>
  <c r="N92" i="2"/>
  <c r="F101" i="2" s="1"/>
  <c r="N101" i="2" s="1"/>
  <c r="O70" i="2"/>
  <c r="G79" i="2" s="1"/>
  <c r="O79" i="2" s="1"/>
  <c r="K70" i="2"/>
  <c r="C79" i="2" s="1"/>
  <c r="K79" i="2" s="1"/>
  <c r="L70" i="2"/>
  <c r="D79" i="2" s="1"/>
  <c r="L79" i="2" s="1"/>
  <c r="K68" i="2"/>
  <c r="C77" i="2" s="1"/>
  <c r="K77" i="2" s="1"/>
  <c r="M91" i="2" l="1"/>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D17" i="2"/>
  <c r="O89" i="2"/>
  <c r="G98" i="2" s="1"/>
  <c r="O98" i="2" s="1"/>
  <c r="L89" i="2"/>
  <c r="D98" i="2" s="1"/>
  <c r="L98" i="2" s="1"/>
  <c r="N90" i="2"/>
  <c r="F99" i="2" s="1"/>
  <c r="N99" i="2" s="1"/>
  <c r="M69" i="2"/>
  <c r="E78" i="2" s="1"/>
  <c r="M78" i="2" s="1"/>
  <c r="D16"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F23" i="2" l="1"/>
  <c r="D23" i="2"/>
  <c r="D18" i="2"/>
  <c r="E16" i="2"/>
  <c r="E18" i="2" s="1"/>
  <c r="F24" i="2"/>
  <c r="D24" i="2"/>
  <c r="E24" i="2" l="1"/>
  <c r="E2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<sst xmlns="http://schemas.openxmlformats.org/spreadsheetml/2006/main" count="226" uniqueCount="159">
  <si>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</si>
  <si>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</si>
  <si>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</si>
  <si>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</si>
  <si>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</si>
  <si>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</si>
  <si>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</si>
  <si>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</si>
  <si>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</si>
  <si>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</si>
  <si>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</si>
  <si>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</si>
  <si>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</si>
  <si>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</si>
  <si>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</si>
  <si>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</si>
  <si>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</si>
  <si>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</si>
  <si>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</si>
  <si>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</si>
  <si>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</si>
  <si>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</si>
  <si>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</si>
  <si>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</si>
  <si>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</si>
  <si>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</si>
  <si>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</si>
  <si>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</si>
  <si>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</si>
  <si>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</si>
  <si>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</si>
  <si>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</si>
  <si>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</si>
  <si>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</si>
  <si>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</si>
  <si>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</si>
  <si>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</si>
  <si>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</si>
  <si>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</si>
  <si>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</si>
  <si>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</si>
  <si>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</si>
  <si>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</si>
  <si>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</si>
  <si>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</si>
  <si>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</si>
  <si>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</si>
  <si>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</si>
  <si>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</si>
  <si>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</si>
  <si>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</si>
  <si>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</si>
  <si>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</si>
  <si>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</si>
  <si>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</si>
  <si>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</si>
  <si>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</si>
  <si>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</si>
  <si>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</si>
  <si>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</si>
  <si>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</si>
  <si>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</si>
  <si>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</si>
  <si>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</si>
  <si>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</si>
  <si>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</si>
  <si>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</si>
  <si>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</si>
  <si>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</si>
  <si>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</si>
  <si>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</si>
  <si>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</si>
  <si>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</si>
  <si>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</si>
  <si>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</si>
  <si>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</si>
  <si>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</si>
  <si>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</si>
  <si>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</si>
  <si>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</si>
  <si>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</si>
  <si>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</si>
  <si>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</si>
  <si>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</si>
  <si>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</si>
  <si>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</si>
  <si>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</si>
  <si>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</si>
  <si>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</si>
  <si>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</si>
  <si>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</si>
  <si>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</si>
  <si>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</si>
  <si>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</si>
  <si>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</si>
  <si>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</si>
  <si>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</si>
  <si>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</si>
  <si>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</si>
  <si>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</si>
  <si>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</si>
  <si>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</si>
  <si>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</si>
  <si>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</si>
  <si>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</si>
  <si>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</si>
  <si>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</si>
  <si>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</si>
  <si>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</si>
  <si>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</si>
  <si>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</si>
  <si>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</si>
  <si>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</si>
  <si>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</si>
  <si>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</si>
  <si>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</si>
  <si>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</si>
  <si>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</si>
  <si>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</si>
  <si>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</si>
  <si>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</si>
  <si>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</si>
  <si>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</si>
  <si>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</si>
  <si>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</si>
  <si>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</si>
  <si>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</si>
  <si>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</si>
  <si>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</si>
  <si>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</si>
  <si>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</si>
  <si>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</si>
  <si>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</si>
  <si>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</si>
  <si>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</si>
  <si>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</si>
  <si>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</si>
  <si>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</si>
  <si>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</si>
  <si>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</si>
  <si>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</si>
  <si>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</si>
  <si>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</si>
  <si>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</si>
  <si>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</si>
  <si>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</si>
  <si>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</si>
  <si>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</si>
  <si>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</si>
  <si>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</si>
  <si>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</si>
  <si>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</si>
  <si>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</si>
  <si>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</si>
  <si>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</si>
  <si>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DCF target</t>
  </si>
  <si>
    <t>EBITDA target</t>
  </si>
  <si>
    <t>Target range</t>
  </si>
  <si>
    <t>Valuation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</si>
</sst>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A"/>
    <numFmt numFmtId="166" formatCode="0\P"/>
    <numFmt numFmtId="167" formatCode="0.0%"/>
    <numFmt numFmtId="168" formatCode="0.0"/>
    <numFmt numFmtId="169" formatCode="0\x"/>
  </numFmts>
  <fonts count="26"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152">
    <xf numFmtId="0" fontId="0" fillId="0" borderId="0" xfId="0"/>
    <xf numFmtId="0" fontId="0" fillId="2" borderId="0" xfId="0" applyFill="1"/>
    <xf numFmtId="3" fontId="11" fillId="2" borderId="0" xfId="0" applyNumberFormat="1" applyFont="1" applyFill="1"/>
    <xf numFmtId="0" fontId="12" fillId="2" borderId="0" xfId="0" applyFont="1" applyFill="1"/>
    <xf numFmtId="167" fontId="0" fillId="2" borderId="0" xfId="0" applyNumberFormat="1" applyFill="1"/>
    <xf numFmtId="0" fontId="12" fillId="2" borderId="0" xfId="0" applyFont="1" applyFill="1" applyAlignment="1">
      <alignment horizontal="left" indent="2"/>
    </xf>
    <xf numFmtId="0" fontId="13" fillId="2" borderId="0" xfId="0" applyFont="1" applyFill="1"/>
    <xf numFmtId="164" fontId="0" fillId="2" borderId="0" xfId="0" applyNumberFormat="1" applyFill="1"/>
    <xf numFmtId="167" fontId="12" fillId="2" borderId="0" xfId="0" applyNumberFormat="1" applyFont="1" applyFill="1"/>
    <xf numFmtId="3" fontId="0" fillId="2" borderId="0" xfId="0" applyNumberFormat="1" applyFill="1"/>
    <xf numFmtId="167" fontId="12" fillId="2" borderId="0" xfId="1" applyNumberFormat="1" applyFont="1" applyFill="1"/>
    <xf numFmtId="167" fontId="14" fillId="2" borderId="0" xfId="0" applyNumberFormat="1" applyFont="1" applyFill="1"/>
    <xf numFmtId="0" fontId="9" fillId="2" borderId="1" xfId="0" applyFont="1" applyFill="1" applyBorder="1"/>
    <xf numFmtId="0" fontId="12" fillId="2" borderId="2" xfId="0" applyFont="1" applyFill="1" applyBorder="1"/>
    <xf numFmtId="167"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7" fontId="0" fillId="2" borderId="6" xfId="0" applyNumberFormat="1" applyFill="1" applyBorder="1"/>
    <xf numFmtId="167"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7"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7" fontId="14" fillId="2" borderId="0" xfId="0" applyNumberFormat="1" applyFont="1" applyFill="1" applyProtection="1">
      <protection locked="0"/>
    </xf>
    <xf numFmtId="167" fontId="0" fillId="2" borderId="0" xfId="0" applyNumberFormat="1" applyFill="1" applyProtection="1">
      <protection locked="0"/>
    </xf>
    <xf numFmtId="167" fontId="12" fillId="2" borderId="0" xfId="0" applyNumberFormat="1" applyFont="1" applyFill="1" applyProtection="1">
      <protection locked="0"/>
    </xf>
    <xf numFmtId="167"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4"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168" fontId="16"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7" fontId="0" fillId="2" borderId="4" xfId="0" applyNumberFormat="1" applyFill="1" applyBorder="1" applyAlignment="1">
      <alignment horizontal="right"/>
    </xf>
    <xf numFmtId="167" fontId="0" fillId="2" borderId="5" xfId="0" applyNumberFormat="1" applyFill="1" applyBorder="1" applyAlignment="1">
      <alignment horizontal="center"/>
    </xf>
    <xf numFmtId="167" fontId="15" fillId="2" borderId="5" xfId="0" applyNumberFormat="1" applyFont="1" applyFill="1" applyBorder="1" applyAlignment="1">
      <alignment horizontal="center"/>
    </xf>
    <xf numFmtId="167" fontId="0" fillId="2" borderId="4" xfId="0" applyNumberFormat="1" applyFill="1" applyBorder="1" applyAlignment="1">
      <alignment horizontal="center"/>
    </xf>
    <xf numFmtId="167" fontId="14" fillId="2" borderId="5" xfId="0" applyNumberFormat="1" applyFont="1" applyFill="1" applyBorder="1" applyAlignment="1">
      <alignment horizontal="center"/>
    </xf>
    <xf numFmtId="3" fontId="0" fillId="2" borderId="0" xfId="0" applyNumberFormat="1" applyFill="1" applyAlignment="1">
      <alignment horizontal="center"/>
    </xf>
    <xf numFmtId="167"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7"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7"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69" fontId="0" fillId="2" borderId="5" xfId="0" applyNumberFormat="1" applyFill="1" applyBorder="1" applyAlignment="1">
      <alignment horizontal="center"/>
    </xf>
    <xf numFmtId="169" fontId="14" fillId="2" borderId="5" xfId="0" applyNumberFormat="1" applyFont="1" applyFill="1" applyBorder="1" applyAlignment="1">
      <alignment horizontal="center"/>
    </xf>
    <xf numFmtId="169" fontId="22" fillId="4" borderId="5" xfId="0" applyNumberFormat="1" applyFont="1" applyFill="1" applyBorder="1" applyAlignment="1">
      <alignment horizontal="center"/>
    </xf>
    <xf numFmtId="169"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7"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1" fillId="2" borderId="0" xfId="0" applyFont="1" applyFill="1" applyAlignment="1">
      <alignment horizontal="center"/>
    </xf>
    <xf numFmtId="0" fontId="14" fillId="2" borderId="0" xfId="0" applyFont="1" applyFill="1" applyAlignment="1">
      <alignment horizontal="center"/>
    </xf>
    <xf numFmtId="0" fontId="9" fillId="2" borderId="0" xfId="0" applyFont="1" applyFill="1" applyAlignment="1">
      <alignment horizontal="center"/>
    </xf>
    <xf numFmtId="0" fontId="0" fillId="2" borderId="0" xfId="0" applyFill="1" applyAlignment="1">
      <alignment horizontal="center"/>
    </xf>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25" fillId="5" borderId="0" xfId="0" applyFont="1" applyFill="1" applyAlignment="1">
      <alignment horizontal="center" vertic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5" fontId="10" fillId="5" borderId="0" xfId="0" applyNumberFormat="1" applyFont="1" applyFill="1"/>
    <xf numFmtId="166" fontId="10" fillId="5" borderId="0" xfId="0" applyNumberFormat="1" applyFont="1" applyFill="1"/>
    <xf numFmtId="0" fontId="10" fillId="5" borderId="0" xfId="0" applyFont="1" applyFill="1" applyAlignment="1">
      <alignment horizontal="center"/>
    </xf>
    <xf numFmtId="0" fontId="8" fillId="5" borderId="0" xfId="0" applyFont="1" applyFill="1" applyAlignment="1">
      <alignment horizontal="center"/>
    </xf>
    <xf numFmtId="3" fontId="17" fillId="2" borderId="0" xfId="0" applyNumberFormat="1" applyFont="1" applyFill="1" applyAlignment="1">
      <alignment horizontal="center"/>
    </xf>
    <xf numFmtId="0" fontId="10" fillId="2" borderId="0" xfId="0" applyFont="1" applyFill="1" applyAlignment="1">
      <alignment horizontal="left" vertical="top"/>
    </xf>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colors>
    <mruColors>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'QLYS-US'!$C$22</c:f>
              <c:strCache>
                <c:ptCount val="1"/>
              </c:strCache>
            </c:strRef>
          </c:tx>
          <c:spPr>
            <a:solidFill>
              <a:schemeClr val="accent1"/>
            </a:solidFill>
            <a:ln>
              <a:noFill/>
            </a:ln>
            <a:effectLst/>
          </c:spPr>
          <c:invertIfNegative val="0"/>
          <c:cat>
            <c:strRef>
              <c:f>'QLYS-US'!$B$23:$B$25</c:f>
              <c:strCache>
                <c:ptCount val="3"/>
                <c:pt idx="0">
                  <c:v>DCF </c:v>
                </c:pt>
                <c:pt idx="1">
                  <c:v>EBITDA multiple</c:v>
                </c:pt>
                <c:pt idx="2">
                  <c:v>52 Week range</c:v>
                </c:pt>
              </c:strCache>
            </c:strRef>
          </c:cat>
          <c:val>
            <c:numRef>
              <c:f>'QLYS-US'!$C$23:$C$25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'QLYS-US'!$D$22</c:f>
              <c:strCache>
                <c:ptCount val="1"/>
                <c:pt idx="0">
                  <c:v>Min</c:v>
                </c:pt>
              </c:strCache>
            </c:strRef>
          </c:tx>
          <c:spPr>
            <a:noFill/>
            <a:ln>
              <a:noFill/>
            </a:ln>
            <a:effectLst/>
          </c:spPr>
          <c:invertIfNegative val="0"/>
          <c:dLbls>
            <c:dLbl>
              <c:idx val="0"/>
              <c:layout>
                <c:manualLayout>
                  <c:x val="3.504178144554043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8.0176072944505586E-2"/>
                  <c:y val="1.154981530290265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'QLYS-US'!$D$23:$D$25</c:f>
              <c:numCache>
                <c:formatCode>#,##0</c:formatCode>
                <c:ptCount val="3"/>
                <c:pt idx="0">
                  <c:v>53.052195494414796</c:v>
                </c:pt>
                <c:pt idx="1">
                  <c:v>106.86154220834943</c:v>
                </c:pt>
                <c:pt idx="2" formatCode="0">
                  <c:v>90.26</c:v>
                </c:pt>
              </c:numCache>
            </c:numRef>
          </c:val>
          <c:extLst>
            <c:ext xmlns:c16="http://schemas.microsoft.com/office/drawing/2014/chart" uri="{C3380CC4-5D6E-409C-BE32-E72D297353CC}">
              <c16:uniqueId val="{00000001-C8D8-9847-8E1A-217B6F7F079B}"/>
            </c:ext>
          </c:extLst>
        </c:ser>
        <c:ser>
          <c:idx val="2"/>
          <c:order val="2"/>
          <c:tx>
            <c:strRef>
              <c:f>'QLYS-US'!$E$22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'QLYS-US'!$E$23:$E$25</c:f>
              <c:numCache>
                <c:formatCode>#,##0</c:formatCode>
                <c:ptCount val="3"/>
                <c:pt idx="0">
                  <c:v>277.45640385505936</c:v>
                </c:pt>
                <c:pt idx="1">
                  <c:v>133.70303022556203</c:v>
                </c:pt>
                <c:pt idx="2" formatCode="0">
                  <c:v>54.92</c:v>
                </c:pt>
              </c:numCache>
            </c:numRef>
          </c:val>
          <c:extLst>
            <c:ext xmlns:c16="http://schemas.microsoft.com/office/drawing/2014/chart" uri="{C3380CC4-5D6E-409C-BE32-E72D297353CC}">
              <c16:uniqueId val="{00000003-C8D8-9847-8E1A-217B6F7F079B}"/>
            </c:ext>
          </c:extLst>
        </c:ser>
        <c:ser>
          <c:idx val="3"/>
          <c:order val="3"/>
          <c:tx>
            <c:strRef>
              <c:f>'QLYS-US'!$F$22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'QLYS-US'!$B$23:$B$25</c:f>
              <c:strCache>
                <c:ptCount val="3"/>
                <c:pt idx="0">
                  <c:v>DCF </c:v>
                </c:pt>
                <c:pt idx="1">
                  <c:v>EBITDA multiple</c:v>
                </c:pt>
                <c:pt idx="2">
                  <c:v>52 Week range</c:v>
                </c:pt>
              </c:strCache>
            </c:strRef>
          </c:cat>
          <c:val>
            <c:numRef>
              <c:f>'QLYS-US'!$F$23:$F$25</c:f>
              <c:numCache>
                <c:formatCode>#,##0</c:formatCode>
                <c:ptCount val="3"/>
                <c:pt idx="0">
                  <c:v>330.50859934947414</c:v>
                </c:pt>
                <c:pt idx="1">
                  <c:v>240.56457243391148</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'QLYS-US'!$B$19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'QLYS-US'!$D$19:$E$19</c:f>
              <c:numCache>
                <c:formatCode>0</c:formatCode>
                <c:ptCount val="2"/>
                <c:pt idx="0" formatCode="#,##0">
                  <c:v>128.55000000000001</c:v>
                </c:pt>
                <c:pt idx="1">
                  <c:v>128.55000000000001</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'QLYS-US'!$D$16:$E$16</c:f>
              <c:numCache>
                <c:formatCode>0</c:formatCode>
                <c:ptCount val="2"/>
                <c:pt idx="0">
                  <c:v>114.57561484834008</c:v>
                </c:pt>
                <c:pt idx="1">
                  <c:v>114.57561484834008</c:v>
                </c:pt>
              </c:numCache>
            </c:numRef>
          </c:xVal>
          <c:yVal>
            <c:numRef>
              <c:f>'QLYS-US'!$G$23:$G$24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5"/>
          <c:order val="6"/>
          <c:tx>
            <c:v>mean low</c:v>
          </c:tx>
          <c:spPr>
            <a:ln w="28575" cap="rnd">
              <a:solidFill>
                <a:schemeClr val="bg1">
                  <a:lumMod val="65000"/>
                  <a:alpha val="8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4-4D34-1943-BD71-723E5262918B}"/>
                </c:ext>
              </c:extLst>
            </c:dLbl>
            <c:dLbl>
              <c:idx val="1"/>
              <c:layout>
                <c:manualLayout>
                  <c:x val="-6.1965811965812002E-2"/>
                  <c:y val="0.76991889209184838"/>
                </c:manualLayout>
              </c:layout>
              <c:tx>
                <c:rich>
                  <a:bodyPr/>
                  <a:lstStyle/>
                  <a:p>
                    <a:r>
                      <a:rPr lang="en-US"/>
                      <a:t>146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'QLYS-US'!$D$16:$E$16</c:f>
              <c:numCache>
                <c:formatCode>0</c:formatCode>
                <c:ptCount val="2"/>
                <c:pt idx="0">
                  <c:v>114.57561484834008</c:v>
                </c:pt>
                <c:pt idx="1">
                  <c:v>114.57561484834008</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0F-4D34-1943-BD71-723E5262918B}"/>
            </c:ext>
          </c:extLst>
        </c:ser>
        <c:ser>
          <c:idx val="7"/>
          <c:order val="7"/>
          <c:tx>
            <c:strRef>
              <c:f>'QLYS-US'!$B$17</c:f>
              <c:strCache>
                <c:ptCount val="1"/>
                <c:pt idx="0">
                  <c:v>EBITDA target</c:v>
                </c:pt>
              </c:strCache>
            </c:strRef>
          </c:tx>
          <c:spPr>
            <a:ln w="28575" cap="rnd">
              <a:solidFill>
                <a:schemeClr val="bg1">
                  <a:lumMod val="65000"/>
                  <a:alpha val="10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2-4D34-1943-BD71-723E5262918B}"/>
                </c:ext>
              </c:extLst>
            </c:dLbl>
            <c:dLbl>
              <c:idx val="1"/>
              <c:layout>
                <c:manualLayout>
                  <c:x val="-8.5470085470085479E-3"/>
                  <c:y val="0.76991889209184838"/>
                </c:manualLayout>
              </c:layout>
              <c:tx>
                <c:rich>
                  <a:bodyPr/>
                  <a:lstStyle/>
                  <a:p>
                    <a:r>
                      <a:rPr lang="en-US"/>
                      <a:t>176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3-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'QLYS-US'!$D$17:$E$17</c:f>
              <c:numCache>
                <c:formatCode>#,##0</c:formatCode>
                <c:ptCount val="2"/>
                <c:pt idx="0" formatCode="0">
                  <c:v>176.0533124482061</c:v>
                </c:pt>
                <c:pt idx="1">
                  <c:v>176.0533124482061</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0-4D34-1943-BD71-723E5262918B}"/>
            </c:ext>
          </c:extLst>
        </c:ser>
        <c:ser>
          <c:idx val="8"/>
          <c:order val="8"/>
          <c:tx>
            <c:strRef>
              <c:f>'QLYS-US'!$B$18</c:f>
              <c:strCache>
                <c:ptCount val="1"/>
                <c:pt idx="0">
                  <c:v>Mean</c:v>
                </c:pt>
              </c:strCache>
            </c:strRef>
          </c:tx>
          <c:spPr>
            <a:ln w="762000" cap="flat">
              <a:solidFill>
                <a:schemeClr val="bg1">
                  <a:lumMod val="65000"/>
                  <a:alpha val="14000"/>
                </a:schemeClr>
              </a:solidFill>
              <a:round/>
            </a:ln>
            <a:effectLst/>
          </c:spPr>
          <c:marker>
            <c:symbol val="none"/>
          </c:marker>
          <c:xVal>
            <c:numRef>
              <c:f>'QLYS-US'!$D$18:$E$18</c:f>
              <c:numCache>
                <c:formatCode>0</c:formatCode>
                <c:ptCount val="2"/>
                <c:pt idx="0">
                  <c:v>145.31446364827309</c:v>
                </c:pt>
                <c:pt idx="1">
                  <c:v>145.31446364827309</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407489</xdr:colOff>
      <xdr:row>7</xdr:row>
      <xdr:rowOff>72934</xdr:rowOff>
    </xdr:from>
    <xdr:to>
      <xdr:col>15</xdr:col>
      <xdr:colOff>31569</xdr:colOff>
      <xdr:row>25</xdr:row>
      <xdr:rowOff>45720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https://www.bing.com/financeapi/forcetrigger?t=a21m4c&amp;q=XNAS%3aQLYS&amp;form=skydnc</v>
    <v>Learn more on Bing</v>
  </rv>
  <rv s="1">
    <v>0</v>
    <v>QUALYS, INC. (XNAS:QLYS)</v>
    <v>2</v>
    <v>3</v>
    <v>Finance</v>
    <v>4</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0</v>
    <v>124.62</v>
    <v>5017231941</v>
    <v>QUALYS, INC.</v>
    <v>QUALYS, INC.</v>
    <v>126.44</v>
    <v>69.943700000000007</v>
    <v>124.05</v>
    <v>128.55000000000001</v>
    <v>129</v>
    <v>39029420</v>
    <v>QLYS</v>
    <v>QUALYS, INC. (XNAS:QLYS)</v>
    <v>251154</v>
    <v>366464</v>
    <v>1999</v>
  </rv>
  <rv s="2">
    <v>1</v>
  </rv>
  <rv s="0">
    <v>https://www.bing.com/financeapi/forcetrigger?t=r6dwra&amp;q=US10Y&amp;form=skydnc</v>
    <v>Learn more on Bing</v>
  </rv>
  <rv s="3">
    <v>5</v>
    <v>US Treasury 10Y</v>
    <v>6</v>
    <v>7</v>
    <v>Finance</v>
    <v>8</v>
    <v>en-US</v>
    <v>r6dwra</v>
    <v>268435456</v>
    <v>1</v>
    <v>Powered by Refinitiv</v>
    <v>-0.85940000000000005</v>
    <v>-8.4969999999999993E-3</v>
    <v>US</v>
    <v>USD</v>
    <v>Bond</v>
    <v>44628.902569444443</v>
    <v>3</v>
    <v>48259</v>
    <v>US Treasury 10Y</v>
    <v>101.14060000000001</v>
    <v>100.2813</v>
    <v>US10Y</v>
    <v>US Treasury 10Y</v>
    <v>1.916E-2</v>
    <v>1.839E-2</v>
    <v>1.5939999999999999E-2</v>
    <v>1.7219999999999999E-2</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3</v>
      <v>1</v>
      <v>1</v>
      <v>10</v>
      <v>5</v>
      <v>1</v>
      <v>7</v>
      <v>5</v>
      <v>5</v>
      <v>5</v>
      <v>5</v>
      <v>9</v>
    </spb>
    <spb s="7">
      <v>GMT</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NumberFormat" t="s"/>
    <rPr n="IsTitleField" t="b"/>
  </richProperties>
  <richStyles>
    <rSty dxfid="0">
      <rpv i="0">_([$$-en-US]* #,##0.00_);_([$$-en-US]* (#,##0.00);_([$$-en-US]* "-"??_);_(@_)</rpv>
    </rSty>
    <rSty dxfid="5">
      <rpv i="0">#,##0.00</rpv>
    </rSty>
    <rSty>
      <rpv i="1">1</rpv>
    </rSty>
    <rSty dxfid="6">
      <rpv i="0">#,##0</rpv>
    </rSty>
    <rSty dxfid="2"/>
    <rSty dxfid="0">
      <rpv i="0">_([$$-en-US]* #,##0_);_([$$-en-US]* (#,##0);_([$$-en-US]* "-"_);_(@_)</rpv>
    </rSty>
    <rSty dxfid="3"/>
    <rSty dxfid="7">
      <rpv i="0">0</rpv>
    </rSty>
    <rSty dxfid="4">
      <rpv i="0">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tabSelected="1" zoomScale="125" zoomScaleNormal="140" workbookViewId="0">
      <selection activeCell="F6" sqref="F6"/>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6384" width="9.1640625" style="1"/>
  </cols>
  <sheetData>
    <row r="6" spans="2:23" ht="15" customHeight="1" x14ac:dyDescent="0.15">
      <c r="B6" s="1" t="e" vm="1">
        <v>#VALUE!</v>
      </c>
      <c r="R6" s="151"/>
      <c r="T6" s="127"/>
      <c r="U6" s="127"/>
      <c r="V6" s="127"/>
      <c r="W6" s="127"/>
    </row>
    <row r="7" spans="2:23" ht="15" customHeight="1" x14ac:dyDescent="0.15">
      <c r="T7" s="129"/>
      <c r="U7" s="129"/>
      <c r="V7" s="129"/>
    </row>
    <row r="8" spans="2:23" ht="15" customHeight="1" x14ac:dyDescent="0.15">
      <c r="T8" s="78"/>
      <c r="U8" s="78"/>
      <c r="V8" s="78"/>
      <c r="W8" s="136"/>
    </row>
    <row r="9" spans="2:23" ht="15" customHeight="1" x14ac:dyDescent="0.15">
      <c r="B9" s="141" t="s">
        <v>148</v>
      </c>
      <c r="C9" s="141"/>
      <c r="D9" s="141"/>
      <c r="E9" s="138"/>
      <c r="F9" s="138"/>
      <c r="G9" s="138"/>
      <c r="T9" s="78"/>
      <c r="U9" s="78"/>
      <c r="V9" s="78"/>
      <c r="W9" s="136"/>
    </row>
    <row r="10" spans="2:23" ht="15" customHeight="1" x14ac:dyDescent="0.15">
      <c r="B10" s="1" t="s">
        <v>149</v>
      </c>
      <c r="D10" s="140">
        <f>AVERAGE(F31:O31)</f>
        <v>0.15780710007209886</v>
      </c>
      <c r="E10" s="27"/>
      <c r="F10" s="27"/>
      <c r="G10" s="27"/>
      <c r="T10" s="129"/>
      <c r="U10" s="129"/>
      <c r="V10" s="129"/>
      <c r="W10" s="136"/>
    </row>
    <row r="11" spans="2:23" ht="15" customHeight="1" x14ac:dyDescent="0.15">
      <c r="B11" s="1" t="s">
        <v>150</v>
      </c>
      <c r="D11" s="139">
        <f>AE122</f>
        <v>0.18637630651280235</v>
      </c>
      <c r="E11" s="27"/>
      <c r="F11" s="27"/>
      <c r="G11" s="27"/>
      <c r="V11" s="137"/>
      <c r="W11" s="78"/>
    </row>
    <row r="12" spans="2:23" ht="15" customHeight="1" x14ac:dyDescent="0.15">
      <c r="B12" s="1" t="s">
        <v>151</v>
      </c>
      <c r="D12" s="27" t="s">
        <v>152</v>
      </c>
      <c r="E12" s="27"/>
      <c r="F12" s="27"/>
      <c r="G12" s="27"/>
    </row>
    <row r="13" spans="2:23" ht="15" customHeight="1" x14ac:dyDescent="0.15">
      <c r="B13" s="1" t="s">
        <v>129</v>
      </c>
      <c r="D13" s="27" t="s">
        <v>153</v>
      </c>
      <c r="E13" s="27"/>
      <c r="F13" s="27"/>
      <c r="G13" s="27"/>
    </row>
    <row r="15" spans="2:23" ht="15" customHeight="1" x14ac:dyDescent="0.15">
      <c r="B15" s="141" t="s">
        <v>157</v>
      </c>
      <c r="C15" s="141"/>
      <c r="D15" s="141"/>
      <c r="E15" s="141"/>
      <c r="Q15" s="16"/>
    </row>
    <row r="16" spans="2:23" ht="15" customHeight="1" x14ac:dyDescent="0.15">
      <c r="B16" s="1" t="s">
        <v>155</v>
      </c>
      <c r="D16" s="129">
        <f>M78</f>
        <v>114.57561484834008</v>
      </c>
      <c r="E16" s="129">
        <f>M78</f>
        <v>114.57561484834008</v>
      </c>
      <c r="G16" s="127"/>
    </row>
    <row r="17" spans="2:20" ht="15" customHeight="1" x14ac:dyDescent="0.15">
      <c r="B17" s="1" t="s">
        <v>156</v>
      </c>
      <c r="D17" s="129">
        <f>M100</f>
        <v>176.0533124482061</v>
      </c>
      <c r="E17" s="78">
        <f>M100</f>
        <v>176.0533124482061</v>
      </c>
      <c r="G17" s="136">
        <v>0</v>
      </c>
    </row>
    <row r="18" spans="2:20" ht="15" customHeight="1" x14ac:dyDescent="0.15">
      <c r="B18" s="1" t="s">
        <v>154</v>
      </c>
      <c r="D18" s="129">
        <f>AVERAGE(D16:D17)</f>
        <v>145.31446364827309</v>
      </c>
      <c r="E18" s="129">
        <f>AVERAGE(E16:E17)</f>
        <v>145.31446364827309</v>
      </c>
      <c r="G18" s="136">
        <v>0</v>
      </c>
    </row>
    <row r="19" spans="2:20" ht="15" customHeight="1" x14ac:dyDescent="0.15">
      <c r="B19" s="131" t="s">
        <v>147</v>
      </c>
      <c r="D19" s="150" cm="1">
        <f t="array" ref="D19">_FV(B6,"Price")</f>
        <v>128.55000000000001</v>
      </c>
      <c r="E19" s="129">
        <f>D19</f>
        <v>128.55000000000001</v>
      </c>
      <c r="G19" s="136">
        <v>0</v>
      </c>
    </row>
    <row r="20" spans="2:20" ht="15" customHeight="1" x14ac:dyDescent="0.15">
      <c r="B20" s="1" t="s">
        <v>146</v>
      </c>
      <c r="D20" s="99">
        <v>0</v>
      </c>
      <c r="E20" s="99">
        <v>129</v>
      </c>
      <c r="F20" s="150"/>
      <c r="G20" s="150"/>
    </row>
    <row r="21" spans="2:20" ht="15" customHeight="1" x14ac:dyDescent="0.15">
      <c r="R21" s="16"/>
    </row>
    <row r="22" spans="2:20" ht="15" customHeight="1" x14ac:dyDescent="0.15">
      <c r="B22" s="142" t="s">
        <v>158</v>
      </c>
      <c r="C22" s="143"/>
      <c r="D22" s="144" t="s">
        <v>138</v>
      </c>
      <c r="E22" s="144" t="s">
        <v>140</v>
      </c>
      <c r="F22" s="144" t="s">
        <v>139</v>
      </c>
      <c r="G22" s="99"/>
    </row>
    <row r="23" spans="2:20" ht="15" customHeight="1" x14ac:dyDescent="0.15">
      <c r="B23" s="1" t="s">
        <v>136</v>
      </c>
      <c r="D23" s="78">
        <f>MIN(K76:O80)</f>
        <v>53.052195494414796</v>
      </c>
      <c r="E23" s="78">
        <f>F23-D23</f>
        <v>277.45640385505936</v>
      </c>
      <c r="F23" s="78">
        <f>MAX(K76:O80)</f>
        <v>330.50859934947414</v>
      </c>
    </row>
    <row r="24" spans="2:20" ht="15" customHeight="1" x14ac:dyDescent="0.15">
      <c r="B24" s="1" t="s">
        <v>137</v>
      </c>
      <c r="D24" s="78">
        <f>MIN(K98:O102)</f>
        <v>106.86154220834943</v>
      </c>
      <c r="E24" s="78">
        <f>F24-D24</f>
        <v>133.70303022556203</v>
      </c>
      <c r="F24" s="78">
        <f>MAX(K98:O102)</f>
        <v>240.56457243391148</v>
      </c>
      <c r="G24" s="99"/>
    </row>
    <row r="25" spans="2:20" ht="15" customHeight="1" x14ac:dyDescent="0.15">
      <c r="B25" s="1" t="s">
        <v>141</v>
      </c>
      <c r="D25" s="129">
        <v>90.26</v>
      </c>
      <c r="E25" s="129">
        <f>F25-D25</f>
        <v>54.92</v>
      </c>
      <c r="F25" s="129">
        <v>145.18</v>
      </c>
      <c r="G25" s="99"/>
    </row>
    <row r="26" spans="2:20" ht="15" customHeight="1" x14ac:dyDescent="0.15">
      <c r="F26" s="99"/>
      <c r="G26" s="99"/>
    </row>
    <row r="27" spans="2:20" ht="15" customHeight="1" x14ac:dyDescent="0.15">
      <c r="D27" s="129"/>
      <c r="E27" s="129"/>
      <c r="F27" s="99"/>
      <c r="G27" s="99"/>
    </row>
    <row r="29" spans="2:20" ht="15" customHeight="1" x14ac:dyDescent="0.2">
      <c r="B29" s="145" t="s">
        <v>19</v>
      </c>
      <c r="C29" s="145"/>
      <c r="D29" s="145"/>
      <c r="E29" s="146">
        <v>2016</v>
      </c>
      <c r="F29" s="146">
        <v>2017</v>
      </c>
      <c r="G29" s="146">
        <v>2018</v>
      </c>
      <c r="H29" s="146">
        <v>2019</v>
      </c>
      <c r="I29" s="146">
        <v>2020</v>
      </c>
      <c r="J29" s="146">
        <v>2021</v>
      </c>
      <c r="K29" s="147">
        <v>2022</v>
      </c>
      <c r="L29" s="147">
        <v>2023</v>
      </c>
      <c r="M29" s="147">
        <v>2024</v>
      </c>
      <c r="N29" s="147">
        <v>2025</v>
      </c>
      <c r="O29" s="147">
        <v>2026</v>
      </c>
      <c r="Q29" s="148" t="s">
        <v>20</v>
      </c>
      <c r="R29" s="148"/>
      <c r="S29" s="148"/>
      <c r="T29" s="128"/>
    </row>
    <row r="30" spans="2:20" ht="15" customHeight="1" x14ac:dyDescent="0.2">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1.7219999999999999E-2</v>
      </c>
    </row>
    <row r="31" spans="2:20" ht="15" customHeight="1" x14ac:dyDescent="0.2">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0.73880000000000001</v>
      </c>
    </row>
    <row r="32" spans="2:20" ht="15" customHeight="1" x14ac:dyDescent="0.2">
      <c r="E32" s="6"/>
      <c r="F32" s="6"/>
      <c r="Q32" s="1" t="s">
        <v>25</v>
      </c>
      <c r="R32" s="3"/>
      <c r="S32" s="8">
        <v>0.1</v>
      </c>
    </row>
    <row r="33" spans="2:23" s="28" customFormat="1" ht="15" customHeight="1" x14ac:dyDescent="0.2">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7.3601131838688962E-4</v>
      </c>
    </row>
    <row r="34" spans="2:23" s="28" customFormat="1" ht="15" customHeight="1" x14ac:dyDescent="0.2">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x14ac:dyDescent="0.2">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5.8421830271835435E-4</v>
      </c>
    </row>
    <row r="36" spans="2:23" s="28" customFormat="1" ht="15" customHeight="1" x14ac:dyDescent="0.2">
      <c r="E36" s="37"/>
      <c r="F36" s="37"/>
      <c r="Q36" s="28" t="s">
        <v>31</v>
      </c>
      <c r="R36" s="30"/>
      <c r="S36" s="35">
        <f>S30+S31*(S32-S30)</f>
        <v>7.8377864000000005E-2</v>
      </c>
    </row>
    <row r="37" spans="2:23" ht="15" customHeight="1" x14ac:dyDescent="0.2">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x14ac:dyDescent="0.2">
      <c r="E38" s="6"/>
      <c r="F38" s="6"/>
      <c r="Q38" s="1" t="s">
        <v>34</v>
      </c>
      <c r="R38" s="3"/>
      <c r="S38" s="8">
        <f>1-S37</f>
        <v>0.46386452332961148</v>
      </c>
    </row>
    <row r="39" spans="2:23" ht="15" customHeight="1" x14ac:dyDescent="0.2">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4.2292151620557772E-2</v>
      </c>
    </row>
    <row r="40" spans="2:23" ht="15" customHeight="1" x14ac:dyDescent="0.2">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x14ac:dyDescent="0.2">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2">
        <v>#VALUE!</v>
      </c>
      <c r="R41" s="3"/>
      <c r="S41" s="3"/>
    </row>
    <row r="42" spans="2:23" ht="15" customHeight="1" x14ac:dyDescent="0.2">
      <c r="E42" s="6"/>
      <c r="F42" s="6"/>
      <c r="Q42" s="1" t="s">
        <v>37</v>
      </c>
      <c r="R42" s="3"/>
      <c r="S42" s="16" cm="1">
        <f t="array" ref="S42">_FV(B6,"Shares outstanding",TRUE)/1000000</f>
        <v>39.029420000000002</v>
      </c>
      <c r="U42" s="15"/>
    </row>
    <row r="43" spans="2:23" ht="15" customHeight="1" x14ac:dyDescent="0.2">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x14ac:dyDescent="0.2">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E180</f>
        <v>50.086002000000001</v>
      </c>
      <c r="F46" s="2">
        <f t="shared" ref="F46:O46" si="11">F180</f>
        <v>67.206001000000001</v>
      </c>
      <c r="G46" s="2">
        <f t="shared" si="11"/>
        <v>68.159996000000007</v>
      </c>
      <c r="H46" s="2">
        <f t="shared" si="11"/>
        <v>91.270995999999997</v>
      </c>
      <c r="I46" s="2">
        <f t="shared" si="11"/>
        <v>88.513992000000002</v>
      </c>
      <c r="J46" s="2">
        <f t="shared" si="11"/>
        <v>129.65600599999999</v>
      </c>
      <c r="K46" s="2">
        <f t="shared" si="11"/>
        <v>129.45600742181074</v>
      </c>
      <c r="L46" s="2">
        <f t="shared" si="11"/>
        <v>149.8850845399588</v>
      </c>
      <c r="M46" s="2">
        <f t="shared" si="11"/>
        <v>173.53801507527106</v>
      </c>
      <c r="N46" s="2">
        <f t="shared" si="11"/>
        <v>200.92354598656777</v>
      </c>
      <c r="O46" s="2">
        <f t="shared" si="11"/>
        <v>232.63070811491102</v>
      </c>
      <c r="V46" s="127"/>
      <c r="W46" s="127"/>
    </row>
    <row r="47" spans="2:23" ht="15" customHeight="1" x14ac:dyDescent="0.2">
      <c r="E47" s="6"/>
      <c r="F47" s="6"/>
      <c r="G47" s="18"/>
      <c r="H47" s="18"/>
      <c r="I47" s="18"/>
      <c r="J47" s="18"/>
      <c r="K47" s="18"/>
      <c r="L47" s="18"/>
      <c r="M47" s="18"/>
      <c r="N47" s="18"/>
      <c r="O47" s="18"/>
      <c r="V47" s="72"/>
      <c r="W47" s="72"/>
    </row>
    <row r="48" spans="2:23" ht="15" customHeight="1" x14ac:dyDescent="0.2">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6"/>
      <c r="W48" s="126"/>
    </row>
    <row r="49" spans="2:23" ht="15" customHeight="1" x14ac:dyDescent="0.2">
      <c r="E49" s="6"/>
      <c r="F49" s="6"/>
      <c r="V49" s="126"/>
      <c r="W49" s="126"/>
    </row>
    <row r="50" spans="2:23" ht="15" customHeight="1" x14ac:dyDescent="0.2">
      <c r="B50" s="1" t="s">
        <v>41</v>
      </c>
      <c r="E50" s="19">
        <f>E33+E43-E46-E48</f>
        <v>-1.6049989999999923</v>
      </c>
      <c r="F50" s="19">
        <f t="shared" ref="F50:N50" si="13">F33+F43-F46-F48</f>
        <v>20.254997000000003</v>
      </c>
      <c r="G50" s="19">
        <f t="shared" si="13"/>
        <v>44.575998999999989</v>
      </c>
      <c r="H50" s="19">
        <f t="shared" si="13"/>
        <v>50.105003000000011</v>
      </c>
      <c r="I50" s="19">
        <f t="shared" si="13"/>
        <v>80.868003999999999</v>
      </c>
      <c r="J50" s="19">
        <f t="shared" si="13"/>
        <v>39.965003999999972</v>
      </c>
      <c r="K50" s="19">
        <f t="shared" si="13"/>
        <v>56.226317054642294</v>
      </c>
      <c r="L50" s="19">
        <f t="shared" si="13"/>
        <v>65.099229096769818</v>
      </c>
      <c r="M50" s="19">
        <f t="shared" si="13"/>
        <v>75.372349657460234</v>
      </c>
      <c r="N50" s="19">
        <f t="shared" si="13"/>
        <v>87.266641582524272</v>
      </c>
      <c r="O50" s="19">
        <f>O33+O43-O46-O48</f>
        <v>101.03793722369372</v>
      </c>
      <c r="Q50" s="3"/>
      <c r="R50" s="3"/>
      <c r="S50" s="3"/>
    </row>
    <row r="51" spans="2:23" ht="15" customHeight="1" x14ac:dyDescent="0.2">
      <c r="B51" s="5" t="s">
        <v>28</v>
      </c>
      <c r="C51" s="5"/>
      <c r="D51" s="5"/>
      <c r="E51" s="11">
        <f t="shared" ref="E51:O51" si="14">E50/E30</f>
        <v>-8.1091270717322771E-3</v>
      </c>
      <c r="F51" s="11">
        <f t="shared" si="14"/>
        <v>8.7749305702740074E-2</v>
      </c>
      <c r="G51" s="4">
        <f t="shared" si="14"/>
        <v>0.159834191098704</v>
      </c>
      <c r="H51" s="4">
        <f t="shared" si="14"/>
        <v>0.15579575002714108</v>
      </c>
      <c r="I51" s="4">
        <f t="shared" si="14"/>
        <v>0.22279957214263041</v>
      </c>
      <c r="J51" s="4">
        <f t="shared" si="14"/>
        <v>9.7197776822335435E-2</v>
      </c>
      <c r="K51" s="4">
        <f t="shared" si="14"/>
        <v>0.11810815885400808</v>
      </c>
      <c r="L51" s="4">
        <f t="shared" si="14"/>
        <v>0.11810815885400812</v>
      </c>
      <c r="M51" s="4">
        <f t="shared" si="14"/>
        <v>0.11810815885400809</v>
      </c>
      <c r="N51" s="4">
        <f t="shared" si="14"/>
        <v>0.11810815885400806</v>
      </c>
      <c r="O51" s="4">
        <f t="shared" si="14"/>
        <v>0.11810815885400813</v>
      </c>
      <c r="Q51" s="3"/>
      <c r="R51" s="3"/>
      <c r="S51" s="125"/>
      <c r="T51" s="125"/>
      <c r="U51" s="125"/>
      <c r="V51" s="125"/>
      <c r="W51" s="125"/>
    </row>
    <row r="52" spans="2:23" ht="15" customHeight="1" x14ac:dyDescent="0.2">
      <c r="B52" s="5" t="s">
        <v>23</v>
      </c>
      <c r="C52" s="5"/>
      <c r="D52" s="5"/>
      <c r="E52" s="11"/>
      <c r="F52" s="11">
        <f>F50/E50-1</f>
        <v>-13.619943688438498</v>
      </c>
      <c r="G52" s="4"/>
      <c r="H52" s="4">
        <f>H50/G50-1</f>
        <v>0.12403544786511733</v>
      </c>
      <c r="I52" s="4">
        <f>I50/H50-1</f>
        <v>0.61397064480766494</v>
      </c>
      <c r="J52" s="4">
        <f>J50/I50-1</f>
        <v>-0.50579954959689655</v>
      </c>
      <c r="K52" s="4">
        <f>K50/J50-1</f>
        <v>0.40688881338889238</v>
      </c>
      <c r="L52" s="4">
        <f>L50/K50-1</f>
        <v>0.1578071000720993</v>
      </c>
      <c r="M52" s="4">
        <f>(M50-L50)/-L50</f>
        <v>-0.15780710007209842</v>
      </c>
      <c r="N52" s="4">
        <f>(N50-M50)/M50</f>
        <v>0.15780710007209867</v>
      </c>
      <c r="O52" s="4">
        <f>(O50-N50)/N50</f>
        <v>0.15780710007209947</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2.2292151620557768E-2</v>
      </c>
      <c r="H55" s="9">
        <f>SUM(K55:O55)</f>
        <v>483.63252889610067</v>
      </c>
      <c r="K55" s="19">
        <f t="shared" ref="K55:O59" si="16">$O$50/(1+$G55)^K$54</f>
        <v>101.03793722369372</v>
      </c>
      <c r="L55" s="19">
        <f t="shared" si="16"/>
        <v>98.834699125417686</v>
      </c>
      <c r="M55" s="19">
        <f t="shared" si="16"/>
        <v>96.679504942635972</v>
      </c>
      <c r="N55" s="19">
        <f t="shared" si="16"/>
        <v>94.571307027426272</v>
      </c>
      <c r="O55" s="19">
        <f t="shared" si="16"/>
        <v>92.509080576927005</v>
      </c>
    </row>
    <row r="56" spans="2:23" ht="15" customHeight="1" x14ac:dyDescent="0.2">
      <c r="G56" s="25">
        <f>G57-1%</f>
        <v>3.229215162055777E-2</v>
      </c>
      <c r="H56" s="9">
        <f>SUM(K56:O56)</f>
        <v>474.55636170924902</v>
      </c>
      <c r="K56" s="19">
        <f t="shared" si="16"/>
        <v>101.03793722369372</v>
      </c>
      <c r="L56" s="19">
        <f t="shared" si="16"/>
        <v>97.877269593765618</v>
      </c>
      <c r="M56" s="19">
        <f t="shared" si="16"/>
        <v>94.815473933529049</v>
      </c>
      <c r="N56" s="19">
        <f t="shared" si="16"/>
        <v>91.849457331126345</v>
      </c>
      <c r="O56" s="19">
        <f t="shared" si="16"/>
        <v>88.97622362713426</v>
      </c>
    </row>
    <row r="57" spans="2:23" ht="15" customHeight="1" x14ac:dyDescent="0.2">
      <c r="G57" s="25">
        <f>S39</f>
        <v>4.2292151620557772E-2</v>
      </c>
      <c r="H57" s="9">
        <f>SUM(K57:O57)</f>
        <v>465.82246396931845</v>
      </c>
      <c r="K57" s="19">
        <f t="shared" si="16"/>
        <v>101.03793722369372</v>
      </c>
      <c r="L57" s="19">
        <f t="shared" si="16"/>
        <v>96.938211677598986</v>
      </c>
      <c r="M57" s="19">
        <f t="shared" si="16"/>
        <v>93.004837009354119</v>
      </c>
      <c r="N57" s="19">
        <f t="shared" si="16"/>
        <v>89.231063348937269</v>
      </c>
      <c r="O57" s="19">
        <f t="shared" si="16"/>
        <v>85.610414709734371</v>
      </c>
    </row>
    <row r="58" spans="2:23" ht="15" customHeight="1" x14ac:dyDescent="0.2">
      <c r="G58" s="25">
        <f>G57+1%</f>
        <v>5.2292151620557774E-2</v>
      </c>
      <c r="H58" s="9">
        <f>SUM(K58:O58)</f>
        <v>457.4140334860864</v>
      </c>
      <c r="K58" s="19">
        <f t="shared" si="16"/>
        <v>101.03793722369372</v>
      </c>
      <c r="L58" s="19">
        <f t="shared" si="16"/>
        <v>96.017001616986903</v>
      </c>
      <c r="M58" s="19">
        <f t="shared" si="16"/>
        <v>91.24557421540986</v>
      </c>
      <c r="N58" s="19">
        <f t="shared" si="16"/>
        <v>86.711256065997702</v>
      </c>
      <c r="O58" s="19">
        <f t="shared" si="16"/>
        <v>82.402264363998228</v>
      </c>
    </row>
    <row r="59" spans="2:23" ht="15" customHeight="1" x14ac:dyDescent="0.2">
      <c r="G59" s="25">
        <f>G58+1%</f>
        <v>6.2292151620557776E-2</v>
      </c>
      <c r="H59" s="9">
        <f>SUM(K59:O59)</f>
        <v>449.31526483083127</v>
      </c>
      <c r="K59" s="19">
        <f t="shared" si="16"/>
        <v>101.03793722369372</v>
      </c>
      <c r="L59" s="19">
        <f t="shared" si="16"/>
        <v>95.113135373877512</v>
      </c>
      <c r="M59" s="19">
        <f t="shared" si="16"/>
        <v>89.535760222627701</v>
      </c>
      <c r="N59" s="19">
        <f t="shared" si="16"/>
        <v>84.285438884245067</v>
      </c>
      <c r="O59" s="19">
        <f t="shared" si="16"/>
        <v>79.34299312638727</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149" t="s">
        <v>119</v>
      </c>
      <c r="C62" s="149"/>
      <c r="D62" s="149"/>
      <c r="E62" s="149"/>
      <c r="F62" s="149"/>
      <c r="G62" s="149"/>
      <c r="H62" s="149"/>
      <c r="I62" s="149"/>
      <c r="J62" s="149"/>
      <c r="K62" s="149"/>
      <c r="L62" s="149"/>
      <c r="M62" s="149"/>
      <c r="N62" s="149"/>
      <c r="O62" s="149"/>
      <c r="Q62" s="144" t="s">
        <v>120</v>
      </c>
      <c r="R62" s="144" t="s">
        <v>121</v>
      </c>
      <c r="S62" s="144" t="s">
        <v>122</v>
      </c>
    </row>
    <row r="63" spans="2:23" ht="16" x14ac:dyDescent="0.2">
      <c r="B63" s="71"/>
      <c r="Q63" s="72">
        <v>0</v>
      </c>
      <c r="R63" s="96">
        <f>J157+J159</f>
        <v>48.522001000000003</v>
      </c>
      <c r="S63" s="96">
        <f>J135</f>
        <v>137.328003</v>
      </c>
    </row>
    <row r="64" spans="2:23" ht="16" x14ac:dyDescent="0.2">
      <c r="C64" s="134" t="s">
        <v>123</v>
      </c>
      <c r="D64" s="134"/>
      <c r="E64" s="134"/>
      <c r="F64" s="134"/>
      <c r="G64" s="134"/>
      <c r="K64" s="134" t="s">
        <v>124</v>
      </c>
      <c r="L64" s="134"/>
      <c r="M64" s="134"/>
      <c r="N64" s="134"/>
      <c r="O64" s="134"/>
      <c r="Q64" s="98">
        <f t="shared" ref="Q64" si="17">Q63</f>
        <v>0</v>
      </c>
      <c r="R64" s="97">
        <f t="shared" ref="R64:S67" si="18">R63</f>
        <v>48.522001000000003</v>
      </c>
      <c r="S64" s="97">
        <f t="shared" si="18"/>
        <v>137.328003</v>
      </c>
    </row>
    <row r="65" spans="2:22" ht="13" x14ac:dyDescent="0.15">
      <c r="C65" s="135" t="s">
        <v>125</v>
      </c>
      <c r="D65" s="135"/>
      <c r="E65" s="135"/>
      <c r="F65" s="135"/>
      <c r="G65" s="135"/>
      <c r="K65" s="135" t="s">
        <v>125</v>
      </c>
      <c r="L65" s="135"/>
      <c r="M65" s="135"/>
      <c r="N65" s="135"/>
      <c r="O65" s="135"/>
      <c r="Q65" s="98">
        <f t="shared" ref="Q65" si="19">Q64</f>
        <v>0</v>
      </c>
      <c r="R65" s="97">
        <f t="shared" si="18"/>
        <v>48.522001000000003</v>
      </c>
      <c r="S65" s="97">
        <f t="shared" si="18"/>
        <v>137.328003</v>
      </c>
    </row>
    <row r="66" spans="2:22" ht="16" x14ac:dyDescent="0.2">
      <c r="B66" s="73" t="s">
        <v>20</v>
      </c>
      <c r="C66" s="74">
        <f>D66-0.5%</f>
        <v>9.9999999999999985E-3</v>
      </c>
      <c r="D66" s="74">
        <f>E66-0.5%</f>
        <v>1.4999999999999999E-2</v>
      </c>
      <c r="E66" s="75">
        <v>0.02</v>
      </c>
      <c r="F66" s="74">
        <f>E66+0.5%</f>
        <v>2.5000000000000001E-2</v>
      </c>
      <c r="G66" s="74">
        <f>F66+0.5%</f>
        <v>3.0000000000000002E-2</v>
      </c>
      <c r="I66" s="27"/>
      <c r="J66" s="76" t="s">
        <v>20</v>
      </c>
      <c r="K66" s="74">
        <f>L66-0.5%</f>
        <v>9.9999999999999985E-3</v>
      </c>
      <c r="L66" s="74">
        <f>M66-0.5%</f>
        <v>1.4999999999999999E-2</v>
      </c>
      <c r="M66" s="77">
        <f>E66</f>
        <v>0.02</v>
      </c>
      <c r="N66" s="74">
        <f>M66+0.5%</f>
        <v>2.5000000000000001E-2</v>
      </c>
      <c r="O66" s="74">
        <f>N66+0.5%</f>
        <v>3.0000000000000002E-2</v>
      </c>
      <c r="Q66" s="98">
        <f t="shared" ref="Q66" si="20">Q65</f>
        <v>0</v>
      </c>
      <c r="R66" s="97">
        <f t="shared" si="18"/>
        <v>48.522001000000003</v>
      </c>
      <c r="S66" s="97">
        <f t="shared" si="18"/>
        <v>137.328003</v>
      </c>
    </row>
    <row r="67" spans="2:22" ht="13" x14ac:dyDescent="0.15">
      <c r="B67" s="25">
        <f>B68-0.25%</f>
        <v>3.7292151620557767E-2</v>
      </c>
      <c r="C67" s="78">
        <f t="shared" ref="C67:G71" si="21">$O$50*(1+C$66)/($B67-C$66)/(1+$B67)^$O$54</f>
        <v>3229.7112913304545</v>
      </c>
      <c r="D67" s="78">
        <f t="shared" si="21"/>
        <v>3973.6915915825407</v>
      </c>
      <c r="E67" s="78">
        <f t="shared" si="21"/>
        <v>5147.9134930981791</v>
      </c>
      <c r="F67" s="78">
        <f t="shared" si="21"/>
        <v>7277.3968799601507</v>
      </c>
      <c r="G67" s="78">
        <f t="shared" si="21"/>
        <v>12327.120406726253</v>
      </c>
      <c r="I67" s="27"/>
      <c r="J67" s="79">
        <f>B67</f>
        <v>3.7292151620557767E-2</v>
      </c>
      <c r="K67" s="78">
        <f>C67+$H55</f>
        <v>3713.3438202265552</v>
      </c>
      <c r="L67" s="78">
        <f t="shared" ref="L67:O67" si="22">D67+$H55</f>
        <v>4457.3241204786409</v>
      </c>
      <c r="M67" s="78">
        <f t="shared" si="22"/>
        <v>5631.5460219942797</v>
      </c>
      <c r="N67" s="78">
        <f t="shared" si="22"/>
        <v>7761.0294088562514</v>
      </c>
      <c r="O67" s="78">
        <f t="shared" si="22"/>
        <v>12810.752935622353</v>
      </c>
      <c r="Q67" s="98">
        <f t="shared" ref="Q67" si="23">Q66</f>
        <v>0</v>
      </c>
      <c r="R67" s="97">
        <f t="shared" si="18"/>
        <v>48.522001000000003</v>
      </c>
      <c r="S67" s="97">
        <f t="shared" si="18"/>
        <v>137.328003</v>
      </c>
      <c r="V67" s="80"/>
    </row>
    <row r="68" spans="2:22" ht="13" x14ac:dyDescent="0.15">
      <c r="B68" s="25">
        <f>B69-0.25%</f>
        <v>3.979215162055777E-2</v>
      </c>
      <c r="C68" s="78">
        <f t="shared" si="21"/>
        <v>2930.3387977724842</v>
      </c>
      <c r="D68" s="78">
        <f t="shared" si="21"/>
        <v>3538.7522131150267</v>
      </c>
      <c r="E68" s="78">
        <f t="shared" si="21"/>
        <v>4454.5669797642131</v>
      </c>
      <c r="F68" s="78">
        <f t="shared" si="21"/>
        <v>5989.5038255681384</v>
      </c>
      <c r="G68" s="78">
        <f t="shared" si="21"/>
        <v>9091.9581131786836</v>
      </c>
      <c r="I68" s="27"/>
      <c r="J68" s="79">
        <f>B68</f>
        <v>3.979215162055777E-2</v>
      </c>
      <c r="K68" s="78">
        <f t="shared" ref="K68:K71" si="24">C68+$H56</f>
        <v>3404.8951594817331</v>
      </c>
      <c r="L68" s="78">
        <f t="shared" ref="L68:L71" si="25">D68+$H56</f>
        <v>4013.3085748242756</v>
      </c>
      <c r="M68" s="78">
        <f t="shared" ref="M68:M71" si="26">E68+$H56</f>
        <v>4929.1233414734625</v>
      </c>
      <c r="N68" s="78">
        <f t="shared" ref="N68:N71" si="27">F68+$H56</f>
        <v>6464.0601872773877</v>
      </c>
      <c r="O68" s="78">
        <f t="shared" ref="O68:O71" si="28">G68+$H56</f>
        <v>9566.514474887932</v>
      </c>
    </row>
    <row r="69" spans="2:22" ht="13" x14ac:dyDescent="0.15">
      <c r="B69" s="25">
        <f>S39</f>
        <v>4.2292151620557772E-2</v>
      </c>
      <c r="C69" s="78">
        <f t="shared" si="21"/>
        <v>2677.6326295267841</v>
      </c>
      <c r="D69" s="78">
        <f t="shared" si="21"/>
        <v>3183.8666345722327</v>
      </c>
      <c r="E69" s="78">
        <f t="shared" si="21"/>
        <v>3917.1913277047843</v>
      </c>
      <c r="F69" s="78">
        <f t="shared" si="21"/>
        <v>5074.5955161042748</v>
      </c>
      <c r="G69" s="78">
        <f t="shared" si="21"/>
        <v>7173.579522363978</v>
      </c>
      <c r="I69" s="27"/>
      <c r="J69" s="79">
        <f>B69</f>
        <v>4.2292151620557772E-2</v>
      </c>
      <c r="K69" s="78">
        <f t="shared" si="24"/>
        <v>3143.4550934961026</v>
      </c>
      <c r="L69" s="78">
        <f t="shared" si="25"/>
        <v>3649.6890985415512</v>
      </c>
      <c r="M69" s="78">
        <f t="shared" si="26"/>
        <v>4383.0137916741023</v>
      </c>
      <c r="N69" s="78">
        <f t="shared" si="27"/>
        <v>5540.4179800735928</v>
      </c>
      <c r="O69" s="78">
        <f t="shared" si="28"/>
        <v>7639.401986333296</v>
      </c>
      <c r="V69" s="81"/>
    </row>
    <row r="70" spans="2:22" ht="13" x14ac:dyDescent="0.15">
      <c r="B70" s="25">
        <f>B69+1%</f>
        <v>5.2292151620557774E-2</v>
      </c>
      <c r="C70" s="78">
        <f t="shared" si="21"/>
        <v>1967.8896395326167</v>
      </c>
      <c r="D70" s="78">
        <f t="shared" si="21"/>
        <v>2242.7855378382487</v>
      </c>
      <c r="E70" s="78">
        <f t="shared" si="21"/>
        <v>2602.8092100797094</v>
      </c>
      <c r="F70" s="78">
        <f t="shared" si="21"/>
        <v>3094.7476090333994</v>
      </c>
      <c r="G70" s="78">
        <f t="shared" si="21"/>
        <v>3807.3638534132015</v>
      </c>
      <c r="I70" s="27"/>
      <c r="J70" s="79">
        <f>B70</f>
        <v>5.2292151620557774E-2</v>
      </c>
      <c r="K70" s="78">
        <f t="shared" si="24"/>
        <v>2425.3036730187032</v>
      </c>
      <c r="L70" s="78">
        <f t="shared" si="25"/>
        <v>2700.199571324335</v>
      </c>
      <c r="M70" s="78">
        <f t="shared" si="26"/>
        <v>3060.2232435657957</v>
      </c>
      <c r="N70" s="78">
        <f t="shared" si="27"/>
        <v>3552.1616425194857</v>
      </c>
      <c r="O70" s="78">
        <f t="shared" si="28"/>
        <v>4264.7778868992882</v>
      </c>
    </row>
    <row r="71" spans="2:22" ht="13" x14ac:dyDescent="0.15">
      <c r="B71" s="25">
        <f>B70+1%</f>
        <v>6.2292151620557776E-2</v>
      </c>
      <c r="C71" s="78">
        <f t="shared" si="21"/>
        <v>1532.4751530427916</v>
      </c>
      <c r="D71" s="78">
        <f t="shared" si="21"/>
        <v>1702.8858967853669</v>
      </c>
      <c r="E71" s="78">
        <f t="shared" si="21"/>
        <v>1913.5903444925671</v>
      </c>
      <c r="F71" s="78">
        <f t="shared" si="21"/>
        <v>2180.7958087812408</v>
      </c>
      <c r="G71" s="78">
        <f t="shared" si="21"/>
        <v>2530.7475290111161</v>
      </c>
      <c r="I71" s="27"/>
      <c r="J71" s="79">
        <f>B71</f>
        <v>6.2292151620557776E-2</v>
      </c>
      <c r="K71" s="78">
        <f t="shared" si="24"/>
        <v>1981.7904178736228</v>
      </c>
      <c r="L71" s="78">
        <f t="shared" si="25"/>
        <v>2152.2011616161981</v>
      </c>
      <c r="M71" s="78">
        <f t="shared" si="26"/>
        <v>2362.9056093233985</v>
      </c>
      <c r="N71" s="78">
        <f t="shared" si="27"/>
        <v>2630.1110736120722</v>
      </c>
      <c r="O71" s="78">
        <f t="shared" si="28"/>
        <v>2980.0627938419475</v>
      </c>
    </row>
    <row r="72" spans="2:22" ht="13" x14ac:dyDescent="0.15">
      <c r="C72" s="27"/>
      <c r="D72" s="27"/>
      <c r="E72" s="27"/>
      <c r="F72" s="27"/>
      <c r="G72" s="27"/>
      <c r="I72" s="27"/>
      <c r="J72" s="27"/>
      <c r="K72" s="27"/>
      <c r="L72" s="27"/>
      <c r="M72" s="27"/>
      <c r="N72" s="27"/>
      <c r="O72" s="27"/>
    </row>
    <row r="73" spans="2:22" ht="16" x14ac:dyDescent="0.2">
      <c r="C73" s="132" t="s">
        <v>126</v>
      </c>
      <c r="D73" s="132"/>
      <c r="E73" s="132"/>
      <c r="F73" s="132"/>
      <c r="G73" s="132"/>
      <c r="H73" s="82"/>
      <c r="I73" s="83"/>
      <c r="J73" s="83"/>
      <c r="K73" s="132" t="s">
        <v>127</v>
      </c>
      <c r="L73" s="132"/>
      <c r="M73" s="132"/>
      <c r="N73" s="132"/>
      <c r="O73" s="132"/>
    </row>
    <row r="74" spans="2:22" ht="16" x14ac:dyDescent="0.2">
      <c r="C74" s="133" t="s">
        <v>125</v>
      </c>
      <c r="D74" s="133"/>
      <c r="E74" s="133"/>
      <c r="F74" s="133"/>
      <c r="G74" s="133"/>
      <c r="H74" s="82"/>
      <c r="I74" s="83"/>
      <c r="J74" s="83"/>
      <c r="K74" s="133" t="s">
        <v>125</v>
      </c>
      <c r="L74" s="133"/>
      <c r="M74" s="133"/>
      <c r="N74" s="133"/>
      <c r="O74" s="133"/>
    </row>
    <row r="75" spans="2:22" ht="16" x14ac:dyDescent="0.2">
      <c r="B75" s="73" t="s">
        <v>20</v>
      </c>
      <c r="C75" s="77">
        <f>D75-0.5%</f>
        <v>9.9999999999999985E-3</v>
      </c>
      <c r="D75" s="77">
        <f>E75-0.5%</f>
        <v>1.4999999999999999E-2</v>
      </c>
      <c r="E75" s="77">
        <f>E66</f>
        <v>0.02</v>
      </c>
      <c r="F75" s="77">
        <f>E75+0.5%</f>
        <v>2.5000000000000001E-2</v>
      </c>
      <c r="G75" s="77">
        <f>F75+0.5%</f>
        <v>3.0000000000000002E-2</v>
      </c>
      <c r="H75" s="82"/>
      <c r="I75" s="83"/>
      <c r="J75" s="85" t="s">
        <v>20</v>
      </c>
      <c r="K75" s="77">
        <f>L75-0.5%</f>
        <v>9.9999999999999985E-3</v>
      </c>
      <c r="L75" s="77">
        <f>M75-0.5%</f>
        <v>1.4999999999999999E-2</v>
      </c>
      <c r="M75" s="77">
        <f>E66</f>
        <v>0.02</v>
      </c>
      <c r="N75" s="77">
        <f>M75+0.5%</f>
        <v>2.5000000000000001E-2</v>
      </c>
      <c r="O75" s="77">
        <f>N75+0.5%</f>
        <v>3.0000000000000002E-2</v>
      </c>
    </row>
    <row r="76" spans="2:22" ht="16" x14ac:dyDescent="0.2">
      <c r="B76" s="25">
        <f>B67</f>
        <v>3.7292151620557767E-2</v>
      </c>
      <c r="C76" s="86">
        <f t="shared" ref="C76:G80" si="29">K67-$R63+$S63-$Q63</f>
        <v>3802.1498222265554</v>
      </c>
      <c r="D76" s="86">
        <f t="shared" si="29"/>
        <v>4546.1301224786403</v>
      </c>
      <c r="E76" s="86">
        <f t="shared" si="29"/>
        <v>5720.3520239942791</v>
      </c>
      <c r="F76" s="86">
        <f t="shared" si="29"/>
        <v>7849.8354108562507</v>
      </c>
      <c r="G76" s="86">
        <f t="shared" si="29"/>
        <v>12899.558937622354</v>
      </c>
      <c r="H76" s="82"/>
      <c r="I76" s="83"/>
      <c r="J76" s="87">
        <f>J67</f>
        <v>3.7292151620557767E-2</v>
      </c>
      <c r="K76" s="86">
        <f>C76/$S$42</f>
        <v>97.417533292233273</v>
      </c>
      <c r="L76" s="86">
        <f>D76/$S$42</f>
        <v>116.47957162772698</v>
      </c>
      <c r="M76" s="86">
        <f>E76/$S$42</f>
        <v>146.56513020163453</v>
      </c>
      <c r="N76" s="86">
        <f>F76/$S$42</f>
        <v>201.1261097617195</v>
      </c>
      <c r="O76" s="86">
        <f>G76/$S$42</f>
        <v>330.50859934947414</v>
      </c>
    </row>
    <row r="77" spans="2:22" ht="16" x14ac:dyDescent="0.2">
      <c r="B77" s="25">
        <f>B68</f>
        <v>3.979215162055777E-2</v>
      </c>
      <c r="C77" s="86">
        <f t="shared" si="29"/>
        <v>3493.7011614817334</v>
      </c>
      <c r="D77" s="86">
        <f t="shared" si="29"/>
        <v>4102.1145768242759</v>
      </c>
      <c r="E77" s="86">
        <f t="shared" si="29"/>
        <v>5017.9293434734618</v>
      </c>
      <c r="F77" s="86">
        <f t="shared" si="29"/>
        <v>6552.8661892773871</v>
      </c>
      <c r="G77" s="86">
        <f t="shared" si="29"/>
        <v>9655.3204768879332</v>
      </c>
      <c r="H77" s="82"/>
      <c r="I77" s="83"/>
      <c r="J77" s="87">
        <f>J68</f>
        <v>3.979215162055777E-2</v>
      </c>
      <c r="K77" s="86">
        <f>C77/$S$42</f>
        <v>89.514554955767551</v>
      </c>
      <c r="L77" s="88">
        <f>D77/$S$42</f>
        <v>105.10313955022329</v>
      </c>
      <c r="M77" s="89">
        <f>E77/$S$42</f>
        <v>128.56786863533873</v>
      </c>
      <c r="N77" s="90">
        <f>F77/$S$42</f>
        <v>167.89555646169958</v>
      </c>
      <c r="O77" s="86">
        <f>G77/$S$42</f>
        <v>247.38570229554867</v>
      </c>
    </row>
    <row r="78" spans="2:22" ht="16" x14ac:dyDescent="0.2">
      <c r="B78" s="25">
        <f>B69</f>
        <v>4.2292151620557772E-2</v>
      </c>
      <c r="C78" s="86">
        <f t="shared" si="29"/>
        <v>3232.2610954961028</v>
      </c>
      <c r="D78" s="86">
        <f t="shared" si="29"/>
        <v>3738.4951005415514</v>
      </c>
      <c r="E78" s="86">
        <f t="shared" si="29"/>
        <v>4471.8197936741017</v>
      </c>
      <c r="F78" s="86">
        <f t="shared" si="29"/>
        <v>5629.2239820735922</v>
      </c>
      <c r="G78" s="86">
        <f t="shared" si="29"/>
        <v>7728.2079883332954</v>
      </c>
      <c r="H78" s="82"/>
      <c r="I78" s="83"/>
      <c r="J78" s="87">
        <f>J69</f>
        <v>4.2292151620557772E-2</v>
      </c>
      <c r="K78" s="86">
        <f>C78/$S$42</f>
        <v>82.816016622745167</v>
      </c>
      <c r="L78" s="91">
        <f>D78/$S$42</f>
        <v>95.786591257096603</v>
      </c>
      <c r="M78" s="86">
        <f>E78/$S$42</f>
        <v>114.57561484834008</v>
      </c>
      <c r="N78" s="92">
        <f>F78/$S$42</f>
        <v>144.23027506105885</v>
      </c>
      <c r="O78" s="86">
        <f>G78/$S$42</f>
        <v>198.00980871182034</v>
      </c>
    </row>
    <row r="79" spans="2:22" ht="16" x14ac:dyDescent="0.2">
      <c r="B79" s="25">
        <f>B70</f>
        <v>5.2292151620557774E-2</v>
      </c>
      <c r="C79" s="86">
        <f t="shared" si="29"/>
        <v>2514.1096750187035</v>
      </c>
      <c r="D79" s="86">
        <f t="shared" si="29"/>
        <v>2789.0055733243353</v>
      </c>
      <c r="E79" s="86">
        <f t="shared" si="29"/>
        <v>3149.0292455657959</v>
      </c>
      <c r="F79" s="86">
        <f t="shared" si="29"/>
        <v>3640.9676445194859</v>
      </c>
      <c r="G79" s="86">
        <f t="shared" si="29"/>
        <v>4353.5838888992876</v>
      </c>
      <c r="H79" s="82"/>
      <c r="I79" s="83"/>
      <c r="J79" s="87">
        <f>J70</f>
        <v>5.2292151620557774E-2</v>
      </c>
      <c r="K79" s="86">
        <f>C79/$S$42</f>
        <v>64.415758036340364</v>
      </c>
      <c r="L79" s="93">
        <f>D79/$S$42</f>
        <v>71.45905763714488</v>
      </c>
      <c r="M79" s="94">
        <f>E79/$S$42</f>
        <v>80.68347532619741</v>
      </c>
      <c r="N79" s="95">
        <f>F79/$S$42</f>
        <v>93.287772263064269</v>
      </c>
      <c r="O79" s="86">
        <f>G79/$S$42</f>
        <v>111.54621024087182</v>
      </c>
    </row>
    <row r="80" spans="2:22" ht="13" x14ac:dyDescent="0.15">
      <c r="B80" s="25">
        <f>B71</f>
        <v>6.2292151620557776E-2</v>
      </c>
      <c r="C80" s="78">
        <f t="shared" si="29"/>
        <v>2070.5964198736228</v>
      </c>
      <c r="D80" s="78">
        <f t="shared" si="29"/>
        <v>2241.0071636161983</v>
      </c>
      <c r="E80" s="78">
        <f t="shared" si="29"/>
        <v>2451.7116113233988</v>
      </c>
      <c r="F80" s="78">
        <f t="shared" si="29"/>
        <v>2718.9170756120725</v>
      </c>
      <c r="G80" s="78">
        <f t="shared" si="29"/>
        <v>3068.8687958419478</v>
      </c>
      <c r="I80" s="27"/>
      <c r="J80" s="79">
        <f>J71</f>
        <v>6.2292151620557776E-2</v>
      </c>
      <c r="K80" s="78">
        <f>C80/$S$42</f>
        <v>53.052195494414796</v>
      </c>
      <c r="L80" s="78">
        <f>D80/$S$42</f>
        <v>57.418408052597201</v>
      </c>
      <c r="M80" s="78">
        <f>E80/$S$42</f>
        <v>62.817013712307244</v>
      </c>
      <c r="N80" s="78">
        <f>F80/$S$42</f>
        <v>69.663271337674814</v>
      </c>
      <c r="O80" s="78">
        <f>G80/$S$42</f>
        <v>78.629628517204395</v>
      </c>
    </row>
    <row r="81" spans="2:19" ht="13" x14ac:dyDescent="0.15">
      <c r="B81" s="26"/>
      <c r="C81" s="78"/>
      <c r="D81" s="78"/>
      <c r="E81" s="78"/>
      <c r="F81" s="78"/>
      <c r="G81" s="78"/>
      <c r="I81" s="27"/>
      <c r="J81" s="112"/>
      <c r="K81" s="78"/>
      <c r="L81" s="78"/>
      <c r="M81" s="78"/>
      <c r="N81" s="78"/>
      <c r="O81" s="78"/>
    </row>
    <row r="82" spans="2:19" ht="13" x14ac:dyDescent="0.15">
      <c r="B82" s="26"/>
      <c r="C82" s="78"/>
      <c r="D82" s="78"/>
      <c r="E82" s="78"/>
      <c r="F82" s="78"/>
      <c r="G82" s="78"/>
      <c r="I82" s="27"/>
      <c r="J82" s="112"/>
      <c r="K82" s="78"/>
      <c r="L82" s="78"/>
      <c r="M82" s="78"/>
      <c r="N82" s="78"/>
      <c r="O82" s="78"/>
    </row>
    <row r="83" spans="2:19" ht="16" x14ac:dyDescent="0.2">
      <c r="G83" s="26"/>
      <c r="H83" s="9"/>
      <c r="K83" s="19"/>
      <c r="L83" s="19"/>
      <c r="M83" s="19"/>
      <c r="N83" s="19"/>
      <c r="O83" s="19"/>
    </row>
    <row r="84" spans="2:19" ht="16" x14ac:dyDescent="0.2">
      <c r="B84" s="149" t="s">
        <v>132</v>
      </c>
      <c r="C84" s="149"/>
      <c r="D84" s="149"/>
      <c r="E84" s="149"/>
      <c r="F84" s="149"/>
      <c r="G84" s="149"/>
      <c r="H84" s="149"/>
      <c r="I84" s="149"/>
      <c r="J84" s="149"/>
      <c r="K84" s="149"/>
      <c r="L84" s="149"/>
      <c r="M84" s="149"/>
      <c r="N84" s="149"/>
      <c r="O84" s="149"/>
      <c r="Q84" s="149" t="s">
        <v>145</v>
      </c>
      <c r="R84" s="149"/>
      <c r="S84" s="149"/>
    </row>
    <row r="85" spans="2:19" ht="13" x14ac:dyDescent="0.15"/>
    <row r="86" spans="2:19" ht="16" x14ac:dyDescent="0.2">
      <c r="C86" s="134" t="s">
        <v>133</v>
      </c>
      <c r="D86" s="134"/>
      <c r="E86" s="134"/>
      <c r="F86" s="134"/>
      <c r="G86" s="134"/>
      <c r="K86" s="134" t="s">
        <v>124</v>
      </c>
      <c r="L86" s="134"/>
      <c r="M86" s="134"/>
      <c r="N86" s="134"/>
      <c r="O86" s="134"/>
      <c r="Q86" s="1" t="s">
        <v>154</v>
      </c>
      <c r="S86" s="16">
        <f>AVERAGE(T135:Y135)</f>
        <v>20.64471968741417</v>
      </c>
    </row>
    <row r="87" spans="2:19" ht="13" x14ac:dyDescent="0.15">
      <c r="C87" s="135" t="s">
        <v>134</v>
      </c>
      <c r="D87" s="135"/>
      <c r="E87" s="135"/>
      <c r="F87" s="135"/>
      <c r="G87" s="135"/>
      <c r="K87" s="135" t="s">
        <v>134</v>
      </c>
      <c r="L87" s="135"/>
      <c r="M87" s="135"/>
      <c r="N87" s="135"/>
      <c r="O87" s="135"/>
      <c r="Q87" s="1" t="s">
        <v>142</v>
      </c>
      <c r="S87" s="16">
        <f>MAX(T135:Y135)</f>
        <v>24.961938860513428</v>
      </c>
    </row>
    <row r="88" spans="2:19" ht="16" x14ac:dyDescent="0.2">
      <c r="B88" s="73" t="s">
        <v>20</v>
      </c>
      <c r="C88" s="100">
        <f>D88-$S$90</f>
        <v>12.778123020128309</v>
      </c>
      <c r="D88" s="100">
        <f>E88-$S$90</f>
        <v>16.711421353771239</v>
      </c>
      <c r="E88" s="101">
        <f>S86</f>
        <v>20.64471968741417</v>
      </c>
      <c r="F88" s="100">
        <f>E88+$S$89</f>
        <v>22.803329273963797</v>
      </c>
      <c r="G88" s="100">
        <f>F88+$S$90</f>
        <v>26.736627607606728</v>
      </c>
      <c r="I88" s="27"/>
      <c r="J88" s="76" t="s">
        <v>20</v>
      </c>
      <c r="K88" s="100">
        <f>C88</f>
        <v>12.778123020128309</v>
      </c>
      <c r="L88" s="100">
        <f>D88</f>
        <v>16.711421353771239</v>
      </c>
      <c r="M88" s="101">
        <f>E88</f>
        <v>20.64471968741417</v>
      </c>
      <c r="N88" s="100">
        <f>F88</f>
        <v>22.803329273963797</v>
      </c>
      <c r="O88" s="100">
        <f>G88</f>
        <v>26.736627607606728</v>
      </c>
      <c r="Q88" s="1" t="s">
        <v>135</v>
      </c>
      <c r="S88" s="124">
        <f>T135</f>
        <v>12.778123020128309</v>
      </c>
    </row>
    <row r="89" spans="2:19" ht="13" x14ac:dyDescent="0.15">
      <c r="B89" s="25">
        <f t="shared" ref="B89" si="30">B90-1%</f>
        <v>5.8377864000000008E-2</v>
      </c>
      <c r="C89" s="78">
        <f t="shared" ref="C89:G93" si="31">$O$33*C$88/(1+$B89)^$O$54</f>
        <v>4213.7075785778179</v>
      </c>
      <c r="D89" s="78">
        <f t="shared" si="31"/>
        <v>5510.7501075291711</v>
      </c>
      <c r="E89" s="78">
        <f t="shared" si="31"/>
        <v>6807.7926364805244</v>
      </c>
      <c r="F89" s="78">
        <f t="shared" si="31"/>
        <v>7519.6146747960984</v>
      </c>
      <c r="G89" s="78">
        <f t="shared" si="31"/>
        <v>8816.6572037474525</v>
      </c>
      <c r="I89" s="27"/>
      <c r="J89" s="79">
        <f>B89</f>
        <v>5.8377864000000008E-2</v>
      </c>
      <c r="K89" s="78">
        <f t="shared" ref="K89:O93" si="32">C89+$H55</f>
        <v>4697.3401074739186</v>
      </c>
      <c r="L89" s="78">
        <f t="shared" si="32"/>
        <v>5994.3826364252718</v>
      </c>
      <c r="M89" s="78">
        <f t="shared" si="32"/>
        <v>7291.425165376625</v>
      </c>
      <c r="N89" s="78">
        <f t="shared" si="32"/>
        <v>8003.247203692199</v>
      </c>
      <c r="O89" s="78">
        <f t="shared" si="32"/>
        <v>9300.2897326435523</v>
      </c>
      <c r="Q89" s="1" t="s">
        <v>143</v>
      </c>
      <c r="S89" s="16">
        <f>(S87-S86)/2</f>
        <v>2.1586095865496286</v>
      </c>
    </row>
    <row r="90" spans="2:19" ht="13" x14ac:dyDescent="0.15">
      <c r="B90" s="25">
        <f>B91-1%</f>
        <v>6.837786400000001E-2</v>
      </c>
      <c r="C90" s="78">
        <f t="shared" si="31"/>
        <v>4058.1478029676709</v>
      </c>
      <c r="D90" s="78">
        <f t="shared" si="31"/>
        <v>5307.3066947662555</v>
      </c>
      <c r="E90" s="78">
        <f t="shared" si="31"/>
        <v>6556.465586564841</v>
      </c>
      <c r="F90" s="78">
        <f t="shared" si="31"/>
        <v>7242.0088965895202</v>
      </c>
      <c r="G90" s="78">
        <f t="shared" si="31"/>
        <v>8491.1677883881057</v>
      </c>
      <c r="I90" s="27"/>
      <c r="J90" s="79">
        <f>B90</f>
        <v>6.837786400000001E-2</v>
      </c>
      <c r="K90" s="78">
        <f t="shared" si="32"/>
        <v>4532.7041646769203</v>
      </c>
      <c r="L90" s="78">
        <f t="shared" si="32"/>
        <v>5781.8630564755049</v>
      </c>
      <c r="M90" s="78">
        <f t="shared" si="32"/>
        <v>7031.0219482740904</v>
      </c>
      <c r="N90" s="78">
        <f t="shared" si="32"/>
        <v>7716.5652582987695</v>
      </c>
      <c r="O90" s="78">
        <f t="shared" si="32"/>
        <v>8965.7241500973541</v>
      </c>
      <c r="Q90" s="130" t="s">
        <v>144</v>
      </c>
      <c r="S90" s="16">
        <f>(S86-S88)/2</f>
        <v>3.9332983336429308</v>
      </c>
    </row>
    <row r="91" spans="2:19" ht="13" x14ac:dyDescent="0.15">
      <c r="B91" s="25">
        <f>S36</f>
        <v>7.8377864000000005E-2</v>
      </c>
      <c r="C91" s="78">
        <f t="shared" si="31"/>
        <v>3909.7008383802863</v>
      </c>
      <c r="D91" s="78">
        <f t="shared" si="31"/>
        <v>5113.1655231716159</v>
      </c>
      <c r="E91" s="78">
        <f t="shared" si="31"/>
        <v>6316.6302079629468</v>
      </c>
      <c r="F91" s="78">
        <f t="shared" si="31"/>
        <v>6977.0963575668229</v>
      </c>
      <c r="G91" s="78">
        <f t="shared" si="31"/>
        <v>8180.5610423581529</v>
      </c>
      <c r="I91" s="27"/>
      <c r="J91" s="79">
        <f>B91</f>
        <v>7.8377864000000005E-2</v>
      </c>
      <c r="K91" s="78">
        <f t="shared" si="32"/>
        <v>4375.5233023496048</v>
      </c>
      <c r="L91" s="78">
        <f t="shared" si="32"/>
        <v>5578.9879871409339</v>
      </c>
      <c r="M91" s="78">
        <f t="shared" si="32"/>
        <v>6782.4526719322648</v>
      </c>
      <c r="N91" s="78">
        <f t="shared" si="32"/>
        <v>7442.918821536141</v>
      </c>
      <c r="O91" s="78">
        <f t="shared" si="32"/>
        <v>8646.383506327471</v>
      </c>
    </row>
    <row r="92" spans="2:19" ht="13" x14ac:dyDescent="0.15">
      <c r="B92" s="25">
        <f>B91+1%</f>
        <v>8.8377864E-2</v>
      </c>
      <c r="C92" s="78">
        <f t="shared" si="31"/>
        <v>3767.9799581825955</v>
      </c>
      <c r="D92" s="78">
        <f t="shared" si="31"/>
        <v>4927.8208258416353</v>
      </c>
      <c r="E92" s="78">
        <f t="shared" si="31"/>
        <v>6087.661693500675</v>
      </c>
      <c r="F92" s="78">
        <f t="shared" si="31"/>
        <v>6724.1869207854361</v>
      </c>
      <c r="G92" s="78">
        <f t="shared" si="31"/>
        <v>7884.0277884444758</v>
      </c>
      <c r="I92" s="27"/>
      <c r="J92" s="79">
        <f>B92</f>
        <v>8.8377864E-2</v>
      </c>
      <c r="K92" s="78">
        <f t="shared" si="32"/>
        <v>4225.3939916686822</v>
      </c>
      <c r="L92" s="78">
        <f t="shared" si="32"/>
        <v>5385.234859327722</v>
      </c>
      <c r="M92" s="78">
        <f t="shared" si="32"/>
        <v>6545.0757269867618</v>
      </c>
      <c r="N92" s="78">
        <f t="shared" si="32"/>
        <v>7181.6009542715228</v>
      </c>
      <c r="O92" s="78">
        <f t="shared" si="32"/>
        <v>8341.4418219305626</v>
      </c>
    </row>
    <row r="93" spans="2:19" ht="16" x14ac:dyDescent="0.2">
      <c r="B93" s="25">
        <f>B92+1%</f>
        <v>9.8377863999999995E-2</v>
      </c>
      <c r="C93" s="78">
        <f t="shared" si="31"/>
        <v>3632.6227458665667</v>
      </c>
      <c r="D93" s="78">
        <f t="shared" si="31"/>
        <v>4750.7986290196231</v>
      </c>
      <c r="E93" s="78">
        <f t="shared" si="31"/>
        <v>5868.9745121726801</v>
      </c>
      <c r="F93" s="78">
        <f t="shared" si="31"/>
        <v>6482.6338321834419</v>
      </c>
      <c r="G93" s="78">
        <f t="shared" si="31"/>
        <v>7600.8097153364988</v>
      </c>
      <c r="H93" s="82"/>
      <c r="I93" s="84"/>
      <c r="J93" s="87">
        <f>B93</f>
        <v>9.8377863999999995E-2</v>
      </c>
      <c r="K93" s="78">
        <f t="shared" si="32"/>
        <v>4081.9380106973981</v>
      </c>
      <c r="L93" s="78">
        <f t="shared" si="32"/>
        <v>5200.1138938504546</v>
      </c>
      <c r="M93" s="78">
        <f t="shared" si="32"/>
        <v>6318.2897770035115</v>
      </c>
      <c r="N93" s="78">
        <f t="shared" si="32"/>
        <v>6931.9490970142733</v>
      </c>
      <c r="O93" s="78">
        <f t="shared" si="32"/>
        <v>8050.1249801673302</v>
      </c>
    </row>
    <row r="94" spans="2:19" ht="16" x14ac:dyDescent="0.2">
      <c r="C94" s="84"/>
      <c r="D94" s="84"/>
      <c r="E94" s="84"/>
      <c r="F94" s="84"/>
      <c r="G94" s="84"/>
      <c r="H94" s="82"/>
      <c r="I94" s="84"/>
      <c r="J94" s="84"/>
      <c r="K94" s="84"/>
      <c r="L94" s="84"/>
      <c r="M94" s="84"/>
      <c r="N94" s="84"/>
      <c r="O94" s="84"/>
    </row>
    <row r="95" spans="2:19" ht="16" x14ac:dyDescent="0.2">
      <c r="C95" s="132" t="s">
        <v>126</v>
      </c>
      <c r="D95" s="132"/>
      <c r="E95" s="132"/>
      <c r="F95" s="132"/>
      <c r="G95" s="132"/>
      <c r="H95" s="82"/>
      <c r="I95" s="84"/>
      <c r="J95" s="84"/>
      <c r="K95" s="132" t="s">
        <v>127</v>
      </c>
      <c r="L95" s="132"/>
      <c r="M95" s="132"/>
      <c r="N95" s="132"/>
      <c r="O95" s="132"/>
    </row>
    <row r="96" spans="2:19" ht="16" x14ac:dyDescent="0.2">
      <c r="C96" s="133" t="s">
        <v>134</v>
      </c>
      <c r="D96" s="133"/>
      <c r="E96" s="133"/>
      <c r="F96" s="133"/>
      <c r="G96" s="133"/>
      <c r="H96" s="82"/>
      <c r="I96" s="84"/>
      <c r="J96" s="84"/>
      <c r="K96" s="133" t="s">
        <v>134</v>
      </c>
      <c r="L96" s="133"/>
      <c r="M96" s="133"/>
      <c r="N96" s="133"/>
      <c r="O96" s="133"/>
    </row>
    <row r="97" spans="1:31" ht="16" x14ac:dyDescent="0.2">
      <c r="B97" s="73" t="s">
        <v>20</v>
      </c>
      <c r="C97" s="102">
        <f>C88</f>
        <v>12.778123020128309</v>
      </c>
      <c r="D97" s="102">
        <f>D88</f>
        <v>16.711421353771239</v>
      </c>
      <c r="E97" s="103">
        <f>E88</f>
        <v>20.64471968741417</v>
      </c>
      <c r="F97" s="102">
        <f>F88</f>
        <v>22.803329273963797</v>
      </c>
      <c r="G97" s="102">
        <f>G88</f>
        <v>26.736627607606728</v>
      </c>
      <c r="H97" s="82"/>
      <c r="I97" s="84"/>
      <c r="J97" s="85" t="s">
        <v>20</v>
      </c>
      <c r="K97" s="101">
        <f>C88</f>
        <v>12.778123020128309</v>
      </c>
      <c r="L97" s="101">
        <f t="shared" ref="L97:O97" si="33">D88</f>
        <v>16.711421353771239</v>
      </c>
      <c r="M97" s="101">
        <f t="shared" si="33"/>
        <v>20.64471968741417</v>
      </c>
      <c r="N97" s="101">
        <f t="shared" si="33"/>
        <v>22.803329273963797</v>
      </c>
      <c r="O97" s="101">
        <f t="shared" si="33"/>
        <v>26.736627607606728</v>
      </c>
    </row>
    <row r="98" spans="1:31" ht="13" x14ac:dyDescent="0.15">
      <c r="B98" s="25">
        <f>B89</f>
        <v>5.8377864000000008E-2</v>
      </c>
      <c r="C98" s="78">
        <f>K89-$R63+$S63-$Q63</f>
        <v>4786.1461094739179</v>
      </c>
      <c r="D98" s="78">
        <f t="shared" ref="D98:G98" si="34">L89-$R63+$S63-$Q63</f>
        <v>6083.1886384252712</v>
      </c>
      <c r="E98" s="78">
        <f t="shared" si="34"/>
        <v>7380.2311673766244</v>
      </c>
      <c r="F98" s="78">
        <f t="shared" si="34"/>
        <v>8092.0532056921984</v>
      </c>
      <c r="G98" s="78">
        <f t="shared" si="34"/>
        <v>9389.0957346435534</v>
      </c>
      <c r="I98" s="27"/>
      <c r="J98" s="79">
        <f>J89</f>
        <v>5.8377864000000008E-2</v>
      </c>
      <c r="K98" s="78">
        <f>C98/$S$42</f>
        <v>122.62918868571241</v>
      </c>
      <c r="L98" s="78">
        <f>D98/$S$42</f>
        <v>155.86162024506822</v>
      </c>
      <c r="M98" s="78">
        <f>E98/$S$42</f>
        <v>189.09405180442405</v>
      </c>
      <c r="N98" s="78">
        <f>F98/$S$42</f>
        <v>207.33214087455559</v>
      </c>
      <c r="O98" s="78">
        <f>G98/$S$42</f>
        <v>240.56457243391148</v>
      </c>
    </row>
    <row r="99" spans="1:31" ht="13" x14ac:dyDescent="0.15">
      <c r="B99" s="25">
        <f t="shared" ref="B99:B102" si="35">B90</f>
        <v>6.837786400000001E-2</v>
      </c>
      <c r="C99" s="78">
        <f>K90-$R64+$S64-$Q64</f>
        <v>4621.5101666769197</v>
      </c>
      <c r="D99" s="78">
        <f t="shared" ref="D99:G102" si="36">L90-$R64+$S64-$Q64</f>
        <v>5870.6690584755042</v>
      </c>
      <c r="E99" s="78">
        <f t="shared" si="36"/>
        <v>7119.8279502740897</v>
      </c>
      <c r="F99" s="78">
        <f t="shared" si="36"/>
        <v>7805.3712602987689</v>
      </c>
      <c r="G99" s="78">
        <f t="shared" si="36"/>
        <v>9054.5301520973553</v>
      </c>
      <c r="I99" s="27"/>
      <c r="J99" s="79">
        <f t="shared" ref="J99:J102" si="37">J90</f>
        <v>6.837786400000001E-2</v>
      </c>
      <c r="K99" s="78">
        <f>C99/$S$42</f>
        <v>118.41093633153963</v>
      </c>
      <c r="L99" s="104">
        <f>D99/$S$42</f>
        <v>150.41650781578369</v>
      </c>
      <c r="M99" s="105">
        <f>E99/$S$42</f>
        <v>182.42207930002775</v>
      </c>
      <c r="N99" s="106">
        <f>F99/$S$42</f>
        <v>199.98686273838476</v>
      </c>
      <c r="O99" s="78">
        <f>G99/$S$42</f>
        <v>231.99243422262884</v>
      </c>
    </row>
    <row r="100" spans="1:31" ht="13" x14ac:dyDescent="0.15">
      <c r="B100" s="25">
        <f>B91</f>
        <v>7.8377864000000005E-2</v>
      </c>
      <c r="C100" s="78">
        <f>K91-$R65+$S65-$Q65</f>
        <v>4464.3293043496042</v>
      </c>
      <c r="D100" s="78">
        <f t="shared" si="36"/>
        <v>5667.7939891409333</v>
      </c>
      <c r="E100" s="78">
        <f t="shared" si="36"/>
        <v>6871.2586739322642</v>
      </c>
      <c r="F100" s="78">
        <f t="shared" si="36"/>
        <v>7531.7248235361403</v>
      </c>
      <c r="G100" s="78">
        <f t="shared" si="36"/>
        <v>8735.1895083274721</v>
      </c>
      <c r="I100" s="27"/>
      <c r="J100" s="79">
        <f t="shared" si="37"/>
        <v>7.8377864000000005E-2</v>
      </c>
      <c r="K100" s="78">
        <f>C100/$S$42</f>
        <v>114.38369579536678</v>
      </c>
      <c r="L100" s="107">
        <f>D100/$S$42</f>
        <v>145.21850412178642</v>
      </c>
      <c r="M100" s="78">
        <f>E100/$S$42</f>
        <v>176.0533124482061</v>
      </c>
      <c r="N100" s="108">
        <f>F100/$S$42</f>
        <v>192.97557646350214</v>
      </c>
      <c r="O100" s="78">
        <f>G100/$S$42</f>
        <v>223.81038478992184</v>
      </c>
    </row>
    <row r="101" spans="1:31" ht="13" x14ac:dyDescent="0.15">
      <c r="B101" s="25">
        <f>B92</f>
        <v>8.8377864E-2</v>
      </c>
      <c r="C101" s="78">
        <f>K92-$R66+$S66-$Q66</f>
        <v>4314.1999936686816</v>
      </c>
      <c r="D101" s="78">
        <f t="shared" si="36"/>
        <v>5474.0408613277214</v>
      </c>
      <c r="E101" s="78">
        <f t="shared" si="36"/>
        <v>6633.8817289867611</v>
      </c>
      <c r="F101" s="78">
        <f t="shared" si="36"/>
        <v>7270.4069562715222</v>
      </c>
      <c r="G101" s="78">
        <f t="shared" si="36"/>
        <v>8430.2478239305638</v>
      </c>
      <c r="I101" s="27"/>
      <c r="J101" s="79">
        <f t="shared" si="37"/>
        <v>8.8377864E-2</v>
      </c>
      <c r="K101" s="78">
        <f>C101/$S$42</f>
        <v>110.53712798367697</v>
      </c>
      <c r="L101" s="109">
        <f>D101/$S$42</f>
        <v>140.25422005573543</v>
      </c>
      <c r="M101" s="110">
        <f>E101/$S$42</f>
        <v>169.97131212779388</v>
      </c>
      <c r="N101" s="111">
        <f>F101/$S$42</f>
        <v>186.28016906916685</v>
      </c>
      <c r="O101" s="78">
        <f>G101/$S$42</f>
        <v>215.99726114122535</v>
      </c>
    </row>
    <row r="102" spans="1:31" ht="13" x14ac:dyDescent="0.15">
      <c r="B102" s="25">
        <f t="shared" si="35"/>
        <v>9.8377863999999995E-2</v>
      </c>
      <c r="C102" s="78">
        <f>K93-$R67+$S67-$Q67</f>
        <v>4170.7440126973979</v>
      </c>
      <c r="D102" s="78">
        <f t="shared" si="36"/>
        <v>5288.9198958504539</v>
      </c>
      <c r="E102" s="78">
        <f t="shared" si="36"/>
        <v>6407.0957790035109</v>
      </c>
      <c r="F102" s="78">
        <f t="shared" si="36"/>
        <v>7020.7550990142727</v>
      </c>
      <c r="G102" s="78">
        <f t="shared" si="36"/>
        <v>8138.9309821673296</v>
      </c>
      <c r="I102" s="27"/>
      <c r="J102" s="79">
        <f t="shared" si="37"/>
        <v>9.8377863999999995E-2</v>
      </c>
      <c r="K102" s="78">
        <f>C102/$S$42</f>
        <v>106.86154220834943</v>
      </c>
      <c r="L102" s="78">
        <f>D102/$S$42</f>
        <v>135.51110664341039</v>
      </c>
      <c r="M102" s="78">
        <f>E102/$S$42</f>
        <v>164.16067107847132</v>
      </c>
      <c r="N102" s="78">
        <f>F102/$S$42</f>
        <v>179.88366465641232</v>
      </c>
      <c r="O102" s="78">
        <f>G102/$S$42</f>
        <v>208.53322909147329</v>
      </c>
    </row>
    <row r="103" spans="1:31" ht="16" x14ac:dyDescent="0.2">
      <c r="G103" s="26"/>
      <c r="H103" s="9"/>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45" t="s">
        <v>89</v>
      </c>
      <c r="C107" s="145"/>
      <c r="D107" s="145"/>
      <c r="E107" s="146">
        <v>2016</v>
      </c>
      <c r="F107" s="146">
        <v>2017</v>
      </c>
      <c r="G107" s="146">
        <v>2018</v>
      </c>
      <c r="H107" s="146">
        <v>2019</v>
      </c>
      <c r="I107" s="146">
        <v>2020</v>
      </c>
      <c r="J107" s="146">
        <v>2021</v>
      </c>
      <c r="K107" s="147">
        <v>2022</v>
      </c>
      <c r="L107" s="147">
        <v>2023</v>
      </c>
      <c r="M107" s="147">
        <v>2024</v>
      </c>
      <c r="N107" s="147">
        <v>2025</v>
      </c>
      <c r="O107" s="147">
        <v>2026</v>
      </c>
      <c r="Q107" s="148" t="s">
        <v>44</v>
      </c>
      <c r="R107" s="148"/>
      <c r="S107" s="148"/>
      <c r="T107" s="146">
        <v>2016</v>
      </c>
      <c r="U107" s="146">
        <v>2017</v>
      </c>
      <c r="V107" s="146">
        <v>2018</v>
      </c>
      <c r="W107" s="146">
        <v>2019</v>
      </c>
      <c r="X107" s="146">
        <v>2020</v>
      </c>
      <c r="Y107" s="146">
        <v>2021</v>
      </c>
      <c r="Z107" s="147">
        <v>2022</v>
      </c>
      <c r="AA107" s="147">
        <v>2023</v>
      </c>
      <c r="AB107" s="147">
        <v>2024</v>
      </c>
      <c r="AC107" s="147">
        <v>2025</v>
      </c>
      <c r="AD107" s="147">
        <v>2026</v>
      </c>
      <c r="AE107" s="144" t="s">
        <v>45</v>
      </c>
    </row>
    <row r="108" spans="1:31" s="58" customFormat="1" ht="15" customHeight="1" x14ac:dyDescent="0.15">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38">F108/E108-1</f>
        <v>0.16623973475448173</v>
      </c>
      <c r="V108" s="60">
        <f>G108/F108-1</f>
        <v>0.20821132780843743</v>
      </c>
      <c r="W108" s="60">
        <f>H108/G108-1</f>
        <v>0.15317199952175953</v>
      </c>
      <c r="X108" s="60">
        <f>I108/H108-1</f>
        <v>0.12859178638200963</v>
      </c>
      <c r="Y108" s="60">
        <f t="shared" si="38"/>
        <v>0.13282065189380599</v>
      </c>
      <c r="Z108" s="57">
        <f t="shared" si="38"/>
        <v>0.15780710007209886</v>
      </c>
      <c r="AA108" s="57">
        <f t="shared" si="38"/>
        <v>0.15780710007209886</v>
      </c>
      <c r="AB108" s="57">
        <f t="shared" si="38"/>
        <v>0.15780710007209886</v>
      </c>
      <c r="AC108" s="57">
        <f t="shared" si="38"/>
        <v>0.15780710007209886</v>
      </c>
      <c r="AD108" s="57">
        <f t="shared" si="38"/>
        <v>0.15780710007209886</v>
      </c>
      <c r="AE108" s="57">
        <f t="shared" ref="AE108:AE117" si="39">AVERAGE(T108:Y108)</f>
        <v>0.15780710007209886</v>
      </c>
    </row>
    <row r="109" spans="1:31" ht="15" customHeight="1" x14ac:dyDescent="0.15">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0">E109/E$108</f>
        <v>-0.21790070656207086</v>
      </c>
      <c r="U109" s="61">
        <f t="shared" si="40"/>
        <v>-0.22345643219033526</v>
      </c>
      <c r="V109" s="61">
        <f t="shared" ref="V109:X116" si="41">G109/G$108</f>
        <v>-0.23731662454046951</v>
      </c>
      <c r="W109" s="61">
        <f t="shared" si="41"/>
        <v>-0.21615511814349686</v>
      </c>
      <c r="X109" s="61">
        <f t="shared" si="41"/>
        <v>-0.21827567868464881</v>
      </c>
      <c r="Y109" s="61">
        <f t="shared" si="40"/>
        <v>-0.21752211641981056</v>
      </c>
      <c r="Z109" s="47">
        <f t="shared" si="40"/>
        <v>-0.22177111275680531</v>
      </c>
      <c r="AA109" s="47">
        <f t="shared" si="40"/>
        <v>-0.22177111275680531</v>
      </c>
      <c r="AB109" s="47">
        <f t="shared" si="40"/>
        <v>-0.22177111275680528</v>
      </c>
      <c r="AC109" s="47">
        <f t="shared" si="40"/>
        <v>-0.22177111275680533</v>
      </c>
      <c r="AD109" s="47">
        <f t="shared" si="40"/>
        <v>-0.22177111275680531</v>
      </c>
      <c r="AE109" s="47">
        <f t="shared" si="39"/>
        <v>-0.22177111275680531</v>
      </c>
    </row>
    <row r="110" spans="1:31" s="58" customFormat="1" ht="15" customHeight="1" x14ac:dyDescent="0.15">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2">L108+L109</f>
        <v>428.94666305815252</v>
      </c>
      <c r="M110" s="63">
        <f t="shared" si="42"/>
        <v>496.63749204096325</v>
      </c>
      <c r="N110" s="63">
        <f t="shared" si="42"/>
        <v>575.01041444702776</v>
      </c>
      <c r="O110" s="63">
        <f t="shared" si="42"/>
        <v>665.75114046216891</v>
      </c>
      <c r="Q110" s="38" t="s">
        <v>110</v>
      </c>
      <c r="R110" s="57"/>
      <c r="S110" s="57"/>
      <c r="T110" s="60">
        <f t="shared" si="40"/>
        <v>0.78209925301857897</v>
      </c>
      <c r="U110" s="60">
        <f t="shared" si="40"/>
        <v>0.77654356780966471</v>
      </c>
      <c r="V110" s="60">
        <f t="shared" si="41"/>
        <v>0.76268332167469288</v>
      </c>
      <c r="W110" s="60">
        <f t="shared" si="41"/>
        <v>0.78384487874711817</v>
      </c>
      <c r="X110" s="60">
        <f t="shared" si="41"/>
        <v>0.78172427998882643</v>
      </c>
      <c r="Y110" s="60">
        <f t="shared" si="40"/>
        <v>0.78247790303676745</v>
      </c>
      <c r="Z110" s="57">
        <f t="shared" si="40"/>
        <v>0.77822888724319472</v>
      </c>
      <c r="AA110" s="57">
        <f t="shared" si="40"/>
        <v>0.77822888724319472</v>
      </c>
      <c r="AB110" s="57">
        <f t="shared" si="40"/>
        <v>0.77822888724319472</v>
      </c>
      <c r="AC110" s="57">
        <f t="shared" si="40"/>
        <v>0.77822888724319472</v>
      </c>
      <c r="AD110" s="57">
        <f t="shared" si="40"/>
        <v>0.77822888724319472</v>
      </c>
      <c r="AE110" s="57">
        <f t="shared" si="39"/>
        <v>0.77822886737927466</v>
      </c>
    </row>
    <row r="111" spans="1:31" ht="15" customHeight="1" collapsed="1" x14ac:dyDescent="0.15">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0"/>
        <v>-0.62998610640415154</v>
      </c>
      <c r="U111" s="61">
        <f t="shared" si="40"/>
        <v>-0.61519834315769739</v>
      </c>
      <c r="V111" s="61">
        <f t="shared" si="41"/>
        <v>-0.58210613306064762</v>
      </c>
      <c r="W111" s="61">
        <f t="shared" si="41"/>
        <v>-0.55918250783071433</v>
      </c>
      <c r="X111" s="61">
        <f t="shared" si="41"/>
        <v>-0.51543266476025196</v>
      </c>
      <c r="Y111" s="61">
        <f t="shared" si="40"/>
        <v>-0.56922651519967205</v>
      </c>
      <c r="Z111" s="47">
        <f t="shared" si="40"/>
        <v>-0.57852204506885574</v>
      </c>
      <c r="AA111" s="47">
        <f t="shared" si="40"/>
        <v>-0.57852204506885574</v>
      </c>
      <c r="AB111" s="47">
        <f t="shared" si="40"/>
        <v>-0.57852204506885574</v>
      </c>
      <c r="AC111" s="47">
        <f t="shared" si="40"/>
        <v>-0.57852204506885574</v>
      </c>
      <c r="AD111" s="47">
        <f t="shared" si="40"/>
        <v>-0.57852204506885574</v>
      </c>
      <c r="AE111" s="47">
        <f t="shared" si="39"/>
        <v>-0.57852204506885574</v>
      </c>
    </row>
    <row r="112" spans="1:31" ht="15" hidden="1" customHeight="1" outlineLevel="1" x14ac:dyDescent="0.15">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0"/>
        <v>-0.18487305517433794</v>
      </c>
      <c r="U112" s="61">
        <f t="shared" si="40"/>
        <v>-0.18548876844894768</v>
      </c>
      <c r="V112" s="61">
        <f t="shared" si="41"/>
        <v>-0.19095410529768889</v>
      </c>
      <c r="W112" s="61">
        <f t="shared" si="41"/>
        <v>-0.21218132397897627</v>
      </c>
      <c r="X112" s="61">
        <f t="shared" si="41"/>
        <v>-0.19987710703734982</v>
      </c>
      <c r="Y112" s="61">
        <f t="shared" si="40"/>
        <v>-0.1977007227950886</v>
      </c>
      <c r="Z112" s="47">
        <f t="shared" si="40"/>
        <v>0</v>
      </c>
      <c r="AA112" s="47">
        <f t="shared" si="40"/>
        <v>0</v>
      </c>
      <c r="AB112" s="47">
        <f t="shared" si="40"/>
        <v>0</v>
      </c>
      <c r="AC112" s="47">
        <f t="shared" si="40"/>
        <v>0</v>
      </c>
      <c r="AD112" s="47">
        <f t="shared" si="40"/>
        <v>0</v>
      </c>
      <c r="AE112" s="47">
        <f t="shared" si="39"/>
        <v>-0.1951791804553982</v>
      </c>
    </row>
    <row r="113" spans="1:31" ht="15" hidden="1" customHeight="1" outlineLevel="1" x14ac:dyDescent="0.15">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0"/>
        <v>-0.29801692613843234</v>
      </c>
      <c r="U113" s="61">
        <f t="shared" si="40"/>
        <v>-0.27663454680583099</v>
      </c>
      <c r="V113" s="61">
        <f t="shared" si="41"/>
        <v>-0.25113575290138362</v>
      </c>
      <c r="W113" s="61">
        <f t="shared" si="41"/>
        <v>-0.22024707516078748</v>
      </c>
      <c r="X113" s="61">
        <f t="shared" si="41"/>
        <v>-0.18725047336985823</v>
      </c>
      <c r="Y113" s="61">
        <f t="shared" si="40"/>
        <v>-0.18602190946383929</v>
      </c>
      <c r="Z113" s="47">
        <f t="shared" si="40"/>
        <v>0</v>
      </c>
      <c r="AA113" s="47">
        <f t="shared" si="40"/>
        <v>0</v>
      </c>
      <c r="AB113" s="47">
        <f t="shared" si="40"/>
        <v>0</v>
      </c>
      <c r="AC113" s="47">
        <f t="shared" si="40"/>
        <v>0</v>
      </c>
      <c r="AD113" s="47">
        <f t="shared" si="40"/>
        <v>0</v>
      </c>
      <c r="AE113" s="47">
        <f t="shared" si="39"/>
        <v>-0.23655111397335535</v>
      </c>
    </row>
    <row r="114" spans="1:31" ht="15" hidden="1" customHeight="1" outlineLevel="1" x14ac:dyDescent="0.15">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0"/>
        <v>-0.14709612003896244</v>
      </c>
      <c r="U114" s="61">
        <f t="shared" si="40"/>
        <v>-0.15307501490622871</v>
      </c>
      <c r="V114" s="61">
        <f t="shared" si="41"/>
        <v>-0.14001627486157503</v>
      </c>
      <c r="W114" s="61">
        <f t="shared" si="41"/>
        <v>-0.12675408070648464</v>
      </c>
      <c r="X114" s="61">
        <f t="shared" si="41"/>
        <v>-0.128305084353044</v>
      </c>
      <c r="Y114" s="61">
        <f t="shared" si="40"/>
        <v>-0.18550388294074413</v>
      </c>
      <c r="Z114" s="47">
        <f t="shared" si="40"/>
        <v>0</v>
      </c>
      <c r="AA114" s="47">
        <f t="shared" si="40"/>
        <v>0</v>
      </c>
      <c r="AB114" s="47">
        <f t="shared" si="40"/>
        <v>0</v>
      </c>
      <c r="AC114" s="47">
        <f t="shared" si="40"/>
        <v>0</v>
      </c>
      <c r="AD114" s="47">
        <f t="shared" si="40"/>
        <v>0</v>
      </c>
      <c r="AE114" s="47">
        <f t="shared" si="39"/>
        <v>-0.14679174296783984</v>
      </c>
    </row>
    <row r="115" spans="1:31" s="58" customFormat="1" ht="15" customHeight="1" x14ac:dyDescent="0.15">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3">L110+L111</f>
        <v>110.075049827589</v>
      </c>
      <c r="M115" s="63">
        <f t="shared" si="43"/>
        <v>127.44567423117263</v>
      </c>
      <c r="N115" s="63">
        <f t="shared" si="43"/>
        <v>147.55750649832737</v>
      </c>
      <c r="O115" s="63">
        <f t="shared" si="43"/>
        <v>170.84312869269837</v>
      </c>
      <c r="Q115" s="38" t="s">
        <v>114</v>
      </c>
      <c r="R115" s="57"/>
      <c r="S115" s="57"/>
      <c r="T115" s="60">
        <f t="shared" si="40"/>
        <v>0.15211317187652132</v>
      </c>
      <c r="U115" s="60">
        <f t="shared" si="40"/>
        <v>0.1613452419808874</v>
      </c>
      <c r="V115" s="60">
        <f t="shared" si="41"/>
        <v>0.18057721371363622</v>
      </c>
      <c r="W115" s="60">
        <f t="shared" si="41"/>
        <v>0.22466239579148459</v>
      </c>
      <c r="X115" s="60">
        <f t="shared" si="41"/>
        <v>0.26629159318776097</v>
      </c>
      <c r="Y115" s="60">
        <f t="shared" si="40"/>
        <v>0.21325138783709532</v>
      </c>
      <c r="Z115" s="57">
        <f t="shared" si="40"/>
        <v>0.19970684217433896</v>
      </c>
      <c r="AA115" s="57">
        <f t="shared" si="40"/>
        <v>0.1997068421743389</v>
      </c>
      <c r="AB115" s="57">
        <f t="shared" si="40"/>
        <v>0.19970684217433896</v>
      </c>
      <c r="AC115" s="57">
        <f t="shared" si="40"/>
        <v>0.1997068421743389</v>
      </c>
      <c r="AD115" s="57">
        <f t="shared" si="40"/>
        <v>0.19970684217433901</v>
      </c>
      <c r="AE115" s="57">
        <f t="shared" si="39"/>
        <v>0.19970683406456433</v>
      </c>
    </row>
    <row r="116" spans="1:31" ht="15" customHeight="1" x14ac:dyDescent="0.15">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0"/>
        <v>1.6268788435991586E-3</v>
      </c>
      <c r="U116" s="61">
        <f t="shared" si="40"/>
        <v>9.2493110552102284E-3</v>
      </c>
      <c r="V116" s="61">
        <f t="shared" si="41"/>
        <v>1.8311944370356829E-2</v>
      </c>
      <c r="W116" s="61">
        <f t="shared" si="41"/>
        <v>2.4035546863649532E-2</v>
      </c>
      <c r="X116" s="61">
        <f t="shared" si="41"/>
        <v>1.483071224119467E-2</v>
      </c>
      <c r="Y116" s="61">
        <f t="shared" si="40"/>
        <v>4.1685718203226764E-3</v>
      </c>
      <c r="Z116" s="47">
        <f t="shared" si="40"/>
        <v>1.2037160865722181E-2</v>
      </c>
      <c r="AA116" s="47">
        <f t="shared" si="40"/>
        <v>1.2037160865722181E-2</v>
      </c>
      <c r="AB116" s="47">
        <f t="shared" si="40"/>
        <v>1.2037160865722181E-2</v>
      </c>
      <c r="AC116" s="47">
        <f t="shared" si="40"/>
        <v>1.2037160865722183E-2</v>
      </c>
      <c r="AD116" s="47">
        <f t="shared" si="40"/>
        <v>1.2037160865722181E-2</v>
      </c>
      <c r="AE116" s="47">
        <f t="shared" si="39"/>
        <v>1.2037160865722181E-2</v>
      </c>
    </row>
    <row r="117" spans="1:31" ht="15" customHeight="1" outlineLevel="1" x14ac:dyDescent="0.15">
      <c r="B117" s="44" t="s">
        <v>9</v>
      </c>
      <c r="C117" s="44"/>
      <c r="D117" s="44"/>
      <c r="E117" s="64">
        <v>-2.5999999999999999E-2</v>
      </c>
      <c r="F117" s="64">
        <v>-3.0000000000000001E-3</v>
      </c>
      <c r="G117" s="64">
        <v>-0.17199999999999999</v>
      </c>
      <c r="H117" s="64">
        <v>-0.106</v>
      </c>
      <c r="I117" s="64">
        <v>-8.9999999999999993E-3</v>
      </c>
      <c r="J117" s="70">
        <v>0</v>
      </c>
      <c r="K117" s="65">
        <f>K108*$AE$117</f>
        <v>-0.35038397131039661</v>
      </c>
      <c r="L117" s="65">
        <f>L108*$AE$117</f>
        <v>-0.40567704973463581</v>
      </c>
      <c r="M117" s="65">
        <f>M108*$AE$117</f>
        <v>-0.46969576851906325</v>
      </c>
      <c r="N117" s="65">
        <f>N108*$AE$117</f>
        <v>-0.54381709566519254</v>
      </c>
      <c r="O117" s="65">
        <f>O108*$AE$117</f>
        <v>-0.6296352945017476</v>
      </c>
      <c r="Q117" s="44" t="s">
        <v>9</v>
      </c>
      <c r="R117" s="47"/>
      <c r="S117" s="47"/>
      <c r="T117" s="61"/>
      <c r="U117" s="61"/>
      <c r="V117" s="61"/>
      <c r="W117" s="61">
        <f>H117/(H157+H159)</f>
        <v>-2.0511630103944231E-3</v>
      </c>
      <c r="X117" s="61">
        <f>I117/(I157+I159)</f>
        <v>-1.5687094476624582E-4</v>
      </c>
      <c r="Y117" s="61">
        <f>J117/(J157+J159)</f>
        <v>0</v>
      </c>
      <c r="Z117" s="47"/>
      <c r="AA117" s="47"/>
      <c r="AB117" s="47"/>
      <c r="AC117" s="47"/>
      <c r="AD117" s="47"/>
      <c r="AE117" s="47">
        <f t="shared" si="39"/>
        <v>-7.3601131838688962E-4</v>
      </c>
    </row>
    <row r="118" spans="1:31" ht="15" customHeight="1" outlineLevel="1" x14ac:dyDescent="0.15">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4">E120/E108</f>
        <v>0.15374005577253924</v>
      </c>
      <c r="U120" s="60">
        <f t="shared" si="44"/>
        <v>0.1705945443716376</v>
      </c>
      <c r="V120" s="60">
        <f>G120/G108</f>
        <v>0.19888915449833722</v>
      </c>
      <c r="W120" s="60">
        <f>H120/H108</f>
        <v>0.24869795509267453</v>
      </c>
      <c r="X120" s="60">
        <f>I120/I108</f>
        <v>0.28112231644936231</v>
      </c>
      <c r="Y120" s="60">
        <f t="shared" si="44"/>
        <v>0.21741996938570698</v>
      </c>
      <c r="Z120" s="57">
        <f t="shared" si="44"/>
        <v>0.21174399926170964</v>
      </c>
      <c r="AA120" s="57">
        <f t="shared" si="44"/>
        <v>0.21174399926170964</v>
      </c>
      <c r="AB120" s="57">
        <f t="shared" si="44"/>
        <v>0.21174399926170964</v>
      </c>
      <c r="AC120" s="57">
        <f t="shared" si="44"/>
        <v>0.21174399926170964</v>
      </c>
      <c r="AD120" s="57">
        <f t="shared" si="44"/>
        <v>0.21174399926170964</v>
      </c>
      <c r="AE120" s="57">
        <f>AVERAGE(T120:Y120)</f>
        <v>0.21174399926170964</v>
      </c>
    </row>
    <row r="121" spans="1:31" ht="15" customHeight="1" x14ac:dyDescent="0.15">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5">E121/E120</f>
        <v>-0.36823423812040362</v>
      </c>
      <c r="U121" s="61">
        <f t="shared" si="45"/>
        <v>2.6969375131767746E-2</v>
      </c>
      <c r="V121" s="61">
        <f>G121/G120</f>
        <v>3.3100166458141025E-2</v>
      </c>
      <c r="W121" s="61">
        <f>H121/H120</f>
        <v>-0.13311578377615785</v>
      </c>
      <c r="X121" s="61">
        <f>I121/I120</f>
        <v>-0.10256083275985674</v>
      </c>
      <c r="Y121" s="61">
        <f t="shared" si="45"/>
        <v>-0.2062373388512812</v>
      </c>
      <c r="Z121" s="47">
        <f t="shared" si="45"/>
        <v>-0.12501310865296511</v>
      </c>
      <c r="AA121" s="47">
        <f t="shared" si="45"/>
        <v>-0.12501310865296511</v>
      </c>
      <c r="AB121" s="47">
        <f t="shared" si="45"/>
        <v>-0.12501310865296511</v>
      </c>
      <c r="AC121" s="47">
        <f t="shared" si="45"/>
        <v>-0.12501310865296511</v>
      </c>
      <c r="AD121" s="47">
        <f t="shared" si="45"/>
        <v>-0.12501310865296511</v>
      </c>
      <c r="AE121" s="47">
        <f>AVERAGE(T121:Y121)</f>
        <v>-0.12501310865296511</v>
      </c>
    </row>
    <row r="122" spans="1:31" s="58" customFormat="1" ht="15" customHeight="1" collapsed="1" x14ac:dyDescent="0.15">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6">L120+L121</f>
        <v>102.11948226582761</v>
      </c>
      <c r="M122" s="63">
        <f t="shared" si="46"/>
        <v>118.23466162306198</v>
      </c>
      <c r="N122" s="63">
        <f t="shared" si="46"/>
        <v>136.89293070180327</v>
      </c>
      <c r="O122" s="63">
        <f t="shared" si="46"/>
        <v>158.49560711622561</v>
      </c>
      <c r="Q122" s="38" t="s">
        <v>117</v>
      </c>
      <c r="R122" s="57"/>
      <c r="S122" s="57"/>
      <c r="T122" s="60">
        <f t="shared" ref="T122:AD122" si="47">E122/E108</f>
        <v>9.7127703466549906E-2</v>
      </c>
      <c r="U122" s="60">
        <f t="shared" si="47"/>
        <v>0.17519537696645932</v>
      </c>
      <c r="V122" s="60">
        <f>G122/G108</f>
        <v>0.20547242579026279</v>
      </c>
      <c r="W122" s="60">
        <f>H122/H108</f>
        <v>0.21559232254883015</v>
      </c>
      <c r="X122" s="60">
        <f>I122/I108</f>
        <v>0.25229016654652908</v>
      </c>
      <c r="Y122" s="60">
        <f t="shared" si="47"/>
        <v>0.17257984375818278</v>
      </c>
      <c r="Z122" s="57">
        <f t="shared" si="47"/>
        <v>0.18527322367539217</v>
      </c>
      <c r="AA122" s="57">
        <f t="shared" si="47"/>
        <v>0.18527322367539217</v>
      </c>
      <c r="AB122" s="57">
        <f t="shared" si="47"/>
        <v>0.18527322367539217</v>
      </c>
      <c r="AC122" s="57">
        <f t="shared" si="47"/>
        <v>0.18527322367539215</v>
      </c>
      <c r="AD122" s="57">
        <f t="shared" si="47"/>
        <v>0.18527322367539215</v>
      </c>
      <c r="AE122" s="57">
        <f>AVERAGE(T122:Y122)</f>
        <v>0.18637630651280235</v>
      </c>
    </row>
    <row r="123" spans="1:31" ht="15" hidden="1" customHeight="1" outlineLevel="1" x14ac:dyDescent="0.15">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x14ac:dyDescent="0.15">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x14ac:dyDescent="0.15">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x14ac:dyDescent="0.15">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x14ac:dyDescent="0.15">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x14ac:dyDescent="0.15">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x14ac:dyDescent="0.15">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x14ac:dyDescent="0.15">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68"/>
      <c r="L131" s="68"/>
      <c r="M131" s="68"/>
      <c r="N131" s="68"/>
      <c r="O131" s="68"/>
      <c r="AE131" s="47"/>
    </row>
    <row r="132" spans="2:37" ht="15" customHeight="1" x14ac:dyDescent="0.2">
      <c r="B132" s="145" t="s">
        <v>88</v>
      </c>
      <c r="C132" s="145"/>
      <c r="D132" s="145"/>
      <c r="E132" s="146">
        <v>2016</v>
      </c>
      <c r="F132" s="146">
        <v>2017</v>
      </c>
      <c r="G132" s="146">
        <v>2018</v>
      </c>
      <c r="H132" s="146">
        <v>2019</v>
      </c>
      <c r="I132" s="146">
        <v>2020</v>
      </c>
      <c r="J132" s="146">
        <v>2021</v>
      </c>
      <c r="K132" s="147">
        <v>2022</v>
      </c>
      <c r="L132" s="147">
        <v>2023</v>
      </c>
      <c r="M132" s="147">
        <v>2024</v>
      </c>
      <c r="N132" s="147">
        <v>2025</v>
      </c>
      <c r="O132" s="147">
        <v>2026</v>
      </c>
      <c r="Q132" s="148" t="s">
        <v>128</v>
      </c>
      <c r="R132" s="148"/>
      <c r="S132" s="148"/>
      <c r="T132" s="146">
        <v>2016</v>
      </c>
      <c r="U132" s="146">
        <v>2017</v>
      </c>
      <c r="V132" s="146">
        <v>2018</v>
      </c>
      <c r="W132" s="146">
        <v>2019</v>
      </c>
      <c r="X132" s="146">
        <v>2020</v>
      </c>
      <c r="Y132" s="146">
        <v>2021</v>
      </c>
      <c r="Z132" s="147">
        <v>2022</v>
      </c>
      <c r="AA132" s="147">
        <v>2023</v>
      </c>
      <c r="AB132" s="147">
        <v>2024</v>
      </c>
      <c r="AC132" s="147">
        <v>2025</v>
      </c>
      <c r="AD132" s="147">
        <v>2026</v>
      </c>
      <c r="AE132" s="144" t="s">
        <v>45</v>
      </c>
    </row>
    <row r="133" spans="2:37" ht="15" customHeight="1" x14ac:dyDescent="0.15">
      <c r="B133" s="42" t="s">
        <v>47</v>
      </c>
      <c r="C133" s="42"/>
      <c r="D133" s="42"/>
      <c r="E133" s="113">
        <v>407.00399800000002</v>
      </c>
      <c r="F133" s="113">
        <v>537.52502400000003</v>
      </c>
      <c r="G133" s="113">
        <v>585.67999299999997</v>
      </c>
      <c r="H133" s="113">
        <v>675.60797100000002</v>
      </c>
      <c r="I133" s="113">
        <v>736.81897000000004</v>
      </c>
      <c r="J133" s="113">
        <v>814.55902100000003</v>
      </c>
      <c r="K133" s="68"/>
      <c r="Q133" s="58" t="s">
        <v>129</v>
      </c>
    </row>
    <row r="134" spans="2:37" ht="15" customHeight="1" x14ac:dyDescent="0.15">
      <c r="B134" s="50" t="s">
        <v>48</v>
      </c>
      <c r="C134" s="50"/>
      <c r="D134" s="50"/>
      <c r="E134" s="113">
        <v>300.68798800000002</v>
      </c>
      <c r="F134" s="113">
        <v>369.35000600000001</v>
      </c>
      <c r="G134" s="113">
        <v>378.96499599999999</v>
      </c>
      <c r="H134" s="113">
        <v>395.61599699999999</v>
      </c>
      <c r="I134" s="113">
        <v>475.34500100000002</v>
      </c>
      <c r="J134" s="113">
        <v>546.39801</v>
      </c>
      <c r="K134" s="68"/>
      <c r="Q134" s="1" t="s">
        <v>131</v>
      </c>
      <c r="T134" s="1">
        <v>31.65</v>
      </c>
      <c r="U134" s="1">
        <v>59.53</v>
      </c>
      <c r="V134" s="1">
        <v>74.739999999999995</v>
      </c>
      <c r="W134" s="1">
        <v>83.37</v>
      </c>
      <c r="X134" s="1">
        <v>121.87</v>
      </c>
      <c r="Y134" s="1">
        <v>137.22</v>
      </c>
      <c r="AH134" s="43"/>
      <c r="AI134" s="43"/>
      <c r="AJ134" s="43"/>
      <c r="AK134" s="43"/>
    </row>
    <row r="135" spans="2:37" ht="15" customHeight="1" collapsed="1" x14ac:dyDescent="0.15">
      <c r="B135" s="52" t="s">
        <v>49</v>
      </c>
      <c r="C135" s="52"/>
      <c r="D135" s="52"/>
      <c r="E135" s="116">
        <v>86.736999999999995</v>
      </c>
      <c r="F135" s="116">
        <v>86.591003000000001</v>
      </c>
      <c r="G135" s="116">
        <v>41.026001000000001</v>
      </c>
      <c r="H135" s="116">
        <v>87.558998000000003</v>
      </c>
      <c r="I135" s="116">
        <v>74.132003999999995</v>
      </c>
      <c r="J135" s="116">
        <v>137.328003</v>
      </c>
      <c r="K135" s="68"/>
      <c r="Q135" s="1" t="s">
        <v>130</v>
      </c>
      <c r="T135" s="47">
        <f t="shared" ref="T135:Y135" si="48">(E129*T134+E157+E159-E135)/E33</f>
        <v>12.778123020128309</v>
      </c>
      <c r="U135" s="47">
        <f t="shared" si="48"/>
        <v>20.100492256159388</v>
      </c>
      <c r="V135" s="47">
        <f t="shared" si="48"/>
        <v>23.1708535292512</v>
      </c>
      <c r="W135" s="47">
        <f t="shared" si="48"/>
        <v>18.813002160510145</v>
      </c>
      <c r="X135" s="47">
        <f t="shared" si="48"/>
        <v>24.961938860513428</v>
      </c>
      <c r="Y135" s="47">
        <f t="shared" si="48"/>
        <v>24.043908297922542</v>
      </c>
      <c r="AE135" s="47">
        <f>AVERAGE(T135:Y135)</f>
        <v>20.64471968741417</v>
      </c>
      <c r="AH135" s="49"/>
      <c r="AI135" s="49"/>
      <c r="AJ135" s="49"/>
      <c r="AK135" s="49"/>
    </row>
    <row r="136" spans="2:37" ht="15" hidden="1" customHeight="1" outlineLevel="1" x14ac:dyDescent="0.15">
      <c r="B136" s="52" t="s">
        <v>50</v>
      </c>
      <c r="C136" s="52"/>
      <c r="D136" s="52"/>
      <c r="E136" s="116">
        <v>157.11900299999999</v>
      </c>
      <c r="F136" s="116">
        <v>201.82299800000001</v>
      </c>
      <c r="G136" s="116">
        <v>248.13999899999999</v>
      </c>
      <c r="H136" s="116">
        <v>211.330994</v>
      </c>
      <c r="I136" s="116">
        <v>281.891998</v>
      </c>
      <c r="J136" s="116">
        <v>267.959991</v>
      </c>
      <c r="K136" s="68"/>
      <c r="AH136" s="51"/>
      <c r="AI136" s="51"/>
      <c r="AJ136" s="51"/>
      <c r="AK136" s="51"/>
    </row>
    <row r="137" spans="2:37" ht="15" hidden="1" customHeight="1" outlineLevel="1" x14ac:dyDescent="0.15">
      <c r="B137" s="52" t="s">
        <v>51</v>
      </c>
      <c r="C137" s="52"/>
      <c r="D137" s="52"/>
      <c r="E137" s="116">
        <v>47.023997999999999</v>
      </c>
      <c r="F137" s="116">
        <v>64.412002999999999</v>
      </c>
      <c r="G137" s="116">
        <v>75.824996999999996</v>
      </c>
      <c r="H137" s="116">
        <v>78.033996999999999</v>
      </c>
      <c r="I137" s="116">
        <v>100.179001</v>
      </c>
      <c r="J137" s="116">
        <v>108.998001</v>
      </c>
      <c r="K137" s="68"/>
      <c r="AH137" s="49"/>
      <c r="AI137" s="49"/>
      <c r="AJ137" s="49"/>
      <c r="AK137" s="49"/>
    </row>
    <row r="138" spans="2:37" ht="15" hidden="1" customHeight="1" outlineLevel="1" x14ac:dyDescent="0.15">
      <c r="B138" s="54" t="s">
        <v>52</v>
      </c>
      <c r="C138" s="54"/>
      <c r="D138" s="54"/>
      <c r="E138" s="113">
        <v>9.8079999999999998</v>
      </c>
      <c r="F138" s="113">
        <v>16.524000000000001</v>
      </c>
      <c r="G138" s="113">
        <v>13.974</v>
      </c>
      <c r="H138" s="113">
        <v>18.691998999999999</v>
      </c>
      <c r="I138" s="113">
        <v>19.141999999999999</v>
      </c>
      <c r="J138" s="113">
        <v>32.112000000000002</v>
      </c>
      <c r="K138" s="68"/>
      <c r="S138" s="43"/>
      <c r="T138" s="43"/>
      <c r="U138" s="43"/>
      <c r="V138" s="43"/>
      <c r="W138" s="43"/>
      <c r="X138" s="43"/>
      <c r="AH138" s="53"/>
      <c r="AI138" s="53"/>
      <c r="AJ138" s="53"/>
      <c r="AK138" s="53"/>
    </row>
    <row r="139" spans="2:37" ht="15" hidden="1" customHeight="1" outlineLevel="1" x14ac:dyDescent="0.15">
      <c r="B139" s="55" t="s">
        <v>53</v>
      </c>
      <c r="C139" s="55"/>
      <c r="D139" s="55"/>
      <c r="E139" s="121"/>
      <c r="F139" s="121"/>
      <c r="G139" s="121"/>
      <c r="H139" s="121"/>
      <c r="I139" s="121"/>
      <c r="J139" s="121"/>
      <c r="K139" s="68"/>
      <c r="S139" s="49"/>
      <c r="T139" s="49"/>
      <c r="U139" s="49"/>
      <c r="V139" s="49"/>
      <c r="W139" s="49"/>
      <c r="X139" s="49"/>
      <c r="AH139" s="49"/>
      <c r="AI139" s="49"/>
      <c r="AJ139" s="49"/>
      <c r="AK139" s="49"/>
    </row>
    <row r="140" spans="2:37" ht="15" hidden="1" customHeight="1" outlineLevel="1" x14ac:dyDescent="0.15">
      <c r="B140" s="55" t="s">
        <v>54</v>
      </c>
      <c r="C140" s="55"/>
      <c r="D140" s="55"/>
      <c r="E140" s="121"/>
      <c r="F140" s="121"/>
      <c r="G140" s="121"/>
      <c r="H140" s="121"/>
      <c r="I140" s="121"/>
      <c r="J140" s="121"/>
      <c r="K140" s="68"/>
      <c r="S140" s="51"/>
      <c r="T140" s="51"/>
      <c r="U140" s="51"/>
      <c r="V140" s="51"/>
      <c r="W140" s="51"/>
      <c r="X140" s="51"/>
      <c r="AH140" s="49"/>
      <c r="AI140" s="49"/>
      <c r="AJ140" s="49"/>
      <c r="AK140" s="49"/>
    </row>
    <row r="141" spans="2:37" ht="15" hidden="1" customHeight="1" outlineLevel="1" x14ac:dyDescent="0.15">
      <c r="B141" s="48" t="s">
        <v>55</v>
      </c>
      <c r="C141" s="48"/>
      <c r="D141" s="48"/>
      <c r="E141" s="121"/>
      <c r="F141" s="116">
        <v>67.223999000000006</v>
      </c>
      <c r="G141" s="116">
        <v>76.709998999999996</v>
      </c>
      <c r="H141" s="116">
        <v>119.508003</v>
      </c>
      <c r="I141" s="116">
        <v>98.457999999999998</v>
      </c>
      <c r="J141" s="116">
        <v>111.197998</v>
      </c>
      <c r="K141" s="68"/>
      <c r="S141" s="49"/>
      <c r="T141" s="49"/>
      <c r="U141" s="49"/>
      <c r="V141" s="49"/>
      <c r="W141" s="49"/>
      <c r="X141" s="49"/>
      <c r="AH141" s="49"/>
      <c r="AI141" s="49"/>
      <c r="AJ141" s="49"/>
      <c r="AK141" s="49"/>
    </row>
    <row r="142" spans="2:37" ht="15" hidden="1" customHeight="1" outlineLevel="1" x14ac:dyDescent="0.15">
      <c r="B142" s="48" t="s">
        <v>56</v>
      </c>
      <c r="C142" s="48"/>
      <c r="D142" s="48"/>
      <c r="E142" s="116">
        <v>39.401001000000001</v>
      </c>
      <c r="F142" s="116">
        <v>58.556998999999998</v>
      </c>
      <c r="G142" s="116">
        <v>61.442000999999998</v>
      </c>
      <c r="H142" s="116">
        <v>60.578999000000003</v>
      </c>
      <c r="I142" s="116">
        <v>64.849997999999999</v>
      </c>
      <c r="J142" s="116">
        <v>61.853999999999999</v>
      </c>
      <c r="K142" s="68"/>
      <c r="S142" s="49"/>
      <c r="T142" s="49"/>
      <c r="U142" s="49"/>
      <c r="V142" s="53"/>
      <c r="W142" s="53"/>
      <c r="X142" s="53"/>
      <c r="AH142" s="53"/>
      <c r="AI142" s="53"/>
      <c r="AJ142" s="53"/>
      <c r="AK142" s="49"/>
    </row>
    <row r="143" spans="2:37" ht="15" hidden="1" customHeight="1" outlineLevel="1" x14ac:dyDescent="0.15">
      <c r="B143" s="48" t="s">
        <v>57</v>
      </c>
      <c r="C143" s="48"/>
      <c r="D143" s="48"/>
      <c r="E143" s="121"/>
      <c r="F143" s="121"/>
      <c r="G143" s="116">
        <v>0</v>
      </c>
      <c r="H143" s="116">
        <v>40.550998999999997</v>
      </c>
      <c r="I143" s="116">
        <v>44.838000999999998</v>
      </c>
      <c r="J143" s="116">
        <v>37.015999000000001</v>
      </c>
      <c r="K143" s="68"/>
      <c r="S143" s="49"/>
      <c r="T143" s="49"/>
      <c r="U143" s="49"/>
      <c r="V143" s="49"/>
      <c r="W143" s="49"/>
      <c r="X143" s="49"/>
      <c r="AH143" s="49"/>
      <c r="AI143" s="49"/>
      <c r="AJ143" s="49"/>
      <c r="AK143" s="49"/>
    </row>
    <row r="144" spans="2:37" ht="15" hidden="1" customHeight="1" outlineLevel="1" x14ac:dyDescent="0.15">
      <c r="B144" s="48" t="s">
        <v>58</v>
      </c>
      <c r="C144" s="48"/>
      <c r="D144" s="48"/>
      <c r="E144" s="116">
        <v>16.59</v>
      </c>
      <c r="F144" s="116">
        <v>25.065999999999999</v>
      </c>
      <c r="G144" s="116">
        <v>26.386998999999999</v>
      </c>
      <c r="H144" s="116">
        <v>18.829999999999998</v>
      </c>
      <c r="I144" s="116">
        <v>15.811</v>
      </c>
      <c r="J144" s="116">
        <v>25.087</v>
      </c>
      <c r="K144" s="68"/>
      <c r="S144" s="49"/>
      <c r="T144" s="49"/>
      <c r="U144" s="49"/>
      <c r="V144" s="49"/>
      <c r="W144" s="49"/>
      <c r="X144" s="49"/>
      <c r="AH144" s="41"/>
      <c r="AI144" s="41"/>
      <c r="AJ144" s="41"/>
      <c r="AK144" s="49"/>
    </row>
    <row r="145" spans="2:37" ht="15" hidden="1" customHeight="1" outlineLevel="1" x14ac:dyDescent="0.15">
      <c r="B145" s="48" t="s">
        <v>59</v>
      </c>
      <c r="C145" s="48"/>
      <c r="D145" s="48"/>
      <c r="E145" s="116">
        <v>0.98699999999999999</v>
      </c>
      <c r="F145" s="116">
        <v>12.401</v>
      </c>
      <c r="G145" s="116">
        <v>21.975999999999999</v>
      </c>
      <c r="H145" s="116">
        <v>16.795000000000002</v>
      </c>
      <c r="I145" s="116">
        <v>12.006</v>
      </c>
      <c r="J145" s="116">
        <v>6.5449999999999999</v>
      </c>
      <c r="K145" s="68"/>
      <c r="S145" s="49"/>
      <c r="T145" s="49"/>
      <c r="U145" s="49"/>
      <c r="V145" s="49"/>
      <c r="W145" s="49"/>
      <c r="X145" s="49"/>
      <c r="AH145" s="49"/>
      <c r="AI145" s="41"/>
      <c r="AJ145" s="41"/>
      <c r="AK145" s="49"/>
    </row>
    <row r="146" spans="2:37" ht="15" hidden="1" customHeight="1" outlineLevel="1" x14ac:dyDescent="0.15">
      <c r="B146" s="48" t="s">
        <v>60</v>
      </c>
      <c r="C146" s="48"/>
      <c r="D146" s="48"/>
      <c r="E146" s="116">
        <v>0.317</v>
      </c>
      <c r="F146" s="116">
        <v>1.5489999999999999</v>
      </c>
      <c r="G146" s="116">
        <v>7.2249999999999996</v>
      </c>
      <c r="H146" s="116">
        <v>7.4470000000000001</v>
      </c>
      <c r="I146" s="116">
        <v>7.4470000000000001</v>
      </c>
      <c r="J146" s="116">
        <v>7.4470000000000001</v>
      </c>
      <c r="K146" s="68"/>
      <c r="S146" s="53"/>
      <c r="T146" s="53"/>
      <c r="U146" s="53"/>
      <c r="V146" s="53"/>
      <c r="W146" s="53"/>
      <c r="X146" s="53"/>
      <c r="AH146" s="49"/>
      <c r="AI146" s="49"/>
      <c r="AJ146" s="49"/>
      <c r="AK146" s="53"/>
    </row>
    <row r="147" spans="2:37" ht="15" hidden="1" customHeight="1" outlineLevel="1" x14ac:dyDescent="0.15">
      <c r="B147" s="48" t="s">
        <v>61</v>
      </c>
      <c r="C147" s="48"/>
      <c r="D147" s="48"/>
      <c r="E147" s="116">
        <v>1.2</v>
      </c>
      <c r="F147" s="116">
        <v>1.2</v>
      </c>
      <c r="G147" s="116">
        <v>1.2</v>
      </c>
      <c r="H147" s="116">
        <v>1.2</v>
      </c>
      <c r="I147" s="116">
        <v>1.2</v>
      </c>
      <c r="J147" s="116">
        <v>1.2</v>
      </c>
      <c r="K147" s="68"/>
      <c r="S147" s="49"/>
      <c r="T147" s="49"/>
      <c r="U147" s="41"/>
      <c r="V147" s="41"/>
      <c r="W147" s="49"/>
      <c r="X147" s="49"/>
      <c r="AH147" s="53"/>
      <c r="AI147" s="53"/>
      <c r="AJ147" s="53"/>
      <c r="AK147" s="53"/>
    </row>
    <row r="148" spans="2:37" ht="15" hidden="1" customHeight="1" outlineLevel="1" x14ac:dyDescent="0.15">
      <c r="B148" s="50" t="s">
        <v>62</v>
      </c>
      <c r="C148" s="50"/>
      <c r="D148" s="50"/>
      <c r="E148" s="118">
        <v>47.820999</v>
      </c>
      <c r="F148" s="118">
        <v>2.1779999999999999</v>
      </c>
      <c r="G148" s="113">
        <v>11.775</v>
      </c>
      <c r="H148" s="113">
        <v>15.082000000000001</v>
      </c>
      <c r="I148" s="113">
        <v>16.864000000000001</v>
      </c>
      <c r="J148" s="113">
        <v>17.813998999999999</v>
      </c>
      <c r="K148" s="68"/>
      <c r="S148" s="53"/>
      <c r="T148" s="53"/>
      <c r="U148" s="53"/>
      <c r="V148" s="53"/>
      <c r="W148" s="53"/>
      <c r="X148" s="41"/>
      <c r="AH148" s="51"/>
      <c r="AI148" s="51"/>
      <c r="AJ148" s="51"/>
      <c r="AK148" s="51"/>
    </row>
    <row r="149" spans="2:37" ht="15" hidden="1" customHeight="1" outlineLevel="1" x14ac:dyDescent="0.15">
      <c r="B149" s="52" t="s">
        <v>63</v>
      </c>
      <c r="C149" s="52"/>
      <c r="D149" s="52"/>
      <c r="E149" s="116">
        <v>2.0960000000000001</v>
      </c>
      <c r="F149" s="116">
        <v>2.1779999999999999</v>
      </c>
      <c r="G149" s="121"/>
      <c r="H149" s="121"/>
      <c r="I149" s="121"/>
      <c r="J149" s="121"/>
      <c r="K149" s="68"/>
      <c r="S149" s="41"/>
      <c r="T149" s="49"/>
      <c r="U149" s="49"/>
      <c r="V149" s="41"/>
      <c r="W149" s="41"/>
      <c r="X149" s="41"/>
    </row>
    <row r="150" spans="2:37" ht="15" hidden="1" customHeight="1" outlineLevel="1" x14ac:dyDescent="0.15">
      <c r="B150" s="52" t="s">
        <v>64</v>
      </c>
      <c r="C150" s="52"/>
      <c r="D150" s="52"/>
      <c r="E150" s="116">
        <v>45.724997999999999</v>
      </c>
      <c r="F150" s="116">
        <v>0</v>
      </c>
      <c r="G150" s="121"/>
      <c r="H150" s="121"/>
      <c r="I150" s="121"/>
      <c r="J150" s="121"/>
      <c r="K150" s="68"/>
      <c r="S150" s="53"/>
      <c r="T150" s="53"/>
      <c r="U150" s="53"/>
      <c r="V150" s="53"/>
      <c r="W150" s="53"/>
      <c r="X150" s="53"/>
    </row>
    <row r="151" spans="2:37" ht="15" hidden="1" customHeight="1" outlineLevel="1" x14ac:dyDescent="0.15">
      <c r="B151" s="42" t="s">
        <v>65</v>
      </c>
      <c r="C151" s="42"/>
      <c r="D151" s="42"/>
      <c r="E151" s="113">
        <v>407.00399800000002</v>
      </c>
      <c r="F151" s="113">
        <v>537.52502400000003</v>
      </c>
      <c r="G151" s="113">
        <v>585.67999299999997</v>
      </c>
      <c r="H151" s="113">
        <v>675.60797100000002</v>
      </c>
      <c r="I151" s="113">
        <v>736.81897000000004</v>
      </c>
      <c r="J151" s="113">
        <v>814.55902100000003</v>
      </c>
      <c r="K151" s="68"/>
      <c r="S151" s="53"/>
      <c r="T151" s="53"/>
      <c r="U151" s="53"/>
      <c r="V151" s="53"/>
      <c r="W151" s="53"/>
      <c r="X151" s="53"/>
    </row>
    <row r="152" spans="2:37" ht="15" hidden="1" customHeight="1" outlineLevel="1" x14ac:dyDescent="0.15">
      <c r="B152" s="50" t="s">
        <v>66</v>
      </c>
      <c r="C152" s="50"/>
      <c r="D152" s="50"/>
      <c r="E152" s="113">
        <v>148.591003</v>
      </c>
      <c r="F152" s="113">
        <v>193.98100299999999</v>
      </c>
      <c r="G152" s="113">
        <v>227.69101000000001</v>
      </c>
      <c r="H152" s="113">
        <v>288.80499300000002</v>
      </c>
      <c r="I152" s="113">
        <v>332.33700599999997</v>
      </c>
      <c r="J152" s="113">
        <v>377.84500100000002</v>
      </c>
      <c r="K152" s="68"/>
      <c r="S152" s="51"/>
      <c r="T152" s="51"/>
      <c r="U152" s="51"/>
      <c r="V152" s="51"/>
      <c r="W152" s="51"/>
      <c r="X152" s="51"/>
    </row>
    <row r="153" spans="2:37" ht="15" hidden="1" customHeight="1" outlineLevel="1" x14ac:dyDescent="0.15">
      <c r="B153" s="54" t="s">
        <v>67</v>
      </c>
      <c r="C153" s="54"/>
      <c r="D153" s="54"/>
      <c r="E153" s="113">
        <v>130.33200099999999</v>
      </c>
      <c r="F153" s="113">
        <v>165.774002</v>
      </c>
      <c r="G153" s="113">
        <v>196.90701300000001</v>
      </c>
      <c r="H153" s="113">
        <v>223.466995</v>
      </c>
      <c r="I153" s="113">
        <v>255.729996</v>
      </c>
      <c r="J153" s="113">
        <v>304.27999899999998</v>
      </c>
      <c r="K153" s="68"/>
      <c r="S153" s="43"/>
      <c r="T153" s="43"/>
      <c r="U153" s="43"/>
      <c r="V153" s="43"/>
      <c r="W153" s="51"/>
      <c r="X153" s="51"/>
    </row>
    <row r="154" spans="2:37" ht="15" hidden="1" customHeight="1" outlineLevel="1" x14ac:dyDescent="0.15">
      <c r="B154" s="55" t="s">
        <v>68</v>
      </c>
      <c r="C154" s="55"/>
      <c r="D154" s="55"/>
      <c r="E154" s="116">
        <v>2.0510000000000002</v>
      </c>
      <c r="F154" s="116">
        <v>1.1439999999999999</v>
      </c>
      <c r="G154" s="116">
        <v>5.5880000000000001</v>
      </c>
      <c r="H154" s="116">
        <v>0.84799999999999998</v>
      </c>
      <c r="I154" s="116">
        <v>0.73099999999999998</v>
      </c>
      <c r="J154" s="116">
        <v>1.296</v>
      </c>
      <c r="K154" s="68"/>
      <c r="S154" s="53"/>
      <c r="T154" s="53"/>
      <c r="U154" s="53"/>
      <c r="V154" s="53"/>
      <c r="W154" s="49"/>
      <c r="X154" s="49"/>
    </row>
    <row r="155" spans="2:37" ht="15" hidden="1" customHeight="1" outlineLevel="1" x14ac:dyDescent="0.15">
      <c r="B155" s="55" t="s">
        <v>69</v>
      </c>
      <c r="C155" s="55"/>
      <c r="D155" s="55"/>
      <c r="E155" s="116">
        <v>13.317</v>
      </c>
      <c r="F155" s="116">
        <v>21.443999999999999</v>
      </c>
      <c r="G155" s="116">
        <v>26.695</v>
      </c>
      <c r="H155" s="116">
        <v>22.783999999999999</v>
      </c>
      <c r="I155" s="116">
        <v>29.832999999999998</v>
      </c>
      <c r="J155" s="116">
        <v>32.504002</v>
      </c>
      <c r="K155" s="68"/>
      <c r="S155" s="53"/>
      <c r="T155" s="53"/>
      <c r="U155" s="53"/>
      <c r="V155" s="53"/>
      <c r="W155" s="49"/>
      <c r="X155" s="49"/>
    </row>
    <row r="156" spans="2:37" ht="15" hidden="1" customHeight="1" outlineLevel="1" x14ac:dyDescent="0.15">
      <c r="B156" s="55" t="s">
        <v>70</v>
      </c>
      <c r="C156" s="55"/>
      <c r="D156" s="55"/>
      <c r="E156" s="116">
        <v>114.96399700000001</v>
      </c>
      <c r="F156" s="116">
        <v>143.18600499999999</v>
      </c>
      <c r="G156" s="116">
        <v>164.62399300000001</v>
      </c>
      <c r="H156" s="116">
        <v>192.171997</v>
      </c>
      <c r="I156" s="116">
        <v>213.49400299999999</v>
      </c>
      <c r="J156" s="116">
        <v>257.87200899999999</v>
      </c>
      <c r="K156" s="68"/>
      <c r="S156" s="43"/>
      <c r="T156" s="43"/>
      <c r="U156" s="43"/>
      <c r="V156" s="43"/>
      <c r="W156" s="43"/>
      <c r="X156" s="43"/>
      <c r="AH156" s="38"/>
      <c r="AI156" s="38"/>
      <c r="AJ156" s="38"/>
      <c r="AK156" s="38"/>
    </row>
    <row r="157" spans="2:37" ht="15" hidden="1" customHeight="1" outlineLevel="1" x14ac:dyDescent="0.15">
      <c r="B157" s="55" t="s">
        <v>71</v>
      </c>
      <c r="C157" s="55"/>
      <c r="D157" s="55"/>
      <c r="E157" s="121"/>
      <c r="F157" s="116">
        <v>0</v>
      </c>
      <c r="G157" s="116">
        <v>0</v>
      </c>
      <c r="H157" s="116">
        <v>7.6630000000000003</v>
      </c>
      <c r="I157" s="116">
        <v>11.672000000000001</v>
      </c>
      <c r="J157" s="116">
        <v>12.608000000000001</v>
      </c>
      <c r="K157" s="68"/>
      <c r="S157" s="43"/>
      <c r="T157" s="43"/>
      <c r="U157" s="43"/>
      <c r="V157" s="43"/>
      <c r="W157" s="43"/>
      <c r="X157" s="43"/>
      <c r="AH157" s="40"/>
      <c r="AI157" s="40"/>
      <c r="AJ157" s="40"/>
      <c r="AK157" s="40"/>
    </row>
    <row r="158" spans="2:37" ht="15" hidden="1" customHeight="1" outlineLevel="1" x14ac:dyDescent="0.15">
      <c r="B158" s="52" t="s">
        <v>72</v>
      </c>
      <c r="C158" s="52"/>
      <c r="D158" s="52"/>
      <c r="E158" s="116">
        <v>15.528</v>
      </c>
      <c r="F158" s="116">
        <v>17.135999999999999</v>
      </c>
      <c r="G158" s="116">
        <v>20.422999999999998</v>
      </c>
      <c r="H158" s="116">
        <v>20.934999000000001</v>
      </c>
      <c r="I158" s="116">
        <v>30.540001</v>
      </c>
      <c r="J158" s="116">
        <v>32.752997999999998</v>
      </c>
      <c r="K158" s="68"/>
      <c r="S158" s="43"/>
      <c r="T158" s="43"/>
      <c r="U158" s="43"/>
      <c r="V158" s="43"/>
      <c r="W158" s="43"/>
      <c r="X158" s="43"/>
      <c r="AH158" s="41"/>
      <c r="AI158" s="41"/>
      <c r="AJ158" s="41"/>
      <c r="AK158" s="41"/>
    </row>
    <row r="159" spans="2:37" ht="15" hidden="1" customHeight="1" outlineLevel="1" x14ac:dyDescent="0.15">
      <c r="B159" s="52" t="s">
        <v>73</v>
      </c>
      <c r="C159" s="52"/>
      <c r="D159" s="52"/>
      <c r="E159" s="121"/>
      <c r="F159" s="121"/>
      <c r="G159" s="116">
        <v>0</v>
      </c>
      <c r="H159" s="116">
        <v>44.014999000000003</v>
      </c>
      <c r="I159" s="116">
        <v>45.700001</v>
      </c>
      <c r="J159" s="116">
        <v>35.914000999999999</v>
      </c>
      <c r="K159" s="68"/>
      <c r="T159" s="43"/>
      <c r="U159" s="49"/>
      <c r="V159" s="51"/>
      <c r="W159" s="49"/>
      <c r="X159" s="53"/>
      <c r="Y159" s="49"/>
      <c r="Z159" s="49"/>
      <c r="AA159" s="49"/>
      <c r="AB159" s="53"/>
      <c r="AC159" s="49"/>
      <c r="AD159" s="41"/>
      <c r="AE159" s="41"/>
      <c r="AF159" s="53"/>
      <c r="AG159" s="53"/>
      <c r="AH159" s="51"/>
      <c r="AI159" s="40"/>
      <c r="AJ159" s="40"/>
      <c r="AK159" s="40"/>
    </row>
    <row r="160" spans="2:37" ht="15" hidden="1" customHeight="1" outlineLevel="1" x14ac:dyDescent="0.15">
      <c r="B160" s="54" t="s">
        <v>74</v>
      </c>
      <c r="C160" s="54"/>
      <c r="D160" s="54"/>
      <c r="E160" s="113">
        <v>2.7309999999999999</v>
      </c>
      <c r="F160" s="113">
        <v>11.071</v>
      </c>
      <c r="G160" s="113">
        <v>10.361000000000001</v>
      </c>
      <c r="H160" s="113">
        <v>0.38800000000000001</v>
      </c>
      <c r="I160" s="113">
        <v>0.36699999999999999</v>
      </c>
      <c r="J160" s="113">
        <v>4.8979999999999997</v>
      </c>
      <c r="K160" s="68"/>
      <c r="T160" s="43"/>
      <c r="U160" s="49"/>
      <c r="V160" s="51"/>
      <c r="W160" s="49"/>
      <c r="X160" s="53"/>
      <c r="Y160" s="49"/>
      <c r="Z160" s="49"/>
      <c r="AA160" s="49"/>
      <c r="AB160" s="53"/>
      <c r="AC160" s="49"/>
      <c r="AD160" s="53"/>
      <c r="AE160" s="41"/>
      <c r="AF160" s="53"/>
      <c r="AG160" s="53"/>
      <c r="AH160" s="51"/>
      <c r="AI160" s="43"/>
      <c r="AJ160" s="43"/>
      <c r="AK160" s="43"/>
    </row>
    <row r="161" spans="2:46" ht="15" hidden="1" customHeight="1" outlineLevel="1" x14ac:dyDescent="0.15">
      <c r="B161" s="55" t="s">
        <v>75</v>
      </c>
      <c r="C161" s="55"/>
      <c r="D161" s="55"/>
      <c r="E161" s="121"/>
      <c r="F161" s="121"/>
      <c r="G161" s="121"/>
      <c r="H161" s="121"/>
      <c r="I161" s="121"/>
      <c r="J161" s="121"/>
      <c r="K161" s="68"/>
      <c r="T161" s="43"/>
      <c r="U161" s="49"/>
      <c r="V161" s="51"/>
      <c r="W161" s="49"/>
      <c r="X161" s="53"/>
      <c r="Y161" s="49"/>
      <c r="Z161" s="49"/>
      <c r="AA161" s="49"/>
      <c r="AB161" s="53"/>
      <c r="AC161" s="41"/>
      <c r="AD161" s="53"/>
      <c r="AE161" s="41"/>
      <c r="AF161" s="53"/>
      <c r="AG161" s="53"/>
      <c r="AH161" s="51"/>
      <c r="AI161" s="41"/>
      <c r="AJ161" s="41"/>
      <c r="AK161" s="41"/>
    </row>
    <row r="162" spans="2:46" ht="15" hidden="1" customHeight="1" outlineLevel="1" x14ac:dyDescent="0.15">
      <c r="B162" s="55" t="s">
        <v>76</v>
      </c>
      <c r="C162" s="55"/>
      <c r="D162" s="55"/>
      <c r="E162" s="121"/>
      <c r="F162" s="121"/>
      <c r="G162" s="121"/>
      <c r="H162" s="121"/>
      <c r="I162" s="121"/>
      <c r="J162" s="121"/>
      <c r="K162" s="68"/>
      <c r="T162" s="43"/>
      <c r="U162" s="49"/>
      <c r="V162" s="51"/>
      <c r="W162" s="49"/>
      <c r="X162" s="49"/>
      <c r="Y162" s="49"/>
      <c r="Z162" s="49"/>
      <c r="AA162" s="49"/>
      <c r="AB162" s="53"/>
      <c r="AC162" s="41"/>
      <c r="AD162" s="53"/>
      <c r="AE162" s="49"/>
      <c r="AF162" s="53"/>
      <c r="AG162" s="53"/>
      <c r="AH162" s="51"/>
      <c r="AI162" s="41"/>
      <c r="AJ162" s="41"/>
      <c r="AK162" s="41"/>
    </row>
    <row r="163" spans="2:46" ht="15" hidden="1" customHeight="1" outlineLevel="1" x14ac:dyDescent="0.15">
      <c r="B163" s="52" t="s">
        <v>77</v>
      </c>
      <c r="C163" s="52"/>
      <c r="D163" s="52"/>
      <c r="E163" s="121"/>
      <c r="F163" s="121"/>
      <c r="G163" s="121"/>
      <c r="H163" s="121"/>
      <c r="I163" s="121"/>
      <c r="J163" s="121"/>
      <c r="K163" s="68"/>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hidden="1" customHeight="1" outlineLevel="1" x14ac:dyDescent="0.15">
      <c r="B164" s="50" t="s">
        <v>78</v>
      </c>
      <c r="C164" s="50"/>
      <c r="D164" s="50"/>
      <c r="E164" s="114"/>
      <c r="F164" s="114"/>
      <c r="G164" s="114"/>
      <c r="H164" s="114"/>
      <c r="I164" s="114"/>
      <c r="J164" s="114"/>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hidden="1" customHeight="1" outlineLevel="1" x14ac:dyDescent="0.15">
      <c r="B165" s="52" t="s">
        <v>79</v>
      </c>
      <c r="C165" s="52"/>
      <c r="D165" s="52"/>
      <c r="E165" s="121"/>
      <c r="F165" s="121"/>
      <c r="G165" s="121"/>
      <c r="H165" s="121"/>
      <c r="I165" s="121"/>
      <c r="J165" s="121"/>
      <c r="K165" s="68"/>
      <c r="S165" s="43"/>
      <c r="T165" s="43"/>
      <c r="U165" s="43"/>
      <c r="V165" s="43"/>
      <c r="W165" s="43"/>
      <c r="X165" s="43"/>
      <c r="AH165" s="43"/>
      <c r="AI165" s="43"/>
      <c r="AJ165" s="43"/>
      <c r="AK165" s="43"/>
      <c r="AQ165" s="49"/>
      <c r="AR165" s="49"/>
      <c r="AS165" s="49"/>
      <c r="AT165" s="49"/>
    </row>
    <row r="166" spans="2:46" ht="15" hidden="1" customHeight="1" outlineLevel="1" x14ac:dyDescent="0.15">
      <c r="B166" s="52" t="s">
        <v>80</v>
      </c>
      <c r="C166" s="52"/>
      <c r="D166" s="52"/>
      <c r="E166" s="121"/>
      <c r="F166" s="121"/>
      <c r="G166" s="121"/>
      <c r="H166" s="121"/>
      <c r="I166" s="121"/>
      <c r="J166" s="121"/>
      <c r="K166" s="68"/>
      <c r="S166" s="53"/>
      <c r="T166" s="53"/>
      <c r="U166" s="53"/>
      <c r="V166" s="53"/>
      <c r="W166" s="53"/>
      <c r="X166" s="53"/>
      <c r="AH166" s="41"/>
      <c r="AI166" s="41"/>
      <c r="AJ166" s="41"/>
      <c r="AK166" s="41"/>
      <c r="AQ166" s="49"/>
      <c r="AR166" s="49"/>
      <c r="AS166" s="49"/>
      <c r="AT166" s="49"/>
    </row>
    <row r="167" spans="2:46" ht="15" hidden="1" customHeight="1" outlineLevel="1" x14ac:dyDescent="0.15">
      <c r="B167" s="52" t="s">
        <v>81</v>
      </c>
      <c r="C167" s="52"/>
      <c r="D167" s="52"/>
      <c r="E167" s="121"/>
      <c r="F167" s="121"/>
      <c r="G167" s="121"/>
      <c r="H167" s="121"/>
      <c r="I167" s="121"/>
      <c r="J167" s="121"/>
      <c r="K167" s="68"/>
      <c r="S167" s="53"/>
      <c r="T167" s="53"/>
      <c r="U167" s="53"/>
      <c r="V167" s="53"/>
      <c r="W167" s="53"/>
      <c r="X167" s="53"/>
      <c r="AH167" s="40"/>
      <c r="AI167" s="40"/>
      <c r="AJ167" s="40"/>
      <c r="AK167" s="40"/>
      <c r="AQ167" s="49"/>
      <c r="AR167" s="49"/>
      <c r="AS167" s="49"/>
      <c r="AT167" s="49"/>
    </row>
    <row r="168" spans="2:46" ht="15" hidden="1" customHeight="1" outlineLevel="1" x14ac:dyDescent="0.15">
      <c r="B168" s="50" t="s">
        <v>82</v>
      </c>
      <c r="C168" s="50"/>
      <c r="D168" s="50"/>
      <c r="E168" s="113">
        <v>258.41299400000003</v>
      </c>
      <c r="F168" s="113">
        <v>343.54400600000002</v>
      </c>
      <c r="G168" s="113">
        <v>357.98898300000002</v>
      </c>
      <c r="H168" s="113">
        <v>386.80300899999997</v>
      </c>
      <c r="I168" s="113">
        <v>404.48199499999998</v>
      </c>
      <c r="J168" s="113">
        <v>436.71398900000003</v>
      </c>
      <c r="K168" s="68"/>
      <c r="S168" s="53"/>
      <c r="T168" s="53"/>
      <c r="U168" s="53"/>
      <c r="V168" s="53"/>
      <c r="W168" s="53"/>
      <c r="X168" s="53"/>
      <c r="AH168" s="41"/>
      <c r="AI168" s="41"/>
      <c r="AJ168" s="41"/>
      <c r="AK168" s="41"/>
      <c r="AQ168" s="43"/>
      <c r="AR168" s="43"/>
      <c r="AS168" s="51"/>
      <c r="AT168" s="43"/>
    </row>
    <row r="169" spans="2:46" ht="15" hidden="1" customHeight="1" outlineLevel="1" x14ac:dyDescent="0.15">
      <c r="B169" s="52" t="s">
        <v>83</v>
      </c>
      <c r="C169" s="52"/>
      <c r="D169" s="52"/>
      <c r="E169" s="116">
        <v>0</v>
      </c>
      <c r="F169" s="116">
        <v>0</v>
      </c>
      <c r="G169" s="116">
        <v>0</v>
      </c>
      <c r="H169" s="116">
        <v>0</v>
      </c>
      <c r="I169" s="116">
        <v>0</v>
      </c>
      <c r="J169" s="116">
        <v>0</v>
      </c>
      <c r="K169" s="68"/>
      <c r="S169" s="42"/>
      <c r="T169" s="42"/>
      <c r="U169" s="42"/>
      <c r="V169" s="42"/>
      <c r="W169" s="42"/>
      <c r="X169" s="42"/>
      <c r="AH169" s="40"/>
      <c r="AI169" s="40"/>
      <c r="AJ169" s="40"/>
      <c r="AK169" s="40"/>
      <c r="AQ169" s="53"/>
      <c r="AR169" s="53"/>
      <c r="AS169" s="49"/>
      <c r="AT169" s="53"/>
    </row>
    <row r="170" spans="2:46" ht="15" hidden="1" customHeight="1" outlineLevel="1" x14ac:dyDescent="0.15">
      <c r="B170" s="52" t="s">
        <v>84</v>
      </c>
      <c r="C170" s="52"/>
      <c r="D170" s="52"/>
      <c r="E170" s="116">
        <v>3.5999999999999997E-2</v>
      </c>
      <c r="F170" s="116">
        <v>3.9E-2</v>
      </c>
      <c r="G170" s="116">
        <v>3.9E-2</v>
      </c>
      <c r="H170" s="116">
        <v>3.9E-2</v>
      </c>
      <c r="I170" s="116">
        <v>3.9E-2</v>
      </c>
      <c r="J170" s="116">
        <v>3.9E-2</v>
      </c>
      <c r="K170" s="68"/>
      <c r="S170" s="53"/>
      <c r="T170" s="53"/>
      <c r="U170" s="53"/>
      <c r="V170" s="53"/>
      <c r="W170" s="53"/>
      <c r="X170" s="53"/>
      <c r="AH170" s="41"/>
      <c r="AI170" s="40"/>
      <c r="AJ170" s="41"/>
      <c r="AK170" s="41"/>
      <c r="AQ170" s="53"/>
      <c r="AR170" s="53"/>
      <c r="AS170" s="49"/>
      <c r="AT170" s="53"/>
    </row>
    <row r="171" spans="2:46" ht="15" hidden="1" customHeight="1" outlineLevel="1" x14ac:dyDescent="0.15">
      <c r="B171" s="52" t="s">
        <v>85</v>
      </c>
      <c r="C171" s="52"/>
      <c r="D171" s="52"/>
      <c r="E171" s="116">
        <v>266.79400600000002</v>
      </c>
      <c r="F171" s="116">
        <v>304.15499899999998</v>
      </c>
      <c r="G171" s="116">
        <v>330.57199100000003</v>
      </c>
      <c r="H171" s="116">
        <v>362.40798999999998</v>
      </c>
      <c r="I171" s="116">
        <v>401.35900900000001</v>
      </c>
      <c r="J171" s="116">
        <v>477.32299799999998</v>
      </c>
      <c r="K171" s="68"/>
      <c r="S171" s="53"/>
      <c r="T171" s="53"/>
      <c r="U171" s="53"/>
      <c r="V171" s="53"/>
      <c r="W171" s="53"/>
      <c r="X171" s="53"/>
      <c r="AH171" s="40"/>
      <c r="AI171" s="40"/>
      <c r="AJ171" s="40"/>
      <c r="AK171" s="40"/>
      <c r="AQ171" s="53"/>
      <c r="AR171" s="53"/>
      <c r="AS171" s="53"/>
      <c r="AT171" s="53"/>
    </row>
    <row r="172" spans="2:46" ht="15" hidden="1" customHeight="1" outlineLevel="1" x14ac:dyDescent="0.15">
      <c r="B172" s="52" t="s">
        <v>86</v>
      </c>
      <c r="C172" s="52"/>
      <c r="D172" s="52"/>
      <c r="E172" s="116">
        <v>-0.156</v>
      </c>
      <c r="F172" s="116">
        <v>-0.57399999999999995</v>
      </c>
      <c r="G172" s="116">
        <v>-0.58599999999999997</v>
      </c>
      <c r="H172" s="116">
        <v>1.1619999999999999</v>
      </c>
      <c r="I172" s="116">
        <v>-0.48399999999999999</v>
      </c>
      <c r="J172" s="116">
        <v>1.0069999999999999</v>
      </c>
      <c r="K172" s="68"/>
      <c r="S172" s="53"/>
      <c r="T172" s="53"/>
      <c r="U172" s="53"/>
      <c r="V172" s="53"/>
      <c r="W172" s="53"/>
      <c r="X172" s="53"/>
      <c r="AH172" s="39"/>
      <c r="AI172" s="39"/>
      <c r="AJ172" s="41"/>
      <c r="AK172" s="41"/>
      <c r="AQ172" s="49"/>
      <c r="AR172" s="49"/>
      <c r="AS172" s="49"/>
      <c r="AT172" s="49"/>
    </row>
    <row r="173" spans="2:46" ht="15" hidden="1" customHeight="1" outlineLevel="1" x14ac:dyDescent="0.15">
      <c r="B173" s="52" t="s">
        <v>87</v>
      </c>
      <c r="C173" s="52"/>
      <c r="D173" s="52"/>
      <c r="E173" s="116">
        <v>-8.2609999999999992</v>
      </c>
      <c r="F173" s="116">
        <v>39.923999999999999</v>
      </c>
      <c r="G173" s="116">
        <v>27.964001</v>
      </c>
      <c r="H173" s="116">
        <v>23.193999999999999</v>
      </c>
      <c r="I173" s="116">
        <v>3.5680000000000001</v>
      </c>
      <c r="J173" s="116">
        <v>-41.654998999999997</v>
      </c>
      <c r="K173" s="68"/>
      <c r="S173" s="43"/>
      <c r="T173" s="43"/>
      <c r="U173" s="43"/>
      <c r="V173" s="43"/>
      <c r="W173" s="43"/>
      <c r="X173" s="43"/>
      <c r="AH173" s="40"/>
      <c r="AI173" s="40"/>
      <c r="AJ173" s="40"/>
      <c r="AK173" s="40"/>
      <c r="AQ173" s="53"/>
      <c r="AR173" s="53"/>
      <c r="AS173" s="53"/>
      <c r="AT173" s="53"/>
    </row>
    <row r="174" spans="2:46" ht="15" hidden="1" customHeight="1" outlineLevel="1" x14ac:dyDescent="0.15">
      <c r="E174" s="116"/>
      <c r="F174" s="116"/>
      <c r="G174" s="116"/>
      <c r="H174" s="116"/>
      <c r="I174" s="116"/>
      <c r="J174" s="116"/>
      <c r="K174" s="68"/>
      <c r="S174" s="49"/>
      <c r="T174" s="49"/>
      <c r="U174" s="49"/>
      <c r="V174" s="49"/>
      <c r="W174" s="49"/>
      <c r="X174" s="49"/>
      <c r="AH174" s="42"/>
      <c r="AI174" s="42"/>
      <c r="AJ174" s="42"/>
      <c r="AK174" s="42"/>
      <c r="AQ174" s="49"/>
      <c r="AR174" s="49"/>
      <c r="AS174" s="49"/>
      <c r="AT174" s="53"/>
    </row>
    <row r="175" spans="2:46" ht="15" customHeight="1" x14ac:dyDescent="0.15">
      <c r="AH175" s="40"/>
      <c r="AI175" s="40"/>
      <c r="AJ175" s="40"/>
      <c r="AK175" s="40"/>
      <c r="AQ175" s="49"/>
      <c r="AR175" s="49"/>
      <c r="AS175" s="49"/>
      <c r="AT175" s="49"/>
    </row>
    <row r="176" spans="2:46" ht="15" customHeight="1" x14ac:dyDescent="0.2">
      <c r="B176" s="145" t="s">
        <v>109</v>
      </c>
      <c r="C176" s="145"/>
      <c r="D176" s="145"/>
      <c r="E176" s="145">
        <v>2016</v>
      </c>
      <c r="F176" s="145">
        <v>2017</v>
      </c>
      <c r="G176" s="145">
        <v>2018</v>
      </c>
      <c r="H176" s="145">
        <v>2019</v>
      </c>
      <c r="I176" s="145">
        <v>2020</v>
      </c>
      <c r="J176" s="145">
        <v>2021</v>
      </c>
      <c r="K176" s="145">
        <v>2022</v>
      </c>
      <c r="L176" s="145">
        <v>2023</v>
      </c>
      <c r="M176" s="145">
        <v>2024</v>
      </c>
      <c r="N176" s="145">
        <v>2025</v>
      </c>
      <c r="O176" s="145">
        <v>2026</v>
      </c>
      <c r="Q176" s="148" t="s">
        <v>44</v>
      </c>
      <c r="R176" s="148"/>
      <c r="S176" s="148"/>
      <c r="T176" s="146">
        <v>2016</v>
      </c>
      <c r="U176" s="146">
        <v>2017</v>
      </c>
      <c r="V176" s="146">
        <v>2018</v>
      </c>
      <c r="W176" s="146">
        <v>2019</v>
      </c>
      <c r="X176" s="146">
        <v>2020</v>
      </c>
      <c r="Y176" s="146">
        <v>2021</v>
      </c>
      <c r="Z176" s="147">
        <v>2022</v>
      </c>
      <c r="AA176" s="147">
        <v>2023</v>
      </c>
      <c r="AB176" s="147">
        <v>2024</v>
      </c>
      <c r="AC176" s="147">
        <v>2025</v>
      </c>
      <c r="AD176" s="147">
        <v>2026</v>
      </c>
      <c r="AE176" s="144" t="s">
        <v>45</v>
      </c>
      <c r="AH176" s="40"/>
      <c r="AI176" s="40"/>
      <c r="AJ176" s="40"/>
      <c r="AK176" s="40"/>
      <c r="AQ176" s="49"/>
      <c r="AR176" s="49"/>
      <c r="AS176" s="49"/>
      <c r="AT176" s="49"/>
    </row>
    <row r="177" spans="2:46" ht="15" customHeight="1" x14ac:dyDescent="0.15">
      <c r="B177" s="42" t="s">
        <v>90</v>
      </c>
      <c r="C177" s="42"/>
      <c r="D177" s="42"/>
      <c r="E177" s="68">
        <v>2016</v>
      </c>
      <c r="F177" s="68">
        <v>2017</v>
      </c>
      <c r="G177" s="68">
        <v>2018</v>
      </c>
      <c r="H177" s="68">
        <v>2019</v>
      </c>
      <c r="I177" s="68">
        <v>2020</v>
      </c>
      <c r="J177" s="68">
        <v>2021</v>
      </c>
      <c r="K177" s="113"/>
      <c r="L177" s="113"/>
      <c r="M177" s="113"/>
      <c r="N177" s="113"/>
      <c r="O177" s="68"/>
      <c r="P177" s="68"/>
      <c r="Q177" s="114" t="s">
        <v>90</v>
      </c>
      <c r="R177" s="115"/>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x14ac:dyDescent="0.15">
      <c r="B178" s="48" t="s">
        <v>12</v>
      </c>
      <c r="C178" s="48"/>
      <c r="D178" s="48"/>
      <c r="E178" s="113">
        <v>69.309997999999993</v>
      </c>
      <c r="F178" s="113">
        <v>107.646004</v>
      </c>
      <c r="G178" s="113">
        <v>125.46399700000001</v>
      </c>
      <c r="H178" s="113">
        <v>160.60699500000001</v>
      </c>
      <c r="I178" s="113">
        <v>180.08599899999999</v>
      </c>
      <c r="J178" s="113">
        <v>200.61599699999999</v>
      </c>
      <c r="K178" s="116"/>
      <c r="L178" s="116"/>
      <c r="M178" s="116"/>
      <c r="N178" s="116"/>
      <c r="O178" s="68"/>
      <c r="P178" s="68"/>
      <c r="Q178" s="117" t="s">
        <v>12</v>
      </c>
      <c r="R178" s="65"/>
      <c r="S178" s="47"/>
      <c r="T178" s="61">
        <f t="shared" ref="T178:AD185" si="49">E178/E$108</f>
        <v>0.35018313477049684</v>
      </c>
      <c r="U178" s="61">
        <f t="shared" si="49"/>
        <v>0.4663472481716181</v>
      </c>
      <c r="V178" s="61">
        <f t="shared" ref="V178:X185" si="50">G178/G$108</f>
        <v>0.44987071344167145</v>
      </c>
      <c r="W178" s="61">
        <f t="shared" si="50"/>
        <v>0.49938899805335396</v>
      </c>
      <c r="X178" s="61">
        <f t="shared" si="50"/>
        <v>0.49615523496880382</v>
      </c>
      <c r="Y178" s="61">
        <f t="shared" si="49"/>
        <v>0.48791259731630021</v>
      </c>
      <c r="Z178" s="47">
        <f t="shared" si="49"/>
        <v>0</v>
      </c>
      <c r="AA178" s="47">
        <f t="shared" si="49"/>
        <v>0</v>
      </c>
      <c r="AB178" s="47">
        <f t="shared" si="49"/>
        <v>0</v>
      </c>
      <c r="AC178" s="47">
        <f t="shared" si="49"/>
        <v>0</v>
      </c>
      <c r="AD178" s="47">
        <f t="shared" si="49"/>
        <v>0</v>
      </c>
      <c r="AE178" s="47">
        <f t="shared" ref="AE178:AE193" si="51">AVERAGE(T178:Y178)</f>
        <v>0.45830965445370736</v>
      </c>
      <c r="AH178" s="45"/>
      <c r="AI178" s="45"/>
      <c r="AJ178" s="45"/>
      <c r="AK178" s="45"/>
      <c r="AQ178" s="51"/>
      <c r="AR178" s="51"/>
      <c r="AS178" s="51"/>
      <c r="AT178" s="51"/>
    </row>
    <row r="179" spans="2:46" ht="15" customHeight="1" x14ac:dyDescent="0.15">
      <c r="B179" s="50" t="s">
        <v>91</v>
      </c>
      <c r="C179" s="50"/>
      <c r="D179" s="50"/>
      <c r="E179" s="116">
        <v>19.224001000000001</v>
      </c>
      <c r="F179" s="116">
        <v>40.439999</v>
      </c>
      <c r="G179" s="116">
        <v>57.304001</v>
      </c>
      <c r="H179" s="116">
        <v>69.335999000000001</v>
      </c>
      <c r="I179" s="116">
        <v>91.571999000000005</v>
      </c>
      <c r="J179" s="116">
        <v>70.959998999999996</v>
      </c>
      <c r="K179" s="118"/>
      <c r="L179" s="118"/>
      <c r="M179" s="118"/>
      <c r="N179" s="118"/>
      <c r="O179" s="68"/>
      <c r="P179" s="68"/>
      <c r="Q179" s="119" t="s">
        <v>91</v>
      </c>
      <c r="R179" s="63"/>
      <c r="S179" s="57"/>
      <c r="T179" s="60">
        <f t="shared" si="49"/>
        <v>9.7127703466549906E-2</v>
      </c>
      <c r="U179" s="60">
        <f t="shared" si="49"/>
        <v>0.17519537696645932</v>
      </c>
      <c r="V179" s="60">
        <f t="shared" si="50"/>
        <v>0.20547242579026279</v>
      </c>
      <c r="W179" s="60">
        <f t="shared" si="50"/>
        <v>0.21559232254883015</v>
      </c>
      <c r="X179" s="60">
        <f t="shared" si="50"/>
        <v>0.25229016654652908</v>
      </c>
      <c r="Y179" s="60">
        <f t="shared" si="49"/>
        <v>0.17257984375818278</v>
      </c>
      <c r="Z179" s="57">
        <f t="shared" si="49"/>
        <v>0</v>
      </c>
      <c r="AA179" s="57">
        <f t="shared" si="49"/>
        <v>0</v>
      </c>
      <c r="AB179" s="57">
        <f t="shared" si="49"/>
        <v>0</v>
      </c>
      <c r="AC179" s="57">
        <f t="shared" si="49"/>
        <v>0</v>
      </c>
      <c r="AD179" s="57">
        <f t="shared" si="49"/>
        <v>0</v>
      </c>
      <c r="AE179" s="57">
        <f t="shared" si="51"/>
        <v>0.18637630651280235</v>
      </c>
      <c r="AH179" s="45"/>
      <c r="AI179" s="45"/>
      <c r="AJ179" s="45"/>
      <c r="AK179" s="45"/>
      <c r="AQ179" s="49"/>
      <c r="AR179" s="49"/>
      <c r="AS179" s="49"/>
      <c r="AT179" s="49"/>
    </row>
    <row r="180" spans="2:46" ht="15" customHeight="1" collapsed="1" x14ac:dyDescent="0.15">
      <c r="B180" s="52" t="s">
        <v>92</v>
      </c>
      <c r="C180" s="52"/>
      <c r="D180" s="52"/>
      <c r="E180" s="118">
        <v>50.086002000000001</v>
      </c>
      <c r="F180" s="118">
        <v>67.206001000000001</v>
      </c>
      <c r="G180" s="118">
        <v>68.159996000000007</v>
      </c>
      <c r="H180" s="118">
        <v>91.270995999999997</v>
      </c>
      <c r="I180" s="118">
        <v>88.513992000000002</v>
      </c>
      <c r="J180" s="118">
        <v>129.65600599999999</v>
      </c>
      <c r="K180" s="69">
        <f>K108*$AE$180</f>
        <v>129.45600742181074</v>
      </c>
      <c r="L180" s="69">
        <f>L108*$AE$180</f>
        <v>149.8850845399588</v>
      </c>
      <c r="M180" s="69">
        <f>M108*$AE$180</f>
        <v>173.53801507527106</v>
      </c>
      <c r="N180" s="69">
        <f>N108*$AE$180</f>
        <v>200.92354598656777</v>
      </c>
      <c r="O180" s="69">
        <f>O108*$AE$180</f>
        <v>232.63070811491102</v>
      </c>
      <c r="P180" s="68"/>
      <c r="Q180" s="120" t="s">
        <v>92</v>
      </c>
      <c r="R180" s="65"/>
      <c r="S180" s="47"/>
      <c r="T180" s="61">
        <f t="shared" si="49"/>
        <v>0.25305545656604084</v>
      </c>
      <c r="U180" s="61">
        <f t="shared" si="49"/>
        <v>0.29115185387623876</v>
      </c>
      <c r="V180" s="61">
        <f t="shared" si="50"/>
        <v>0.24439828765140864</v>
      </c>
      <c r="W180" s="61">
        <f t="shared" si="50"/>
        <v>0.28379667550452375</v>
      </c>
      <c r="X180" s="61">
        <f t="shared" si="50"/>
        <v>0.24386504638146148</v>
      </c>
      <c r="Y180" s="61">
        <f t="shared" si="49"/>
        <v>0.31533277301469537</v>
      </c>
      <c r="Z180" s="47">
        <f t="shared" si="49"/>
        <v>0.27193334883239478</v>
      </c>
      <c r="AA180" s="47">
        <f t="shared" si="49"/>
        <v>0.27193334883239478</v>
      </c>
      <c r="AB180" s="47">
        <f t="shared" si="49"/>
        <v>0.27193334883239478</v>
      </c>
      <c r="AC180" s="47">
        <f t="shared" si="49"/>
        <v>0.27193334883239478</v>
      </c>
      <c r="AD180" s="47">
        <f t="shared" si="49"/>
        <v>0.27193334883239478</v>
      </c>
      <c r="AE180" s="47">
        <f t="shared" si="51"/>
        <v>0.27193334883239478</v>
      </c>
      <c r="AQ180" s="49"/>
      <c r="AR180" s="49"/>
      <c r="AS180" s="49"/>
      <c r="AT180" s="49"/>
    </row>
    <row r="181" spans="2:46" ht="15" hidden="1" customHeight="1" outlineLevel="1" x14ac:dyDescent="0.15">
      <c r="B181" s="52" t="s">
        <v>93</v>
      </c>
      <c r="C181" s="52"/>
      <c r="D181" s="52"/>
      <c r="E181" s="116">
        <v>16.993998999999999</v>
      </c>
      <c r="F181" s="116">
        <v>20.635999999999999</v>
      </c>
      <c r="G181" s="116">
        <v>28.903998999999999</v>
      </c>
      <c r="H181" s="116">
        <v>31.201000000000001</v>
      </c>
      <c r="I181" s="116">
        <v>32.845001000000003</v>
      </c>
      <c r="J181" s="116">
        <v>35.896999000000001</v>
      </c>
      <c r="K181" s="121"/>
      <c r="L181" s="121"/>
      <c r="M181" s="121"/>
      <c r="N181" s="121"/>
      <c r="O181" s="68"/>
      <c r="P181" s="68"/>
      <c r="Q181" s="120" t="s">
        <v>93</v>
      </c>
      <c r="R181" s="65"/>
      <c r="S181" s="47"/>
      <c r="T181" s="61">
        <f t="shared" si="49"/>
        <v>8.586079950697284E-2</v>
      </c>
      <c r="U181" s="61">
        <f t="shared" si="49"/>
        <v>8.9399898330359856E-2</v>
      </c>
      <c r="V181" s="61">
        <f t="shared" si="50"/>
        <v>0.10363979278810444</v>
      </c>
      <c r="W181" s="61">
        <f t="shared" si="50"/>
        <v>9.7015924669175815E-2</v>
      </c>
      <c r="X181" s="61">
        <f t="shared" si="50"/>
        <v>9.0491316810839911E-2</v>
      </c>
      <c r="Y181" s="61">
        <f t="shared" si="49"/>
        <v>8.7304094787369488E-2</v>
      </c>
      <c r="Z181" s="47">
        <f t="shared" si="49"/>
        <v>0</v>
      </c>
      <c r="AA181" s="47">
        <f t="shared" si="49"/>
        <v>0</v>
      </c>
      <c r="AB181" s="47">
        <f t="shared" si="49"/>
        <v>0</v>
      </c>
      <c r="AC181" s="47">
        <f t="shared" si="49"/>
        <v>0</v>
      </c>
      <c r="AD181" s="47">
        <f t="shared" si="49"/>
        <v>0</v>
      </c>
      <c r="AE181" s="47">
        <f t="shared" si="51"/>
        <v>9.2285304482137051E-2</v>
      </c>
      <c r="AQ181" s="43"/>
      <c r="AR181" s="43"/>
      <c r="AS181" s="43"/>
      <c r="AT181" s="43"/>
    </row>
    <row r="182" spans="2:46" ht="15" hidden="1" customHeight="1" outlineLevel="1" x14ac:dyDescent="0.15">
      <c r="B182" s="52" t="s">
        <v>94</v>
      </c>
      <c r="C182" s="52"/>
      <c r="D182" s="52"/>
      <c r="E182" s="121"/>
      <c r="F182" s="121"/>
      <c r="G182" s="121"/>
      <c r="H182" s="116">
        <v>0</v>
      </c>
      <c r="I182" s="116">
        <v>0</v>
      </c>
      <c r="J182" s="116">
        <v>0.625</v>
      </c>
      <c r="K182" s="116"/>
      <c r="L182" s="116"/>
      <c r="M182" s="116"/>
      <c r="N182" s="116"/>
      <c r="O182" s="68"/>
      <c r="P182" s="68"/>
      <c r="Q182" s="120" t="s">
        <v>94</v>
      </c>
      <c r="R182" s="65"/>
      <c r="S182" s="47"/>
      <c r="T182" s="61">
        <f t="shared" si="49"/>
        <v>0</v>
      </c>
      <c r="U182" s="61">
        <f t="shared" si="49"/>
        <v>0</v>
      </c>
      <c r="V182" s="61">
        <f t="shared" si="50"/>
        <v>0</v>
      </c>
      <c r="W182" s="61">
        <f t="shared" si="50"/>
        <v>0</v>
      </c>
      <c r="X182" s="61">
        <f t="shared" si="50"/>
        <v>0</v>
      </c>
      <c r="Y182" s="61">
        <f t="shared" si="49"/>
        <v>1.5200451503510344E-3</v>
      </c>
      <c r="Z182" s="47">
        <f t="shared" si="49"/>
        <v>0</v>
      </c>
      <c r="AA182" s="47">
        <f t="shared" si="49"/>
        <v>0</v>
      </c>
      <c r="AB182" s="47">
        <f t="shared" si="49"/>
        <v>0</v>
      </c>
      <c r="AC182" s="47">
        <f t="shared" si="49"/>
        <v>0</v>
      </c>
      <c r="AD182" s="47">
        <f t="shared" si="49"/>
        <v>0</v>
      </c>
      <c r="AE182" s="47">
        <f t="shared" si="51"/>
        <v>2.5334085839183907E-4</v>
      </c>
      <c r="AQ182" s="43"/>
      <c r="AR182" s="43"/>
      <c r="AS182" s="43"/>
      <c r="AT182" s="43"/>
    </row>
    <row r="183" spans="2:46" ht="15" hidden="1" customHeight="1" outlineLevel="1" x14ac:dyDescent="0.15">
      <c r="B183" s="52" t="s">
        <v>95</v>
      </c>
      <c r="C183" s="52"/>
      <c r="D183" s="52"/>
      <c r="E183" s="116">
        <v>0.19900000000000001</v>
      </c>
      <c r="F183" s="116">
        <v>0.65700000000000003</v>
      </c>
      <c r="G183" s="116">
        <v>8.5999999999999993E-2</v>
      </c>
      <c r="H183" s="116">
        <v>0.247</v>
      </c>
      <c r="I183" s="116">
        <v>0.48599999999999999</v>
      </c>
      <c r="J183" s="116">
        <v>0.40200000000000002</v>
      </c>
      <c r="K183" s="116"/>
      <c r="L183" s="116"/>
      <c r="M183" s="116"/>
      <c r="N183" s="116"/>
      <c r="O183" s="68"/>
      <c r="P183" s="68"/>
      <c r="Q183" s="120" t="s">
        <v>95</v>
      </c>
      <c r="R183" s="65"/>
      <c r="S183" s="47"/>
      <c r="T183" s="61">
        <f t="shared" si="49"/>
        <v>1.0054313350193558E-3</v>
      </c>
      <c r="U183" s="61">
        <f t="shared" si="49"/>
        <v>2.8462751116033356E-3</v>
      </c>
      <c r="V183" s="61">
        <f t="shared" si="50"/>
        <v>3.0836640216383139E-4</v>
      </c>
      <c r="W183" s="61">
        <f t="shared" si="50"/>
        <v>7.6801812099889187E-4</v>
      </c>
      <c r="X183" s="61">
        <f t="shared" si="50"/>
        <v>1.3389794072488593E-3</v>
      </c>
      <c r="Y183" s="61">
        <f t="shared" si="49"/>
        <v>9.7769304070578528E-4</v>
      </c>
      <c r="Z183" s="47">
        <f t="shared" si="49"/>
        <v>0</v>
      </c>
      <c r="AA183" s="47">
        <f t="shared" si="49"/>
        <v>0</v>
      </c>
      <c r="AB183" s="47">
        <f t="shared" si="49"/>
        <v>0</v>
      </c>
      <c r="AC183" s="47">
        <f t="shared" si="49"/>
        <v>0</v>
      </c>
      <c r="AD183" s="47">
        <f t="shared" si="49"/>
        <v>0</v>
      </c>
      <c r="AE183" s="47">
        <f t="shared" si="51"/>
        <v>1.2074605696233431E-3</v>
      </c>
      <c r="AQ183" s="43"/>
      <c r="AR183" s="43"/>
      <c r="AS183" s="43"/>
      <c r="AT183" s="43"/>
    </row>
    <row r="184" spans="2:46" ht="15" hidden="1" customHeight="1" outlineLevel="1" x14ac:dyDescent="0.15">
      <c r="B184" s="52" t="s">
        <v>96</v>
      </c>
      <c r="C184" s="52"/>
      <c r="D184" s="52"/>
      <c r="E184" s="116">
        <v>5.5E-2</v>
      </c>
      <c r="F184" s="116">
        <v>0.161</v>
      </c>
      <c r="G184" s="116">
        <v>8.9999999999999993E-3</v>
      </c>
      <c r="H184" s="116">
        <v>0.20200000000000001</v>
      </c>
      <c r="I184" s="116">
        <v>0.106</v>
      </c>
      <c r="J184" s="116">
        <v>1.2E-2</v>
      </c>
      <c r="K184" s="116"/>
      <c r="L184" s="116"/>
      <c r="M184" s="116"/>
      <c r="N184" s="116"/>
      <c r="O184" s="68"/>
      <c r="P184" s="68"/>
      <c r="Q184" s="120" t="s">
        <v>96</v>
      </c>
      <c r="R184" s="63"/>
      <c r="S184" s="57"/>
      <c r="T184" s="60">
        <f t="shared" si="49"/>
        <v>2.7788303229178175E-4</v>
      </c>
      <c r="U184" s="60">
        <f t="shared" si="49"/>
        <v>6.9748903039290253E-4</v>
      </c>
      <c r="V184" s="60">
        <f t="shared" si="50"/>
        <v>3.227090255202887E-5</v>
      </c>
      <c r="W184" s="60">
        <f t="shared" si="50"/>
        <v>6.2809579126225164E-4</v>
      </c>
      <c r="X184" s="60">
        <f t="shared" si="50"/>
        <v>2.9204077606662365E-4</v>
      </c>
      <c r="Y184" s="60">
        <f t="shared" si="49"/>
        <v>2.9184866886739859E-5</v>
      </c>
      <c r="Z184" s="57">
        <f t="shared" si="49"/>
        <v>0</v>
      </c>
      <c r="AA184" s="57">
        <f t="shared" si="49"/>
        <v>0</v>
      </c>
      <c r="AB184" s="57">
        <f t="shared" si="49"/>
        <v>0</v>
      </c>
      <c r="AC184" s="57">
        <f t="shared" si="49"/>
        <v>0</v>
      </c>
      <c r="AD184" s="57">
        <f t="shared" si="49"/>
        <v>0</v>
      </c>
      <c r="AE184" s="57">
        <f t="shared" si="51"/>
        <v>3.2616073324205473E-4</v>
      </c>
      <c r="AQ184" s="49"/>
      <c r="AR184" s="49"/>
      <c r="AS184" s="49"/>
      <c r="AT184" s="49"/>
    </row>
    <row r="185" spans="2:46" ht="15" hidden="1" customHeight="1" outlineLevel="1" x14ac:dyDescent="0.15">
      <c r="B185" s="52" t="s">
        <v>97</v>
      </c>
      <c r="C185" s="52"/>
      <c r="D185" s="52"/>
      <c r="E185" s="116">
        <v>20.149000000000001</v>
      </c>
      <c r="F185" s="116">
        <v>26.960999999999999</v>
      </c>
      <c r="G185" s="116">
        <v>30.09</v>
      </c>
      <c r="H185" s="116">
        <v>34.891998000000001</v>
      </c>
      <c r="I185" s="116">
        <v>40.034999999999997</v>
      </c>
      <c r="J185" s="116">
        <v>67.579002000000003</v>
      </c>
      <c r="K185" s="121"/>
      <c r="L185" s="121"/>
      <c r="M185" s="121"/>
      <c r="N185" s="116"/>
      <c r="O185" s="68"/>
      <c r="P185" s="68"/>
      <c r="Q185" s="120" t="s">
        <v>97</v>
      </c>
      <c r="R185" s="65"/>
      <c r="S185" s="47"/>
      <c r="T185" s="61">
        <f t="shared" si="49"/>
        <v>0.10180118577540201</v>
      </c>
      <c r="U185" s="61">
        <f t="shared" si="49"/>
        <v>0.11680125309579531</v>
      </c>
      <c r="V185" s="61">
        <f t="shared" si="50"/>
        <v>0.10789238419894986</v>
      </c>
      <c r="W185" s="61">
        <f t="shared" si="50"/>
        <v>0.10849265887391536</v>
      </c>
      <c r="X185" s="61">
        <f t="shared" si="50"/>
        <v>0.11030049499837052</v>
      </c>
      <c r="Y185" s="61">
        <f t="shared" si="49"/>
        <v>0.16435701480906056</v>
      </c>
      <c r="Z185" s="47">
        <f t="shared" si="49"/>
        <v>0</v>
      </c>
      <c r="AA185" s="47">
        <f t="shared" si="49"/>
        <v>0</v>
      </c>
      <c r="AB185" s="47">
        <f t="shared" si="49"/>
        <v>0</v>
      </c>
      <c r="AC185" s="47">
        <f t="shared" si="49"/>
        <v>0</v>
      </c>
      <c r="AD185" s="47">
        <f t="shared" si="49"/>
        <v>0</v>
      </c>
      <c r="AE185" s="47">
        <f t="shared" si="51"/>
        <v>0.11827416529191559</v>
      </c>
      <c r="AQ185" s="49"/>
      <c r="AR185" s="49"/>
      <c r="AS185" s="49"/>
      <c r="AT185" s="49"/>
    </row>
    <row r="186" spans="2:46" ht="15" hidden="1" customHeight="1" outlineLevel="1" x14ac:dyDescent="0.15">
      <c r="B186" s="52" t="s">
        <v>98</v>
      </c>
      <c r="C186" s="52"/>
      <c r="D186" s="52"/>
      <c r="E186" s="121"/>
      <c r="F186" s="121"/>
      <c r="G186" s="121"/>
      <c r="H186" s="121"/>
      <c r="I186" s="121"/>
      <c r="J186" s="121"/>
      <c r="K186" s="116"/>
      <c r="L186" s="116"/>
      <c r="M186" s="116"/>
      <c r="N186" s="116"/>
      <c r="O186" s="68"/>
      <c r="P186" s="68"/>
      <c r="Q186" s="120" t="s">
        <v>98</v>
      </c>
      <c r="R186" s="65"/>
      <c r="S186" s="47"/>
      <c r="T186" s="61"/>
      <c r="U186" s="61"/>
      <c r="V186" s="61"/>
      <c r="W186" s="61" t="e">
        <f>H186/(H226+H228)</f>
        <v>#DIV/0!</v>
      </c>
      <c r="X186" s="61" t="e">
        <f>I186/(I226+I228)</f>
        <v>#DIV/0!</v>
      </c>
      <c r="Y186" s="61" t="e">
        <f t="shared" ref="Y186:AD186" si="52">J186/(J226+J228)</f>
        <v>#DIV/0!</v>
      </c>
      <c r="Z186" s="47" t="e">
        <f t="shared" si="52"/>
        <v>#DIV/0!</v>
      </c>
      <c r="AA186" s="47" t="e">
        <f t="shared" si="52"/>
        <v>#DIV/0!</v>
      </c>
      <c r="AB186" s="47" t="e">
        <f t="shared" si="52"/>
        <v>#DIV/0!</v>
      </c>
      <c r="AC186" s="47" t="e">
        <f t="shared" si="52"/>
        <v>#DIV/0!</v>
      </c>
      <c r="AD186" s="47" t="e">
        <f t="shared" si="52"/>
        <v>#DIV/0!</v>
      </c>
      <c r="AE186" s="47" t="e">
        <f t="shared" si="51"/>
        <v>#DIV/0!</v>
      </c>
      <c r="AQ186" s="49"/>
      <c r="AR186" s="49"/>
      <c r="AS186" s="49"/>
      <c r="AT186" s="49"/>
    </row>
    <row r="187" spans="2:46" ht="15" hidden="1" customHeight="1" outlineLevel="1" x14ac:dyDescent="0.15">
      <c r="B187" s="52" t="s">
        <v>99</v>
      </c>
      <c r="C187" s="52"/>
      <c r="D187" s="52"/>
      <c r="E187" s="116">
        <v>1</v>
      </c>
      <c r="F187" s="116">
        <v>1.3240000000000001</v>
      </c>
      <c r="G187" s="116">
        <v>-1.1359999999999999</v>
      </c>
      <c r="H187" s="116">
        <v>-1.597</v>
      </c>
      <c r="I187" s="116">
        <v>0.82599999999999996</v>
      </c>
      <c r="J187" s="116">
        <v>3.8690000000000002</v>
      </c>
      <c r="K187" s="116"/>
      <c r="L187" s="116"/>
      <c r="M187" s="116"/>
      <c r="N187" s="116"/>
      <c r="O187" s="68"/>
      <c r="P187" s="68"/>
      <c r="Q187" s="120" t="s">
        <v>99</v>
      </c>
      <c r="R187" s="65"/>
      <c r="S187" s="47"/>
      <c r="T187" s="61"/>
      <c r="U187" s="61"/>
      <c r="V187" s="61"/>
      <c r="W187" s="61"/>
      <c r="X187" s="61"/>
      <c r="Y187" s="61"/>
      <c r="Z187" s="47"/>
      <c r="AA187" s="47"/>
      <c r="AB187" s="47"/>
      <c r="AC187" s="47"/>
      <c r="AD187" s="47"/>
      <c r="AE187" s="47" t="e">
        <f t="shared" si="51"/>
        <v>#DIV/0!</v>
      </c>
      <c r="AQ187" s="53"/>
      <c r="AR187" s="53"/>
      <c r="AS187" s="49"/>
      <c r="AT187" s="49"/>
    </row>
    <row r="188" spans="2:46" ht="15" hidden="1" customHeight="1" outlineLevel="1" x14ac:dyDescent="0.15">
      <c r="B188" s="52" t="s">
        <v>100</v>
      </c>
      <c r="C188" s="52"/>
      <c r="D188" s="52"/>
      <c r="E188" s="116">
        <v>-8.6999999999999993</v>
      </c>
      <c r="F188" s="121"/>
      <c r="G188" s="121"/>
      <c r="H188" s="121"/>
      <c r="I188" s="121"/>
      <c r="J188" s="121"/>
      <c r="K188" s="116"/>
      <c r="L188" s="116"/>
      <c r="M188" s="116"/>
      <c r="N188" s="116"/>
      <c r="O188" s="68"/>
      <c r="P188" s="68"/>
      <c r="Q188" s="120" t="s">
        <v>100</v>
      </c>
      <c r="R188" s="65"/>
      <c r="S188" s="47"/>
      <c r="T188" s="61"/>
      <c r="U188" s="61"/>
      <c r="V188" s="61"/>
      <c r="W188" s="61"/>
      <c r="X188" s="61"/>
      <c r="Y188" s="61"/>
      <c r="Z188" s="47"/>
      <c r="AA188" s="47"/>
      <c r="AB188" s="47"/>
      <c r="AC188" s="47"/>
      <c r="AD188" s="47"/>
      <c r="AE188" s="47" t="e">
        <f t="shared" si="51"/>
        <v>#DIV/0!</v>
      </c>
      <c r="AQ188" s="49"/>
      <c r="AR188" s="49"/>
      <c r="AS188" s="49"/>
      <c r="AT188" s="49"/>
    </row>
    <row r="189" spans="2:46" ht="15" hidden="1" customHeight="1" outlineLevel="1" x14ac:dyDescent="0.15">
      <c r="B189" s="52" t="s">
        <v>101</v>
      </c>
      <c r="C189" s="52"/>
      <c r="D189" s="52"/>
      <c r="E189" s="116">
        <v>-0.44</v>
      </c>
      <c r="F189" s="116">
        <v>-2.718</v>
      </c>
      <c r="G189" s="116">
        <v>-2.5209999999999999</v>
      </c>
      <c r="H189" s="116">
        <v>7.0949999999999998</v>
      </c>
      <c r="I189" s="116">
        <v>3.512</v>
      </c>
      <c r="J189" s="116">
        <v>-9.7230000000000008</v>
      </c>
      <c r="K189" s="116"/>
      <c r="L189" s="116"/>
      <c r="M189" s="116"/>
      <c r="N189" s="121"/>
      <c r="O189" s="68"/>
      <c r="P189" s="68"/>
      <c r="Q189" s="120" t="s">
        <v>101</v>
      </c>
      <c r="R189" s="63"/>
      <c r="S189" s="57"/>
      <c r="T189" s="60">
        <f t="shared" ref="T189:AD189" si="53">E189/E177</f>
        <v>-2.1825396825396825E-4</v>
      </c>
      <c r="U189" s="60">
        <f t="shared" si="53"/>
        <v>-1.3475458601883985E-3</v>
      </c>
      <c r="V189" s="60">
        <f>G189/G177</f>
        <v>-1.2492566897918732E-3</v>
      </c>
      <c r="W189" s="60">
        <f>H189/H177</f>
        <v>3.5141158989598809E-3</v>
      </c>
      <c r="X189" s="60">
        <f>I189/I177</f>
        <v>1.7386138613861386E-3</v>
      </c>
      <c r="Y189" s="60">
        <f t="shared" si="53"/>
        <v>-4.810984661058882E-3</v>
      </c>
      <c r="Z189" s="57" t="e">
        <f t="shared" si="53"/>
        <v>#DIV/0!</v>
      </c>
      <c r="AA189" s="57" t="e">
        <f t="shared" si="53"/>
        <v>#DIV/0!</v>
      </c>
      <c r="AB189" s="57" t="e">
        <f t="shared" si="53"/>
        <v>#DIV/0!</v>
      </c>
      <c r="AC189" s="57" t="e">
        <f t="shared" si="53"/>
        <v>#DIV/0!</v>
      </c>
      <c r="AD189" s="57" t="e">
        <f t="shared" si="53"/>
        <v>#DIV/0!</v>
      </c>
      <c r="AE189" s="57">
        <f t="shared" si="51"/>
        <v>-3.9555190315785044E-4</v>
      </c>
      <c r="AQ189" s="53"/>
      <c r="AR189" s="53"/>
      <c r="AS189" s="53"/>
      <c r="AT189" s="53"/>
    </row>
    <row r="190" spans="2:46" ht="15" hidden="1" customHeight="1" outlineLevel="1" x14ac:dyDescent="0.15">
      <c r="B190" s="52" t="s">
        <v>102</v>
      </c>
      <c r="C190" s="52"/>
      <c r="D190" s="52"/>
      <c r="E190" s="121"/>
      <c r="F190" s="121"/>
      <c r="G190" s="121"/>
      <c r="H190" s="121"/>
      <c r="I190" s="121"/>
      <c r="J190" s="121"/>
      <c r="K190" s="121"/>
      <c r="L190" s="121"/>
      <c r="M190" s="121"/>
      <c r="N190" s="121"/>
      <c r="O190" s="68"/>
      <c r="P190" s="68"/>
      <c r="Q190" s="120" t="s">
        <v>102</v>
      </c>
      <c r="R190" s="65"/>
      <c r="S190" s="47"/>
      <c r="T190" s="61">
        <f t="shared" ref="T190:AD190" si="54">E190/E189</f>
        <v>0</v>
      </c>
      <c r="U190" s="61">
        <f t="shared" si="54"/>
        <v>0</v>
      </c>
      <c r="V190" s="61">
        <f>G190/G189</f>
        <v>0</v>
      </c>
      <c r="W190" s="61">
        <f>H190/H189</f>
        <v>0</v>
      </c>
      <c r="X190" s="61">
        <f>I190/I189</f>
        <v>0</v>
      </c>
      <c r="Y190" s="61">
        <f t="shared" si="54"/>
        <v>0</v>
      </c>
      <c r="Z190" s="47" t="e">
        <f t="shared" si="54"/>
        <v>#DIV/0!</v>
      </c>
      <c r="AA190" s="47" t="e">
        <f t="shared" si="54"/>
        <v>#DIV/0!</v>
      </c>
      <c r="AB190" s="47" t="e">
        <f t="shared" si="54"/>
        <v>#DIV/0!</v>
      </c>
      <c r="AC190" s="47" t="e">
        <f t="shared" si="54"/>
        <v>#DIV/0!</v>
      </c>
      <c r="AD190" s="47" t="e">
        <f t="shared" si="54"/>
        <v>#DIV/0!</v>
      </c>
      <c r="AE190" s="47">
        <f t="shared" si="51"/>
        <v>0</v>
      </c>
      <c r="AQ190" s="43"/>
      <c r="AR190" s="43"/>
      <c r="AS190" s="43"/>
      <c r="AT190" s="51"/>
    </row>
    <row r="191" spans="2:46" ht="15" customHeight="1" collapsed="1" x14ac:dyDescent="0.15">
      <c r="B191" s="54" t="s">
        <v>103</v>
      </c>
      <c r="C191" s="54"/>
      <c r="D191" s="54"/>
      <c r="E191" s="118">
        <v>20.829000000000001</v>
      </c>
      <c r="F191" s="118">
        <v>20.185001</v>
      </c>
      <c r="G191" s="118">
        <v>12.728</v>
      </c>
      <c r="H191" s="118">
        <v>19.230999000000001</v>
      </c>
      <c r="I191" s="118">
        <v>10.703999</v>
      </c>
      <c r="J191" s="118">
        <v>30.994999</v>
      </c>
      <c r="K191" s="118">
        <f>K108*$AE$191</f>
        <v>31.974456856200387</v>
      </c>
      <c r="L191" s="118">
        <f>L108*$AE$191</f>
        <v>37.02025316905781</v>
      </c>
      <c r="M191" s="118">
        <f>M108*$AE$191</f>
        <v>42.862311965601748</v>
      </c>
      <c r="N191" s="118">
        <f>N108*$AE$191</f>
        <v>49.626289119278987</v>
      </c>
      <c r="O191" s="118">
        <f>O108*$AE$191</f>
        <v>57.457669892531953</v>
      </c>
      <c r="P191" s="68"/>
      <c r="Q191" s="122" t="s">
        <v>103</v>
      </c>
      <c r="R191" s="63"/>
      <c r="S191" s="57"/>
      <c r="T191" s="60">
        <f t="shared" ref="T191:Y191" si="55">E191/E108</f>
        <v>0.10523683053828223</v>
      </c>
      <c r="U191" s="60">
        <f t="shared" si="55"/>
        <v>8.744606693148925E-2</v>
      </c>
      <c r="V191" s="60">
        <f t="shared" si="55"/>
        <v>4.563822752024705E-2</v>
      </c>
      <c r="W191" s="60">
        <f t="shared" si="55"/>
        <v>5.9796581849844412E-2</v>
      </c>
      <c r="X191" s="60">
        <f t="shared" si="55"/>
        <v>2.9490605424305313E-2</v>
      </c>
      <c r="Y191" s="60">
        <f t="shared" si="55"/>
        <v>7.5382076664136252E-2</v>
      </c>
      <c r="Z191" s="57" t="e">
        <f>K191/K177</f>
        <v>#DIV/0!</v>
      </c>
      <c r="AA191" s="57" t="e">
        <f>L191/L177</f>
        <v>#DIV/0!</v>
      </c>
      <c r="AB191" s="57" t="e">
        <f>M191/M177</f>
        <v>#DIV/0!</v>
      </c>
      <c r="AC191" s="57" t="e">
        <f>N191/N177</f>
        <v>#DIV/0!</v>
      </c>
      <c r="AD191" s="57" t="e">
        <f>O191/O177</f>
        <v>#DIV/0!</v>
      </c>
      <c r="AE191" s="57">
        <f t="shared" si="51"/>
        <v>6.7165064821384082E-2</v>
      </c>
      <c r="AQ191" s="53"/>
      <c r="AR191" s="53"/>
      <c r="AS191" s="53"/>
      <c r="AT191" s="49"/>
    </row>
    <row r="192" spans="2:46" ht="15" hidden="1" customHeight="1" outlineLevel="1" x14ac:dyDescent="0.15">
      <c r="B192" s="55" t="s">
        <v>104</v>
      </c>
      <c r="C192" s="55"/>
      <c r="D192" s="55"/>
      <c r="E192" s="116">
        <v>-4.8979999999999997</v>
      </c>
      <c r="F192" s="116">
        <v>-17.966000000000001</v>
      </c>
      <c r="G192" s="116">
        <v>-11.467000000000001</v>
      </c>
      <c r="H192" s="116">
        <v>-2.456</v>
      </c>
      <c r="I192" s="116">
        <v>-22.631001000000001</v>
      </c>
      <c r="J192" s="116">
        <v>-9.2210000000000001</v>
      </c>
      <c r="K192" s="116"/>
      <c r="L192" s="116"/>
      <c r="M192" s="116"/>
      <c r="N192" s="116"/>
      <c r="O192" s="68"/>
      <c r="P192" s="68"/>
      <c r="Q192" s="123" t="s">
        <v>104</v>
      </c>
      <c r="R192" s="65"/>
      <c r="S192" s="47"/>
      <c r="T192" s="47"/>
      <c r="U192" s="47"/>
      <c r="V192" s="47"/>
      <c r="W192" s="47"/>
      <c r="X192" s="47"/>
      <c r="Y192" s="47"/>
      <c r="Z192" s="47"/>
      <c r="AA192" s="47"/>
      <c r="AB192" s="47"/>
      <c r="AE192" s="47" t="e">
        <f t="shared" si="51"/>
        <v>#DIV/0!</v>
      </c>
      <c r="AQ192" s="53"/>
      <c r="AR192" s="53"/>
      <c r="AS192" s="53"/>
      <c r="AT192" s="49"/>
    </row>
    <row r="193" spans="2:46" ht="15" hidden="1" customHeight="1" outlineLevel="1" x14ac:dyDescent="0.15">
      <c r="B193" s="55" t="s">
        <v>105</v>
      </c>
      <c r="C193" s="55"/>
      <c r="D193" s="55"/>
      <c r="E193" s="116">
        <v>-15.664999999999999</v>
      </c>
      <c r="F193" s="116">
        <v>-2.3290000000000002</v>
      </c>
      <c r="G193" s="116">
        <v>-6.0119999999999996</v>
      </c>
      <c r="H193" s="116">
        <v>-4.97</v>
      </c>
      <c r="I193" s="116">
        <v>-5.2999999999999999E-2</v>
      </c>
      <c r="J193" s="116">
        <v>-2.1070000000000002</v>
      </c>
      <c r="K193" s="116"/>
      <c r="L193" s="116"/>
      <c r="M193" s="116"/>
      <c r="N193" s="116"/>
      <c r="O193" s="68"/>
      <c r="P193" s="68"/>
      <c r="Q193" s="123" t="s">
        <v>105</v>
      </c>
      <c r="R193" s="65"/>
      <c r="S193" s="47"/>
      <c r="T193" s="47"/>
      <c r="U193" s="47"/>
      <c r="V193" s="47"/>
      <c r="W193" s="47"/>
      <c r="X193" s="47"/>
      <c r="Y193" s="47"/>
      <c r="Z193" s="47"/>
      <c r="AA193" s="47"/>
      <c r="AB193" s="47"/>
      <c r="AE193" s="47" t="e">
        <f t="shared" si="51"/>
        <v>#DIV/0!</v>
      </c>
      <c r="AQ193" s="53"/>
      <c r="AR193" s="53"/>
      <c r="AS193" s="53"/>
      <c r="AT193" s="49"/>
    </row>
    <row r="194" spans="2:46" ht="15" hidden="1" customHeight="1" outlineLevel="1" x14ac:dyDescent="0.15">
      <c r="B194" s="55" t="s">
        <v>61</v>
      </c>
      <c r="C194" s="55"/>
      <c r="D194" s="55"/>
      <c r="E194" s="121"/>
      <c r="F194" s="121"/>
      <c r="G194" s="121"/>
      <c r="H194" s="121"/>
      <c r="I194" s="121"/>
      <c r="J194" s="121"/>
      <c r="K194" s="116"/>
      <c r="L194" s="116"/>
      <c r="M194" s="121"/>
      <c r="N194" s="121"/>
      <c r="O194" s="68"/>
      <c r="P194" s="68"/>
      <c r="Q194" s="123" t="s">
        <v>61</v>
      </c>
      <c r="R194" s="65"/>
      <c r="S194" s="47"/>
      <c r="T194" s="47"/>
      <c r="U194" s="47"/>
      <c r="V194" s="47"/>
      <c r="W194" s="47"/>
      <c r="X194" s="47"/>
      <c r="Y194" s="47"/>
      <c r="Z194" s="47"/>
      <c r="AA194" s="47"/>
      <c r="AB194" s="47"/>
      <c r="AE194" s="47"/>
      <c r="AQ194" s="42"/>
      <c r="AR194" s="42"/>
      <c r="AS194" s="42"/>
      <c r="AT194" s="42"/>
    </row>
    <row r="195" spans="2:46" ht="15" hidden="1" customHeight="1" outlineLevel="1" x14ac:dyDescent="0.15">
      <c r="B195" s="55" t="s">
        <v>68</v>
      </c>
      <c r="C195" s="55"/>
      <c r="D195" s="55"/>
      <c r="E195" s="116">
        <v>-3.2000000000000001E-2</v>
      </c>
      <c r="F195" s="116">
        <v>-0.38900000000000001</v>
      </c>
      <c r="G195" s="116">
        <v>-1.0760000000000001</v>
      </c>
      <c r="H195" s="116">
        <v>3.5150000000000001</v>
      </c>
      <c r="I195" s="116">
        <v>-0.45400000000000001</v>
      </c>
      <c r="J195" s="116">
        <v>-1.22</v>
      </c>
      <c r="K195" s="116"/>
      <c r="L195" s="116"/>
      <c r="M195" s="116"/>
      <c r="N195" s="116"/>
      <c r="O195" s="68"/>
      <c r="P195" s="68"/>
      <c r="Q195" s="123" t="s">
        <v>68</v>
      </c>
      <c r="R195" s="68"/>
      <c r="AQ195" s="53"/>
      <c r="AR195" s="53"/>
      <c r="AS195" s="53"/>
      <c r="AT195" s="53"/>
    </row>
    <row r="196" spans="2:46" ht="15" hidden="1" customHeight="1" outlineLevel="1" x14ac:dyDescent="0.15">
      <c r="B196" s="55" t="s">
        <v>106</v>
      </c>
      <c r="C196" s="55"/>
      <c r="D196" s="55"/>
      <c r="E196" s="116">
        <v>9.3219999999999992</v>
      </c>
      <c r="F196" s="116">
        <v>5.1260000000000003</v>
      </c>
      <c r="G196" s="116">
        <v>0.71499999999999997</v>
      </c>
      <c r="H196" s="116">
        <v>1.4259999999999999</v>
      </c>
      <c r="I196" s="116">
        <v>1.4850000000000001</v>
      </c>
      <c r="J196" s="116">
        <v>9.6959999999999997</v>
      </c>
      <c r="K196" s="116"/>
      <c r="L196" s="116"/>
      <c r="M196" s="116"/>
      <c r="N196" s="116"/>
      <c r="O196" s="68"/>
      <c r="P196" s="68"/>
      <c r="Q196" s="123" t="s">
        <v>106</v>
      </c>
      <c r="R196" s="68"/>
      <c r="AQ196" s="53"/>
      <c r="AR196" s="53"/>
      <c r="AS196" s="53"/>
      <c r="AT196" s="53"/>
    </row>
    <row r="197" spans="2:46" ht="15" hidden="1" customHeight="1" outlineLevel="1" x14ac:dyDescent="0.15">
      <c r="B197" s="55" t="s">
        <v>107</v>
      </c>
      <c r="C197" s="55"/>
      <c r="D197" s="55"/>
      <c r="E197" s="116">
        <v>46.591000000000001</v>
      </c>
      <c r="F197" s="116">
        <v>30.927</v>
      </c>
      <c r="G197" s="116">
        <v>28.059999000000001</v>
      </c>
      <c r="H197" s="116">
        <v>24.725000000000001</v>
      </c>
      <c r="I197" s="116">
        <v>29.83</v>
      </c>
      <c r="J197" s="116">
        <v>17.902999999999999</v>
      </c>
      <c r="K197" s="116"/>
      <c r="L197" s="116"/>
      <c r="M197" s="116"/>
      <c r="N197" s="116"/>
      <c r="O197" s="68"/>
      <c r="P197" s="68"/>
      <c r="Q197" s="123" t="s">
        <v>107</v>
      </c>
      <c r="R197" s="68"/>
      <c r="AQ197" s="53"/>
      <c r="AR197" s="53"/>
      <c r="AS197" s="53"/>
      <c r="AT197" s="53"/>
    </row>
    <row r="198" spans="2:46" ht="15" hidden="1" customHeight="1" outlineLevel="1" x14ac:dyDescent="0.15">
      <c r="B198" s="55" t="s">
        <v>108</v>
      </c>
      <c r="C198" s="55"/>
      <c r="D198" s="55"/>
      <c r="E198" s="121"/>
      <c r="F198" s="121"/>
      <c r="G198" s="121"/>
      <c r="H198" s="121"/>
      <c r="I198" s="121"/>
      <c r="J198" s="121"/>
      <c r="K198" s="121"/>
      <c r="L198" s="121"/>
      <c r="M198" s="121"/>
      <c r="N198" s="121"/>
      <c r="O198" s="68"/>
      <c r="P198" s="68"/>
      <c r="Q198" s="123" t="s">
        <v>108</v>
      </c>
      <c r="R198" s="68"/>
      <c r="AQ198" s="43"/>
      <c r="AR198" s="43"/>
      <c r="AS198" s="43"/>
      <c r="AT198" s="43"/>
    </row>
    <row r="199" spans="2:46" ht="15" hidden="1" customHeight="1" outlineLevel="1" x14ac:dyDescent="0.15">
      <c r="B199" s="55" t="s">
        <v>74</v>
      </c>
      <c r="C199" s="55"/>
      <c r="D199" s="55"/>
      <c r="E199" s="121"/>
      <c r="F199" s="121"/>
      <c r="G199" s="121"/>
      <c r="H199" s="116">
        <v>-0.501</v>
      </c>
      <c r="I199" s="116">
        <v>7.343</v>
      </c>
      <c r="J199" s="116">
        <v>1.4550000000000001</v>
      </c>
      <c r="K199" s="116"/>
      <c r="L199" s="116"/>
      <c r="M199" s="116"/>
      <c r="N199" s="116"/>
      <c r="O199" s="68"/>
      <c r="P199" s="68"/>
      <c r="Q199" s="123" t="s">
        <v>74</v>
      </c>
      <c r="R199" s="68"/>
      <c r="AQ199" s="49"/>
      <c r="AR199" s="49"/>
      <c r="AS199" s="49"/>
      <c r="AT199" s="49"/>
    </row>
    <row r="200" spans="2:46" ht="15" customHeight="1" x14ac:dyDescent="0.15">
      <c r="E200" s="68"/>
      <c r="F200" s="68"/>
      <c r="G200" s="68"/>
      <c r="H200" s="68"/>
      <c r="I200" s="68"/>
      <c r="J200" s="68"/>
      <c r="K200" s="68"/>
      <c r="L200" s="68"/>
      <c r="M200" s="68"/>
      <c r="N200" s="68"/>
      <c r="O200" s="68"/>
      <c r="P200" s="68"/>
      <c r="Q200" s="68"/>
      <c r="R200" s="68"/>
      <c r="AQ200" s="49"/>
      <c r="AR200" s="49"/>
      <c r="AS200" s="49"/>
      <c r="AT200" s="49"/>
    </row>
    <row r="201" spans="2:46" ht="15" customHeight="1" x14ac:dyDescent="0.15">
      <c r="E201" s="68"/>
      <c r="F201" s="68"/>
      <c r="G201" s="68"/>
      <c r="H201" s="68"/>
      <c r="I201" s="68"/>
      <c r="J201" s="68"/>
      <c r="K201" s="68"/>
      <c r="L201" s="68"/>
      <c r="M201" s="68"/>
      <c r="N201" s="68"/>
      <c r="O201" s="68"/>
      <c r="P201" s="68"/>
      <c r="Q201" s="68"/>
      <c r="R201" s="68"/>
      <c r="AQ201" s="49"/>
      <c r="AR201" s="49"/>
      <c r="AS201" s="49"/>
      <c r="AT201" s="49"/>
    </row>
    <row r="202" spans="2:46" ht="15" customHeight="1" x14ac:dyDescent="0.15">
      <c r="E202" s="68"/>
      <c r="F202" s="68"/>
      <c r="G202" s="68"/>
      <c r="H202" s="68"/>
      <c r="I202" s="68"/>
      <c r="J202" s="68"/>
      <c r="K202" s="68"/>
      <c r="L202" s="68"/>
      <c r="M202" s="68"/>
      <c r="N202" s="68"/>
      <c r="O202" s="68"/>
      <c r="P202" s="68"/>
      <c r="Q202" s="68"/>
      <c r="R202" s="68"/>
      <c r="AQ202" s="41"/>
      <c r="AR202" s="49"/>
      <c r="AS202" s="49"/>
      <c r="AT202" s="41"/>
    </row>
    <row r="203" spans="2:46" ht="15" customHeight="1" x14ac:dyDescent="0.15">
      <c r="E203" s="68"/>
      <c r="F203" s="68"/>
      <c r="G203" s="68"/>
      <c r="H203" s="68"/>
      <c r="I203" s="68"/>
      <c r="J203" s="68"/>
      <c r="K203" s="68"/>
      <c r="L203" s="68"/>
      <c r="M203" s="68"/>
      <c r="N203" s="68"/>
      <c r="O203" s="68"/>
      <c r="P203" s="68"/>
      <c r="Q203" s="68"/>
      <c r="R203" s="68"/>
      <c r="AQ203" s="41"/>
      <c r="AR203" s="41"/>
      <c r="AS203" s="41"/>
      <c r="AT203" s="41"/>
    </row>
    <row r="204" spans="2:46" ht="15" customHeight="1" x14ac:dyDescent="0.15">
      <c r="E204" s="68"/>
      <c r="F204" s="68"/>
      <c r="G204" s="68"/>
      <c r="H204" s="68"/>
      <c r="I204" s="68"/>
      <c r="J204" s="68"/>
      <c r="K204" s="68"/>
      <c r="L204" s="68"/>
      <c r="M204" s="68"/>
      <c r="N204" s="68"/>
      <c r="O204" s="68"/>
      <c r="P204" s="68"/>
      <c r="Q204" s="68"/>
      <c r="R204" s="68"/>
    </row>
    <row r="205" spans="2:46" ht="15" customHeight="1" x14ac:dyDescent="0.15">
      <c r="E205" s="68"/>
      <c r="F205" s="68"/>
      <c r="G205" s="68"/>
      <c r="H205" s="68"/>
      <c r="I205" s="68"/>
      <c r="J205" s="68"/>
      <c r="K205" s="121"/>
      <c r="L205" s="121"/>
      <c r="M205" s="121"/>
      <c r="N205" s="116"/>
      <c r="O205" s="121"/>
      <c r="P205" s="116"/>
      <c r="Q205" s="116"/>
      <c r="R205" s="116"/>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x14ac:dyDescent="0.15">
      <c r="E206" s="113"/>
      <c r="F206" s="113"/>
      <c r="G206" s="116"/>
      <c r="H206" s="116"/>
      <c r="I206" s="116"/>
      <c r="J206" s="113"/>
      <c r="K206" s="121"/>
      <c r="L206" s="121"/>
      <c r="M206" s="116"/>
      <c r="N206" s="116"/>
      <c r="O206" s="121"/>
      <c r="P206" s="116"/>
      <c r="Q206" s="116"/>
      <c r="R206" s="116"/>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x14ac:dyDescent="0.15">
      <c r="E207" s="113"/>
      <c r="F207" s="113"/>
      <c r="G207" s="116"/>
      <c r="H207" s="116"/>
      <c r="I207" s="116"/>
      <c r="J207" s="113"/>
      <c r="K207" s="121"/>
      <c r="L207" s="121"/>
      <c r="M207" s="116"/>
      <c r="N207" s="116"/>
      <c r="O207" s="116"/>
      <c r="P207" s="116"/>
      <c r="Q207" s="116"/>
      <c r="R207" s="116"/>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x14ac:dyDescent="0.15">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x14ac:dyDescent="0.15">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x14ac:dyDescent="0.15">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5">
    <mergeCell ref="B9:D9"/>
    <mergeCell ref="B15:E15"/>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86:G86"/>
    <mergeCell ref="K86:O86"/>
    <mergeCell ref="C87:G87"/>
    <mergeCell ref="K87:O87"/>
    <mergeCell ref="C95:G95"/>
    <mergeCell ref="K95:O95"/>
    <mergeCell ref="C96:G96"/>
    <mergeCell ref="K96:O96"/>
    <mergeCell ref="B84:O84"/>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QLYS-US</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2022-03-11T02:50:33Z</dcterms:modified>
  <cp:category/>
</cp:coreProperties>
</file>