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Аналитика\"/>
    </mc:Choice>
  </mc:AlternateContent>
  <bookViews>
    <workbookView xWindow="-108" yWindow="-108" windowWidth="23256" windowHeight="12576"/>
  </bookViews>
  <sheets>
    <sheet name="ДЗ-3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83" i="2" l="1"/>
  <c r="K81" i="2"/>
  <c r="S80" i="2"/>
  <c r="U33" i="2" l="1"/>
  <c r="U32" i="2"/>
  <c r="N2" i="2"/>
  <c r="V28" i="2"/>
  <c r="V20" i="2"/>
  <c r="V21" i="2"/>
  <c r="V22" i="2"/>
  <c r="V23" i="2"/>
  <c r="V24" i="2"/>
  <c r="V25" i="2"/>
  <c r="V26" i="2"/>
  <c r="V27" i="2"/>
  <c r="V19" i="2"/>
  <c r="U19" i="2"/>
  <c r="U28" i="2"/>
  <c r="U20" i="2"/>
  <c r="U21" i="2"/>
  <c r="U22" i="2"/>
  <c r="U23" i="2"/>
  <c r="U24" i="2"/>
  <c r="U25" i="2"/>
  <c r="U26" i="2"/>
  <c r="U27" i="2"/>
  <c r="T19" i="2"/>
  <c r="T28" i="2"/>
  <c r="T27" i="2"/>
  <c r="T20" i="2"/>
  <c r="T21" i="2"/>
  <c r="T22" i="2"/>
  <c r="T23" i="2"/>
  <c r="T24" i="2"/>
  <c r="T25" i="2"/>
  <c r="T26" i="2"/>
  <c r="O60" i="2" l="1"/>
  <c r="R76" i="2"/>
  <c r="R74" i="2"/>
  <c r="R70" i="2"/>
  <c r="O80" i="2"/>
  <c r="N76" i="2"/>
  <c r="N74" i="2"/>
  <c r="M70" i="2"/>
  <c r="J83" i="2"/>
  <c r="J82" i="2"/>
  <c r="J81" i="2"/>
  <c r="J80" i="2"/>
  <c r="H83" i="2"/>
  <c r="H82" i="2"/>
  <c r="H81" i="2"/>
  <c r="H80" i="2"/>
  <c r="H79" i="2"/>
  <c r="K76" i="2"/>
  <c r="K74" i="2"/>
  <c r="K71" i="2"/>
  <c r="L68" i="2"/>
  <c r="I77" i="2"/>
  <c r="I74" i="2"/>
  <c r="I72" i="2"/>
  <c r="I70" i="2"/>
  <c r="I67" i="2"/>
  <c r="S60" i="2"/>
  <c r="R56" i="2"/>
  <c r="N56" i="2"/>
  <c r="R53" i="2"/>
  <c r="R49" i="2"/>
  <c r="N53" i="2"/>
  <c r="M49" i="2"/>
  <c r="J52" i="2"/>
  <c r="J51" i="2"/>
  <c r="J50" i="2"/>
  <c r="J49" i="2"/>
  <c r="J48" i="2"/>
  <c r="O44" i="2"/>
  <c r="O43" i="2"/>
  <c r="O42" i="2"/>
  <c r="O41" i="2"/>
  <c r="O35" i="2"/>
  <c r="O34" i="2"/>
  <c r="O33" i="2"/>
  <c r="O32" i="2"/>
  <c r="O31" i="2" l="1"/>
  <c r="M30" i="2"/>
  <c r="Q24" i="2"/>
  <c r="N8" i="2"/>
  <c r="N9" i="2"/>
  <c r="N10" i="2"/>
  <c r="N11" i="2"/>
  <c r="N12" i="2"/>
  <c r="N13" i="2"/>
  <c r="N14" i="2"/>
  <c r="N15" i="2"/>
  <c r="N7" i="2"/>
  <c r="Q20" i="2"/>
  <c r="J36" i="2"/>
  <c r="L28" i="2"/>
  <c r="J28" i="2"/>
  <c r="K24" i="2"/>
  <c r="J20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6" i="2"/>
  <c r="O18" i="2"/>
  <c r="I18" i="2"/>
  <c r="Q8" i="2" l="1"/>
  <c r="Q9" i="2"/>
  <c r="Q10" i="2"/>
  <c r="Q11" i="2"/>
  <c r="Q12" i="2"/>
  <c r="Q13" i="2"/>
  <c r="Q14" i="2"/>
  <c r="Q15" i="2"/>
  <c r="Q7" i="2"/>
  <c r="P8" i="2"/>
  <c r="P9" i="2"/>
  <c r="P10" i="2"/>
  <c r="P11" i="2"/>
  <c r="P12" i="2"/>
  <c r="P13" i="2"/>
  <c r="P14" i="2"/>
  <c r="P15" i="2"/>
  <c r="P7" i="2"/>
  <c r="O9" i="2"/>
  <c r="O10" i="2" s="1"/>
  <c r="O11" i="2" s="1"/>
  <c r="O12" i="2" s="1"/>
  <c r="O13" i="2" s="1"/>
  <c r="O14" i="2" s="1"/>
  <c r="O15" i="2" s="1"/>
  <c r="O8" i="2"/>
  <c r="M8" i="2"/>
  <c r="M9" i="2"/>
  <c r="M10" i="2"/>
  <c r="M11" i="2"/>
  <c r="M12" i="2"/>
  <c r="M13" i="2"/>
  <c r="M14" i="2"/>
  <c r="M15" i="2"/>
  <c r="M7" i="2"/>
  <c r="L8" i="2"/>
  <c r="L9" i="2"/>
  <c r="L10" i="2"/>
  <c r="L11" i="2"/>
  <c r="L12" i="2"/>
  <c r="L13" i="2"/>
  <c r="L14" i="2"/>
  <c r="L15" i="2"/>
  <c r="L7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T2" i="2"/>
  <c r="T3" i="2" s="1"/>
  <c r="T1" i="2"/>
  <c r="AA7" i="2" l="1"/>
  <c r="U4" i="2"/>
  <c r="T14" i="2" s="1"/>
  <c r="V14" i="2" s="1"/>
  <c r="T15" i="2" s="1"/>
  <c r="V15" i="2" s="1"/>
</calcChain>
</file>

<file path=xl/sharedStrings.xml><?xml version="1.0" encoding="utf-8"?>
<sst xmlns="http://schemas.openxmlformats.org/spreadsheetml/2006/main" count="153" uniqueCount="133">
  <si>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min</t>
    </r>
    <r>
      <rPr>
        <sz val="14"/>
        <color theme="1"/>
        <rFont val="Times New Roman"/>
        <family val="1"/>
        <charset val="204"/>
      </rPr>
      <t xml:space="preserve"> =</t>
    </r>
  </si>
  <si>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max</t>
    </r>
    <r>
      <rPr>
        <sz val="14"/>
        <color theme="1"/>
        <rFont val="Times New Roman"/>
        <family val="1"/>
        <charset val="204"/>
      </rPr>
      <t xml:space="preserve"> =</t>
    </r>
  </si>
  <si>
    <t>R (размах)=</t>
  </si>
  <si>
    <r>
      <rPr>
        <i/>
        <sz val="14"/>
        <color theme="1"/>
        <rFont val="Times New Roman"/>
        <family val="1"/>
        <charset val="204"/>
      </rPr>
      <t>x</t>
    </r>
    <r>
      <rPr>
        <i/>
        <sz val="10"/>
        <color theme="1"/>
        <rFont val="Times New Roman"/>
        <family val="1"/>
        <charset val="204"/>
      </rPr>
      <t>max</t>
    </r>
    <r>
      <rPr>
        <i/>
        <sz val="14"/>
        <color theme="1"/>
        <rFont val="Times New Roman"/>
        <family val="1"/>
        <charset val="204"/>
      </rPr>
      <t>-x</t>
    </r>
    <r>
      <rPr>
        <i/>
        <sz val="9"/>
        <color theme="1"/>
        <rFont val="Times New Roman"/>
        <family val="1"/>
        <charset val="204"/>
      </rPr>
      <t>min</t>
    </r>
  </si>
  <si>
    <t xml:space="preserve">Объем основных фондов (млн. руб.) 100 промышленных предприятий </t>
  </si>
  <si>
    <t>h=</t>
  </si>
  <si>
    <t>млн.руб-</t>
  </si>
  <si>
    <t>Значения</t>
  </si>
  <si>
    <t>Вариационный ряд</t>
  </si>
  <si>
    <t>Границы интервалов</t>
  </si>
  <si>
    <t>Частота</t>
  </si>
  <si>
    <t>n=</t>
  </si>
  <si>
    <t>Определение длины интервала по формуле Стерджеса</t>
  </si>
  <si>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min</t>
    </r>
    <r>
      <rPr>
        <sz val="14"/>
        <color theme="1"/>
        <rFont val="Times New Roman"/>
        <family val="1"/>
        <charset val="204"/>
      </rPr>
      <t xml:space="preserve"> </t>
    </r>
  </si>
  <si>
    <t>интервалы ai ÷ bi:</t>
  </si>
  <si>
    <t xml:space="preserve">Середина интервала (ai + bi)/2  </t>
  </si>
  <si>
    <t>частота
mi</t>
  </si>
  <si>
    <t>xi*mi</t>
  </si>
  <si>
    <t>mi / xi</t>
  </si>
  <si>
    <r>
      <rPr>
        <b/>
        <sz val="11"/>
        <color theme="1"/>
        <rFont val="Times New Roman"/>
        <family val="1"/>
        <charset val="204"/>
      </rPr>
      <t xml:space="preserve">накопленная  частота </t>
    </r>
    <r>
      <rPr>
        <b/>
        <i/>
        <sz val="11"/>
        <color theme="1"/>
        <rFont val="Times New Roman"/>
        <family val="1"/>
        <charset val="204"/>
      </rPr>
      <t>m</t>
    </r>
    <r>
      <rPr>
        <b/>
        <i/>
        <vertAlign val="subscript"/>
        <sz val="11"/>
        <color theme="1"/>
        <rFont val="Times New Roman"/>
        <family val="1"/>
        <charset val="204"/>
      </rPr>
      <t>нi</t>
    </r>
  </si>
  <si>
    <t>относительная частота
wi=mi /n</t>
  </si>
  <si>
    <t xml:space="preserve">относительная накопленная частота
wiн=mi н/n
</t>
  </si>
  <si>
    <r>
      <rPr>
        <i/>
        <sz val="12"/>
        <color theme="1"/>
        <rFont val="Times New Roman"/>
        <family val="1"/>
        <charset val="204"/>
      </rPr>
      <t>Определение граничных значений интервалов</t>
    </r>
    <r>
      <rPr>
        <sz val="12"/>
        <color theme="1"/>
        <rFont val="Times New Roman"/>
        <family val="1"/>
        <charset val="204"/>
      </rPr>
      <t xml:space="preserve"> </t>
    </r>
  </si>
  <si>
    <t xml:space="preserve">-нижняя граница интервала с рекомендуемым отступом на полшага влево от нижнего предела </t>
  </si>
  <si>
    <r>
      <rPr>
        <i/>
        <sz val="13"/>
        <color theme="1"/>
        <rFont val="Times New Roman"/>
        <family val="1"/>
        <charset val="204"/>
      </rPr>
      <t>b</t>
    </r>
    <r>
      <rPr>
        <i/>
        <vertAlign val="subscript"/>
        <sz val="13"/>
        <color theme="1"/>
        <rFont val="Times New Roman"/>
        <family val="1"/>
        <charset val="204"/>
      </rPr>
      <t>1</t>
    </r>
    <r>
      <rPr>
        <i/>
        <sz val="13"/>
        <color theme="1"/>
        <rFont val="Times New Roman"/>
        <family val="1"/>
        <charset val="204"/>
      </rPr>
      <t>= a</t>
    </r>
    <r>
      <rPr>
        <i/>
        <vertAlign val="subscript"/>
        <sz val="13"/>
        <color theme="1"/>
        <rFont val="Times New Roman"/>
        <family val="1"/>
        <charset val="204"/>
      </rPr>
      <t>1</t>
    </r>
    <r>
      <rPr>
        <i/>
        <sz val="13"/>
        <color theme="1"/>
        <rFont val="Times New Roman"/>
        <family val="1"/>
        <charset val="204"/>
      </rPr>
      <t>+h</t>
    </r>
  </si>
  <si>
    <t>-верхняя граница i-го интервала (причем ai+1=bi), то b2=a2+h, b3=a3+h  и т.д</t>
  </si>
  <si>
    <r>
      <rPr>
        <sz val="16"/>
        <color theme="1"/>
        <rFont val="Calibri"/>
        <family val="2"/>
        <charset val="204"/>
      </rPr>
      <t>a</t>
    </r>
    <r>
      <rPr>
        <sz val="9"/>
        <color theme="1"/>
        <rFont val="Calibri"/>
        <family val="2"/>
        <charset val="204"/>
      </rPr>
      <t>1</t>
    </r>
  </si>
  <si>
    <r>
      <rPr>
        <sz val="16"/>
        <color theme="1"/>
        <rFont val="Calibri"/>
        <family val="2"/>
        <charset val="204"/>
      </rPr>
      <t>b</t>
    </r>
    <r>
      <rPr>
        <sz val="9"/>
        <color theme="1"/>
        <rFont val="Calibri"/>
        <family val="2"/>
        <charset val="204"/>
      </rPr>
      <t>1</t>
    </r>
  </si>
  <si>
    <t>вариационный ряд -&gt;</t>
  </si>
  <si>
    <r>
      <rPr>
        <sz val="16"/>
        <color theme="1"/>
        <rFont val="Calibri"/>
        <family val="2"/>
        <charset val="204"/>
      </rPr>
      <t>a</t>
    </r>
    <r>
      <rPr>
        <sz val="9"/>
        <color theme="1"/>
        <rFont val="Calibri"/>
        <family val="2"/>
        <charset val="204"/>
      </rPr>
      <t>2</t>
    </r>
  </si>
  <si>
    <r>
      <rPr>
        <sz val="16"/>
        <color theme="1"/>
        <rFont val="Calibri"/>
        <family val="2"/>
        <charset val="204"/>
      </rPr>
      <t>b</t>
    </r>
    <r>
      <rPr>
        <sz val="9"/>
        <color theme="1"/>
        <rFont val="Calibri"/>
        <family val="2"/>
        <charset val="204"/>
      </rPr>
      <t>2</t>
    </r>
  </si>
  <si>
    <t>Средняя арифметическая по исходным данным (невзвешенная):</t>
  </si>
  <si>
    <t xml:space="preserve">Средняя арифметическая для сгруппированных данных - интервального ряда </t>
  </si>
  <si>
    <t>(взвешенная):</t>
  </si>
  <si>
    <t>Средняя гармоническая невзвешенная</t>
  </si>
  <si>
    <t>Средняя гармоническая взвеш.</t>
  </si>
  <si>
    <t>Средняя геометрическая невзвешенная</t>
  </si>
  <si>
    <t>Средняя геометрическая взвешенная</t>
  </si>
  <si>
    <t>произведение всех xi^ mi</t>
  </si>
  <si>
    <t xml:space="preserve">Медиана по исходным данным </t>
  </si>
  <si>
    <t>Медиана по интервальному ряду распределения</t>
  </si>
  <si>
    <t xml:space="preserve">или </t>
  </si>
  <si>
    <t>-интервал, накопленная частота которого превышает половину общей суммы частот (100/2)</t>
  </si>
  <si>
    <t xml:space="preserve">значит: </t>
  </si>
  <si>
    <r>
      <rPr>
        <sz val="11"/>
        <color rgb="FF000000"/>
        <rFont val="Calibri"/>
        <family val="2"/>
        <charset val="204"/>
      </rPr>
      <t>a</t>
    </r>
    <r>
      <rPr>
        <vertAlign val="subscript"/>
        <sz val="11"/>
        <color rgb="FF000000"/>
        <rFont val="Calibri"/>
        <family val="2"/>
        <charset val="204"/>
      </rPr>
      <t>Me</t>
    </r>
  </si>
  <si>
    <t xml:space="preserve">-нижняя граница медианного интервала </t>
  </si>
  <si>
    <t>h</t>
  </si>
  <si>
    <r>
      <rPr>
        <b/>
        <i/>
        <sz val="11"/>
        <color rgb="FF000000"/>
        <rFont val="Calibri"/>
        <family val="2"/>
        <charset val="204"/>
      </rPr>
      <t>m</t>
    </r>
    <r>
      <rPr>
        <b/>
        <i/>
        <vertAlign val="subscript"/>
        <sz val="11"/>
        <color rgb="FF000000"/>
        <rFont val="Calibri"/>
        <family val="2"/>
        <charset val="204"/>
      </rPr>
      <t xml:space="preserve">Me </t>
    </r>
  </si>
  <si>
    <t>-частота медианного интервала</t>
  </si>
  <si>
    <r>
      <rPr>
        <b/>
        <i/>
        <sz val="11"/>
        <color rgb="FF000000"/>
        <rFont val="Calibri"/>
        <family val="2"/>
        <charset val="204"/>
      </rPr>
      <t>m</t>
    </r>
    <r>
      <rPr>
        <b/>
        <i/>
        <vertAlign val="superscript"/>
        <sz val="11"/>
        <color rgb="FF000000"/>
        <rFont val="Calibri"/>
        <family val="2"/>
        <charset val="204"/>
      </rPr>
      <t>н</t>
    </r>
    <r>
      <rPr>
        <b/>
        <i/>
        <vertAlign val="subscript"/>
        <sz val="11"/>
        <color rgb="FF000000"/>
        <rFont val="Calibri"/>
        <family val="2"/>
        <charset val="204"/>
      </rPr>
      <t>Me-1</t>
    </r>
    <r>
      <rPr>
        <sz val="11"/>
        <color rgb="FF000000"/>
        <rFont val="Calibri"/>
        <family val="2"/>
        <charset val="204"/>
      </rPr>
      <t xml:space="preserve"> </t>
    </r>
  </si>
  <si>
    <t>-накопленная частота интервала, предшествующего медианному</t>
  </si>
  <si>
    <r>
      <rPr>
        <sz val="11"/>
        <color theme="1"/>
        <rFont val="Calibri"/>
        <family val="2"/>
        <charset val="204"/>
      </rPr>
      <t xml:space="preserve">Тогда </t>
    </r>
    <r>
      <rPr>
        <b/>
        <sz val="12"/>
        <color theme="1"/>
        <rFont val="Calibri"/>
        <family val="2"/>
        <charset val="204"/>
      </rPr>
      <t>Me</t>
    </r>
    <r>
      <rPr>
        <sz val="11"/>
        <color theme="1"/>
        <rFont val="Calibri"/>
        <family val="2"/>
        <charset val="204"/>
      </rPr>
      <t>=</t>
    </r>
  </si>
  <si>
    <t xml:space="preserve">                 </t>
  </si>
  <si>
    <t xml:space="preserve">Мода по исходным данным </t>
  </si>
  <si>
    <t xml:space="preserve">данное значение </t>
  </si>
  <si>
    <t>Мода по интервальному ряду распределения</t>
  </si>
  <si>
    <t>встречается</t>
  </si>
  <si>
    <t xml:space="preserve">наиболее часто </t>
  </si>
  <si>
    <t xml:space="preserve">интервал, имеющий наибольшую частоту </t>
  </si>
  <si>
    <r>
      <rPr>
        <sz val="11"/>
        <color rgb="FF000000"/>
        <rFont val="Calibri"/>
        <family val="2"/>
        <charset val="204"/>
      </rPr>
      <t>a</t>
    </r>
    <r>
      <rPr>
        <vertAlign val="subscript"/>
        <sz val="11"/>
        <color rgb="FF000000"/>
        <rFont val="Calibri"/>
        <family val="2"/>
        <charset val="204"/>
      </rPr>
      <t>Mо</t>
    </r>
  </si>
  <si>
    <t>-нижняя граница модального интервала</t>
  </si>
  <si>
    <r>
      <rPr>
        <b/>
        <i/>
        <sz val="11"/>
        <color rgb="FF000000"/>
        <rFont val="Calibri"/>
        <family val="2"/>
        <charset val="204"/>
      </rPr>
      <t>m</t>
    </r>
    <r>
      <rPr>
        <b/>
        <i/>
        <vertAlign val="subscript"/>
        <sz val="11"/>
        <color rgb="FF000000"/>
        <rFont val="Calibri"/>
        <family val="2"/>
        <charset val="204"/>
      </rPr>
      <t xml:space="preserve">Mо </t>
    </r>
  </si>
  <si>
    <t>-частота модального интервала</t>
  </si>
  <si>
    <r>
      <rPr>
        <b/>
        <i/>
        <sz val="11"/>
        <color rgb="FF000000"/>
        <rFont val="Calibri"/>
        <family val="2"/>
        <charset val="204"/>
      </rPr>
      <t>m</t>
    </r>
    <r>
      <rPr>
        <b/>
        <i/>
        <vertAlign val="subscript"/>
        <sz val="11"/>
        <color rgb="FF000000"/>
        <rFont val="Calibri"/>
        <family val="2"/>
        <charset val="204"/>
      </rPr>
      <t xml:space="preserve">Mо-1 </t>
    </r>
  </si>
  <si>
    <t>-частота интервала, предшествующего модальному</t>
  </si>
  <si>
    <r>
      <rPr>
        <b/>
        <i/>
        <sz val="11"/>
        <color rgb="FF000000"/>
        <rFont val="Calibri"/>
        <family val="2"/>
        <charset val="204"/>
      </rPr>
      <t>m</t>
    </r>
    <r>
      <rPr>
        <b/>
        <i/>
        <vertAlign val="subscript"/>
        <sz val="11"/>
        <color rgb="FF000000"/>
        <rFont val="Calibri"/>
        <family val="2"/>
        <charset val="204"/>
      </rPr>
      <t xml:space="preserve">Mо+1 </t>
    </r>
  </si>
  <si>
    <r>
      <rPr>
        <sz val="11"/>
        <color theme="1"/>
        <rFont val="Calibri"/>
        <family val="2"/>
        <charset val="204"/>
      </rPr>
      <t xml:space="preserve">Тогда </t>
    </r>
    <r>
      <rPr>
        <b/>
        <sz val="12"/>
        <color theme="1"/>
        <rFont val="Calibri"/>
        <family val="2"/>
        <charset val="204"/>
      </rPr>
      <t>Mо</t>
    </r>
    <r>
      <rPr>
        <sz val="11"/>
        <color theme="1"/>
        <rFont val="Calibri"/>
        <family val="2"/>
        <charset val="204"/>
      </rPr>
      <t>=</t>
    </r>
  </si>
  <si>
    <t xml:space="preserve">Квартиль по исходным данным </t>
  </si>
  <si>
    <t>позиция в</t>
  </si>
  <si>
    <t>Квартиль по интервальному ряду распределения</t>
  </si>
  <si>
    <t>наборе данных</t>
  </si>
  <si>
    <t>или</t>
  </si>
  <si>
    <t>Минимум</t>
  </si>
  <si>
    <t>Q1</t>
  </si>
  <si>
    <t xml:space="preserve">-интервал опред-тся по накопленной частоте, </t>
  </si>
  <si>
    <t>Q2</t>
  </si>
  <si>
    <t>первой превыш-ей 25%  от общей суммы частот</t>
  </si>
  <si>
    <t>первой превыш-ей 75%  от общей суммы частот</t>
  </si>
  <si>
    <t>Q3</t>
  </si>
  <si>
    <t xml:space="preserve">-нижняя граница интервала, </t>
  </si>
  <si>
    <t>Максимум</t>
  </si>
  <si>
    <t>содержащего нижний квартиль</t>
  </si>
  <si>
    <t>содержащего верхний квартиль</t>
  </si>
  <si>
    <t>-частота интервала, содержащего</t>
  </si>
  <si>
    <t xml:space="preserve">, 25% объемов фондов лежат в интервале </t>
  </si>
  <si>
    <t xml:space="preserve"> нижний квартиль</t>
  </si>
  <si>
    <t>верхний квартиль</t>
  </si>
  <si>
    <t xml:space="preserve">-накопленная частота интервала, </t>
  </si>
  <si>
    <t xml:space="preserve">предшествующего интервалу, содержащему </t>
  </si>
  <si>
    <t>нижний квартиль</t>
  </si>
  <si>
    <r>
      <rPr>
        <b/>
        <sz val="14"/>
        <color theme="1"/>
        <rFont val="Calibri"/>
        <family val="2"/>
        <charset val="204"/>
      </rPr>
      <t>Q</t>
    </r>
    <r>
      <rPr>
        <sz val="10"/>
        <color theme="1"/>
        <rFont val="Calibri"/>
        <family val="2"/>
        <charset val="204"/>
      </rPr>
      <t>1</t>
    </r>
    <r>
      <rPr>
        <sz val="12"/>
        <color theme="1"/>
        <rFont val="Calibri"/>
        <family val="2"/>
        <charset val="204"/>
      </rPr>
      <t>=</t>
    </r>
  </si>
  <si>
    <t>примерно 25% значений</t>
  </si>
  <si>
    <r>
      <rPr>
        <b/>
        <sz val="14"/>
        <color theme="1"/>
        <rFont val="Calibri"/>
        <family val="2"/>
        <charset val="204"/>
      </rPr>
      <t>Q</t>
    </r>
    <r>
      <rPr>
        <sz val="10"/>
        <color theme="1"/>
        <rFont val="Calibri"/>
        <family val="2"/>
        <charset val="204"/>
      </rPr>
      <t>3</t>
    </r>
    <r>
      <rPr>
        <sz val="12"/>
        <color theme="1"/>
        <rFont val="Calibri"/>
        <family val="2"/>
        <charset val="204"/>
      </rPr>
      <t>=</t>
    </r>
  </si>
  <si>
    <t xml:space="preserve"> в выборке меньше Q1,</t>
  </si>
  <si>
    <t xml:space="preserve"> остальные 75% - больше </t>
  </si>
  <si>
    <t xml:space="preserve">Дециль по исходным данным </t>
  </si>
  <si>
    <t>Дециль по интервальному ряду распределения</t>
  </si>
  <si>
    <t>первой превыш-ей 10%  от общей суммы частот</t>
  </si>
  <si>
    <t>первой превыш-ей 90%   от общей суммы частот</t>
  </si>
  <si>
    <t>содержащего первый дециль</t>
  </si>
  <si>
    <t>содержащего девятый дециль</t>
  </si>
  <si>
    <t>первый дециль</t>
  </si>
  <si>
    <t>девятый дециль</t>
  </si>
  <si>
    <r>
      <rPr>
        <b/>
        <sz val="14"/>
        <color theme="1"/>
        <rFont val="Calibri"/>
        <family val="2"/>
        <charset val="204"/>
      </rPr>
      <t>D</t>
    </r>
    <r>
      <rPr>
        <sz val="10"/>
        <color theme="1"/>
        <rFont val="Calibri"/>
        <family val="2"/>
        <charset val="204"/>
      </rPr>
      <t>1</t>
    </r>
    <r>
      <rPr>
        <sz val="12"/>
        <color theme="1"/>
        <rFont val="Calibri"/>
        <family val="2"/>
        <charset val="204"/>
      </rPr>
      <t>=</t>
    </r>
  </si>
  <si>
    <r>
      <rPr>
        <b/>
        <sz val="14"/>
        <color theme="1"/>
        <rFont val="Calibri"/>
        <family val="2"/>
        <charset val="204"/>
      </rPr>
      <t>D</t>
    </r>
    <r>
      <rPr>
        <sz val="10"/>
        <color theme="1"/>
        <rFont val="Calibri"/>
        <family val="2"/>
        <charset val="204"/>
      </rPr>
      <t>2</t>
    </r>
    <r>
      <rPr>
        <sz val="12"/>
        <color theme="1"/>
        <rFont val="Calibri"/>
        <family val="2"/>
        <charset val="204"/>
      </rPr>
      <t>=</t>
    </r>
  </si>
  <si>
    <r>
      <rPr>
        <b/>
        <sz val="14"/>
        <color theme="1"/>
        <rFont val="Calibri"/>
        <family val="2"/>
        <charset val="204"/>
      </rPr>
      <t>D</t>
    </r>
    <r>
      <rPr>
        <sz val="10"/>
        <color theme="1"/>
        <rFont val="Calibri"/>
        <family val="2"/>
        <charset val="204"/>
      </rPr>
      <t>6</t>
    </r>
    <r>
      <rPr>
        <sz val="12"/>
        <color theme="1"/>
        <rFont val="Calibri"/>
        <family val="2"/>
        <charset val="204"/>
      </rPr>
      <t>=</t>
    </r>
  </si>
  <si>
    <r>
      <rPr>
        <b/>
        <sz val="14"/>
        <color theme="1"/>
        <rFont val="Calibri"/>
        <family val="2"/>
        <charset val="204"/>
      </rPr>
      <t>d</t>
    </r>
    <r>
      <rPr>
        <sz val="10"/>
        <color theme="1"/>
        <rFont val="Calibri"/>
        <family val="2"/>
        <charset val="204"/>
      </rPr>
      <t>1</t>
    </r>
    <r>
      <rPr>
        <sz val="12"/>
        <color theme="1"/>
        <rFont val="Calibri"/>
        <family val="2"/>
        <charset val="204"/>
      </rPr>
      <t>=</t>
    </r>
  </si>
  <si>
    <r>
      <rPr>
        <b/>
        <sz val="14"/>
        <color theme="1"/>
        <rFont val="Calibri"/>
        <family val="2"/>
        <charset val="204"/>
      </rPr>
      <t>d</t>
    </r>
    <r>
      <rPr>
        <sz val="10"/>
        <color theme="1"/>
        <rFont val="Calibri"/>
        <family val="2"/>
        <charset val="204"/>
      </rPr>
      <t>9</t>
    </r>
    <r>
      <rPr>
        <sz val="12"/>
        <color theme="1"/>
        <rFont val="Calibri"/>
        <family val="2"/>
        <charset val="204"/>
      </rPr>
      <t>=</t>
    </r>
  </si>
  <si>
    <r>
      <rPr>
        <b/>
        <sz val="14"/>
        <color theme="1"/>
        <rFont val="Calibri"/>
        <family val="2"/>
        <charset val="204"/>
      </rPr>
      <t>D</t>
    </r>
    <r>
      <rPr>
        <sz val="10"/>
        <color theme="1"/>
        <rFont val="Calibri"/>
        <family val="2"/>
        <charset val="204"/>
      </rPr>
      <t>3</t>
    </r>
    <r>
      <rPr>
        <sz val="12"/>
        <color theme="1"/>
        <rFont val="Calibri"/>
        <family val="2"/>
        <charset val="204"/>
      </rPr>
      <t>=</t>
    </r>
  </si>
  <si>
    <r>
      <rPr>
        <b/>
        <sz val="14"/>
        <color theme="1"/>
        <rFont val="Calibri"/>
        <family val="2"/>
        <charset val="204"/>
      </rPr>
      <t>D</t>
    </r>
    <r>
      <rPr>
        <sz val="10"/>
        <color theme="1"/>
        <rFont val="Calibri"/>
        <family val="2"/>
        <charset val="204"/>
      </rPr>
      <t>7</t>
    </r>
    <r>
      <rPr>
        <sz val="12"/>
        <color theme="1"/>
        <rFont val="Calibri"/>
        <family val="2"/>
        <charset val="204"/>
      </rPr>
      <t>=</t>
    </r>
  </si>
  <si>
    <r>
      <rPr>
        <b/>
        <sz val="14"/>
        <color theme="1"/>
        <rFont val="Calibri"/>
        <family val="2"/>
        <charset val="204"/>
      </rPr>
      <t>D</t>
    </r>
    <r>
      <rPr>
        <sz val="10"/>
        <color theme="1"/>
        <rFont val="Calibri"/>
        <family val="2"/>
        <charset val="204"/>
      </rPr>
      <t>4</t>
    </r>
    <r>
      <rPr>
        <sz val="12"/>
        <color theme="1"/>
        <rFont val="Calibri"/>
        <family val="2"/>
        <charset val="204"/>
      </rPr>
      <t>=</t>
    </r>
  </si>
  <si>
    <r>
      <rPr>
        <b/>
        <sz val="14"/>
        <color theme="1"/>
        <rFont val="Calibri"/>
        <family val="2"/>
        <charset val="204"/>
      </rPr>
      <t>D</t>
    </r>
    <r>
      <rPr>
        <sz val="10"/>
        <color theme="1"/>
        <rFont val="Calibri"/>
        <family val="2"/>
        <charset val="204"/>
      </rPr>
      <t>8</t>
    </r>
    <r>
      <rPr>
        <sz val="12"/>
        <color theme="1"/>
        <rFont val="Calibri"/>
        <family val="2"/>
        <charset val="204"/>
      </rPr>
      <t>=</t>
    </r>
  </si>
  <si>
    <r>
      <rPr>
        <b/>
        <sz val="14"/>
        <color theme="1"/>
        <rFont val="Calibri"/>
        <family val="2"/>
        <charset val="204"/>
      </rPr>
      <t>D</t>
    </r>
    <r>
      <rPr>
        <sz val="10"/>
        <color theme="1"/>
        <rFont val="Calibri"/>
        <family val="2"/>
        <charset val="204"/>
      </rPr>
      <t>5</t>
    </r>
    <r>
      <rPr>
        <sz val="12"/>
        <color theme="1"/>
        <rFont val="Calibri"/>
        <family val="2"/>
        <charset val="204"/>
      </rPr>
      <t>=</t>
    </r>
  </si>
  <si>
    <r>
      <rPr>
        <b/>
        <sz val="14"/>
        <color theme="1"/>
        <rFont val="Calibri"/>
        <family val="2"/>
        <charset val="204"/>
      </rPr>
      <t>D</t>
    </r>
    <r>
      <rPr>
        <sz val="10"/>
        <color theme="1"/>
        <rFont val="Calibri"/>
        <family val="2"/>
        <charset val="204"/>
      </rPr>
      <t>9</t>
    </r>
    <r>
      <rPr>
        <sz val="12"/>
        <color theme="1"/>
        <rFont val="Calibri"/>
        <family val="2"/>
        <charset val="204"/>
      </rPr>
      <t>=</t>
    </r>
  </si>
  <si>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max</t>
    </r>
  </si>
  <si>
    <t>Таким образом, 25% объемов основных фондов меньше 5,33</t>
  </si>
  <si>
    <t xml:space="preserve">от 5,33 до 5,43 , 25% объемов фондов лежат </t>
  </si>
  <si>
    <t xml:space="preserve">в интервале от 5,43 до 5,44 , и 25% - в интервале </t>
  </si>
  <si>
    <t>от 5,54 до 5,85</t>
  </si>
  <si>
    <t xml:space="preserve">Таким образом, 25% объемов основных фондов меньше   5,33   </t>
  </si>
  <si>
    <t xml:space="preserve"> , 50% лежат в интервале от 5,33 до 5,57,</t>
  </si>
  <si>
    <t>и  25% больше 5,57</t>
  </si>
  <si>
    <t>(Xi-X)2*f</t>
  </si>
  <si>
    <t>(Xi-X)3*f</t>
  </si>
  <si>
    <t>(Xi-X)4*f</t>
  </si>
  <si>
    <t>ЦМ2</t>
  </si>
  <si>
    <t>ЦМ3</t>
  </si>
  <si>
    <t>ЦМ4</t>
  </si>
  <si>
    <t>Станд откл</t>
  </si>
  <si>
    <t>skewness</t>
  </si>
  <si>
    <t>kurtosis</t>
  </si>
  <si>
    <t>коэф ассиметрии и эксцесса</t>
  </si>
  <si>
    <t>Децильный коэф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</si>
</sst>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i/>
      <sz val="12"/>
      <color theme="1"/>
      <name val="Times New Roman"/>
      <family val="1"/>
      <charset val="204"/>
    </font>
    <font>
      <b/>
      <sz val="18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3"/>
      <color theme="1"/>
      <name val="Times New Roman"/>
      <family val="1"/>
      <charset val="204"/>
    </font>
    <font>
      <b/>
      <sz val="14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i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i/>
      <sz val="11"/>
      <color rgb="FF000000"/>
      <name val="Calibri"/>
      <family val="2"/>
      <charset val="204"/>
    </font>
    <font>
      <sz val="10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i/>
      <vertAlign val="subscript"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vertAlign val="subscript"/>
      <sz val="11"/>
      <color theme="1"/>
      <name val="Times New Roman"/>
      <family val="1"/>
      <charset val="204"/>
    </font>
    <font>
      <i/>
      <vertAlign val="subscript"/>
      <sz val="13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b/>
      <i/>
      <vertAlign val="subscript"/>
      <sz val="11"/>
      <color rgb="FF000000"/>
      <name val="Calibri"/>
      <family val="2"/>
      <charset val="204"/>
    </font>
    <font>
      <b/>
      <i/>
      <vertAlign val="superscript"/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4" fillId="0" borderId="0"/>
    <xf numFmtId="0" fontId="34" fillId="0" borderId="0"/>
  </cellStyleXfs>
  <cellXfs count="82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9" fillId="0" borderId="0" xfId="0" quotePrefix="1" applyFont="1"/>
    <xf numFmtId="0" fontId="4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10" fillId="0" borderId="0" xfId="0" applyFont="1"/>
    <xf numFmtId="0" fontId="4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/>
    <xf numFmtId="0" fontId="11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0" quotePrefix="1" applyFont="1"/>
    <xf numFmtId="0" fontId="14" fillId="0" borderId="0" xfId="0" applyFont="1"/>
    <xf numFmtId="0" fontId="8" fillId="0" borderId="0" xfId="0" quotePrefix="1" applyFont="1"/>
    <xf numFmtId="0" fontId="8" fillId="0" borderId="0" xfId="0" applyFont="1" applyAlignment="1">
      <alignment horizontal="right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15" fillId="0" borderId="0" xfId="0" applyFont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0" xfId="0" applyFont="1" applyAlignment="1">
      <alignment horizontal="left"/>
    </xf>
    <xf numFmtId="0" fontId="15" fillId="0" borderId="7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0" xfId="0" applyFont="1"/>
    <xf numFmtId="0" fontId="11" fillId="0" borderId="0" xfId="0" applyFont="1"/>
    <xf numFmtId="0" fontId="18" fillId="0" borderId="0" xfId="0" applyFont="1"/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15" fillId="0" borderId="8" xfId="0" applyFont="1" applyBorder="1"/>
    <xf numFmtId="0" fontId="4" fillId="0" borderId="8" xfId="0" quotePrefix="1" applyFont="1" applyBorder="1"/>
    <xf numFmtId="0" fontId="21" fillId="0" borderId="6" xfId="0" applyFont="1" applyBorder="1"/>
    <xf numFmtId="0" fontId="8" fillId="0" borderId="0" xfId="0" applyFont="1" applyAlignment="1">
      <alignment horizontal="left"/>
    </xf>
    <xf numFmtId="0" fontId="21" fillId="0" borderId="7" xfId="0" applyFont="1" applyBorder="1"/>
    <xf numFmtId="0" fontId="15" fillId="0" borderId="1" xfId="0" applyFont="1" applyBorder="1" applyAlignment="1">
      <alignment horizontal="center"/>
    </xf>
    <xf numFmtId="0" fontId="16" fillId="0" borderId="0" xfId="0" applyFont="1"/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3" fillId="0" borderId="8" xfId="0" applyFont="1" applyBorder="1"/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8" fillId="0" borderId="10" xfId="0" applyFont="1" applyBorder="1" applyAlignment="1">
      <alignment horizontal="right"/>
    </xf>
    <xf numFmtId="0" fontId="8" fillId="4" borderId="10" xfId="0" applyFont="1" applyFill="1" applyBorder="1" applyAlignment="1">
      <alignment horizontal="right"/>
    </xf>
    <xf numFmtId="0" fontId="0" fillId="0" borderId="11" xfId="0" applyBorder="1"/>
    <xf numFmtId="0" fontId="35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3" borderId="15" xfId="0" applyFill="1" applyBorder="1"/>
    <xf numFmtId="0" fontId="0" fillId="2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5" borderId="0" xfId="0" applyFill="1"/>
    <xf numFmtId="0" fontId="4" fillId="0" borderId="0" xfId="0" applyFont="1" applyAlignment="1">
      <alignment horizontal="center" wrapText="1"/>
    </xf>
    <xf numFmtId="0" fontId="0" fillId="0" borderId="0" xfId="0"/>
  </cellXfs>
  <cellStyles count="4">
    <cellStyle name="Обычный" xfId="0" builtinId="0"/>
    <cellStyle name="Обычный 2" xfId="3"/>
    <cellStyle name="Обычный 3" xfId="2"/>
    <cellStyle name="Обычный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</a:t>
            </a:r>
            <a:r>
              <a:rPr lang="ru-RU" baseline="0"/>
              <a:t> интервального ряда</a:t>
            </a:r>
          </a:p>
        </c:rich>
      </c:tx>
      <c:layout>
        <c:manualLayout>
          <c:xMode val="edge"/>
          <c:yMode val="edge"/>
          <c:x val="0.320569335083114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6245370370370371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'[1]ф-ла Стерджеса'!$K$7:$K$15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19</c:v>
                </c:pt>
                <c:pt idx="4">
                  <c:v>29</c:v>
                </c:pt>
                <c:pt idx="5">
                  <c:v>18</c:v>
                </c:pt>
                <c:pt idx="6">
                  <c:v>12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13137664"/>
        <c:axId val="413138048"/>
      </c:barChart>
      <c:catAx>
        <c:axId val="41313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138048"/>
        <c:crosses val="autoZero"/>
        <c:auto val="1"/>
        <c:lblAlgn val="ctr"/>
        <c:lblOffset val="100"/>
        <c:noMultiLvlLbl val="0"/>
      </c:catAx>
      <c:valAx>
        <c:axId val="4131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13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104775</xdr:colOff>
      <xdr:row>5</xdr:row>
      <xdr:rowOff>123825</xdr:rowOff>
    </xdr:from>
    <xdr:ext cx="38100" cy="1714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95250</xdr:colOff>
      <xdr:row>5</xdr:row>
      <xdr:rowOff>123825</xdr:rowOff>
    </xdr:from>
    <xdr:ext cx="390525" cy="172227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8401050" y="1487805"/>
          <a:ext cx="39052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6</xdr:col>
      <xdr:colOff>85725</xdr:colOff>
      <xdr:row>45</xdr:row>
      <xdr:rowOff>19050</xdr:rowOff>
    </xdr:from>
    <xdr:ext cx="1143000" cy="4095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 txBox="1"/>
      </xdr:nvSpPr>
      <xdr:spPr>
        <a:xfrm>
          <a:off x="4775363" y="3575521"/>
          <a:ext cx="1141274" cy="408958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9525</xdr:colOff>
      <xdr:row>73</xdr:row>
      <xdr:rowOff>9525</xdr:rowOff>
    </xdr:from>
    <xdr:ext cx="1400175" cy="4476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 txBox="1"/>
      </xdr:nvSpPr>
      <xdr:spPr>
        <a:xfrm>
          <a:off x="4650675" y="3559491"/>
          <a:ext cx="1390651" cy="44101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(n+1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)</a:t>
          </a:r>
          <a:endParaRPr sz="1200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6</xdr:col>
      <xdr:colOff>28575</xdr:colOff>
      <xdr:row>75</xdr:row>
      <xdr:rowOff>104775</xdr:rowOff>
    </xdr:from>
    <xdr:ext cx="1400175" cy="44767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 txBox="1"/>
      </xdr:nvSpPr>
      <xdr:spPr>
        <a:xfrm>
          <a:off x="4650675" y="3557215"/>
          <a:ext cx="1390651" cy="445571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(n+1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)</a:t>
          </a:r>
          <a:endParaRPr sz="1200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9</xdr:col>
      <xdr:colOff>0</xdr:colOff>
      <xdr:row>66</xdr:row>
      <xdr:rowOff>0</xdr:rowOff>
    </xdr:from>
    <xdr:ext cx="1400175" cy="44767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 txBox="1"/>
      </xdr:nvSpPr>
      <xdr:spPr>
        <a:xfrm>
          <a:off x="4650675" y="3559491"/>
          <a:ext cx="1390651" cy="44101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(n+1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)</a:t>
          </a:r>
          <a:endParaRPr sz="1200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8</xdr:col>
      <xdr:colOff>762001</xdr:colOff>
      <xdr:row>69</xdr:row>
      <xdr:rowOff>9525</xdr:rowOff>
    </xdr:from>
    <xdr:ext cx="830580" cy="32825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 txBox="1"/>
      </xdr:nvSpPr>
      <xdr:spPr>
        <a:xfrm>
          <a:off x="5547361" y="15066645"/>
          <a:ext cx="830580" cy="32825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(n+1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)</a:t>
          </a:r>
          <a:endParaRPr sz="1200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9</xdr:col>
      <xdr:colOff>1</xdr:colOff>
      <xdr:row>74</xdr:row>
      <xdr:rowOff>133350</xdr:rowOff>
    </xdr:from>
    <xdr:ext cx="723900" cy="328255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 txBox="1"/>
      </xdr:nvSpPr>
      <xdr:spPr>
        <a:xfrm>
          <a:off x="5631181" y="16181070"/>
          <a:ext cx="723900" cy="32825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(n+1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)</a:t>
          </a:r>
          <a:endParaRPr sz="1200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8</xdr:col>
      <xdr:colOff>790575</xdr:colOff>
      <xdr:row>71</xdr:row>
      <xdr:rowOff>196215</xdr:rowOff>
    </xdr:from>
    <xdr:ext cx="779145" cy="32825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 txBox="1"/>
      </xdr:nvSpPr>
      <xdr:spPr>
        <a:xfrm>
          <a:off x="5575935" y="15649575"/>
          <a:ext cx="779145" cy="32825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(n+1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)</a:t>
          </a:r>
          <a:endParaRPr sz="1200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21</xdr:col>
      <xdr:colOff>400050</xdr:colOff>
      <xdr:row>5</xdr:row>
      <xdr:rowOff>104775</xdr:rowOff>
    </xdr:from>
    <xdr:ext cx="1924050" cy="485775"/>
    <xdr:pic>
      <xdr:nvPicPr>
        <xdr:cNvPr id="2" name="image14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76200</xdr:colOff>
      <xdr:row>9</xdr:row>
      <xdr:rowOff>85725</xdr:rowOff>
    </xdr:from>
    <xdr:ext cx="714375" cy="400050"/>
    <xdr:pic>
      <xdr:nvPicPr>
        <xdr:cNvPr id="15" name="image27.png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533400</xdr:colOff>
      <xdr:row>16</xdr:row>
      <xdr:rowOff>266700</xdr:rowOff>
    </xdr:from>
    <xdr:ext cx="819150" cy="457200"/>
    <xdr:pic>
      <xdr:nvPicPr>
        <xdr:cNvPr id="16" name="image11.png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85725</xdr:colOff>
      <xdr:row>18</xdr:row>
      <xdr:rowOff>171450</xdr:rowOff>
    </xdr:from>
    <xdr:ext cx="885825" cy="552450"/>
    <xdr:pic>
      <xdr:nvPicPr>
        <xdr:cNvPr id="17" name="image1.png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21</xdr:row>
      <xdr:rowOff>257175</xdr:rowOff>
    </xdr:from>
    <xdr:ext cx="2686050" cy="457200"/>
    <xdr:pic>
      <xdr:nvPicPr>
        <xdr:cNvPr id="18" name="image24.png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638175</xdr:colOff>
      <xdr:row>22</xdr:row>
      <xdr:rowOff>19050</xdr:rowOff>
    </xdr:from>
    <xdr:ext cx="1352550" cy="571500"/>
    <xdr:pic>
      <xdr:nvPicPr>
        <xdr:cNvPr id="19" name="image16.png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485775</xdr:colOff>
      <xdr:row>45</xdr:row>
      <xdr:rowOff>104775</xdr:rowOff>
    </xdr:from>
    <xdr:ext cx="1857375" cy="542925"/>
    <xdr:pic>
      <xdr:nvPicPr>
        <xdr:cNvPr id="20" name="image8.png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76200</xdr:colOff>
      <xdr:row>45</xdr:row>
      <xdr:rowOff>38100</xdr:rowOff>
    </xdr:from>
    <xdr:ext cx="1933575" cy="561975"/>
    <xdr:pic>
      <xdr:nvPicPr>
        <xdr:cNvPr id="21" name="image2.png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123825</xdr:colOff>
      <xdr:row>50</xdr:row>
      <xdr:rowOff>19050</xdr:rowOff>
    </xdr:from>
    <xdr:ext cx="361950" cy="361950"/>
    <xdr:pic>
      <xdr:nvPicPr>
        <xdr:cNvPr id="22" name="image23.png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800100</xdr:colOff>
      <xdr:row>50</xdr:row>
      <xdr:rowOff>0</xdr:rowOff>
    </xdr:from>
    <xdr:ext cx="342900" cy="304800"/>
    <xdr:pic>
      <xdr:nvPicPr>
        <xdr:cNvPr id="23" name="image13.png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180975</xdr:colOff>
      <xdr:row>52</xdr:row>
      <xdr:rowOff>47625</xdr:rowOff>
    </xdr:from>
    <xdr:ext cx="342900" cy="285750"/>
    <xdr:pic>
      <xdr:nvPicPr>
        <xdr:cNvPr id="24" name="image6.png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</xdr:colOff>
      <xdr:row>54</xdr:row>
      <xdr:rowOff>76200</xdr:rowOff>
    </xdr:from>
    <xdr:ext cx="485775" cy="371475"/>
    <xdr:pic>
      <xdr:nvPicPr>
        <xdr:cNvPr id="25" name="image4.png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</xdr:colOff>
      <xdr:row>66</xdr:row>
      <xdr:rowOff>28575</xdr:rowOff>
    </xdr:from>
    <xdr:ext cx="1876425" cy="600075"/>
    <xdr:pic>
      <xdr:nvPicPr>
        <xdr:cNvPr id="26" name="image9.png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9525</xdr:colOff>
      <xdr:row>66</xdr:row>
      <xdr:rowOff>0</xdr:rowOff>
    </xdr:from>
    <xdr:ext cx="2000250" cy="628650"/>
    <xdr:pic>
      <xdr:nvPicPr>
        <xdr:cNvPr id="27" name="image15.png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285750</xdr:colOff>
      <xdr:row>71</xdr:row>
      <xdr:rowOff>57150</xdr:rowOff>
    </xdr:from>
    <xdr:ext cx="257175" cy="276225"/>
    <xdr:pic>
      <xdr:nvPicPr>
        <xdr:cNvPr id="28" name="image3.png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876300</xdr:colOff>
      <xdr:row>71</xdr:row>
      <xdr:rowOff>47625</xdr:rowOff>
    </xdr:from>
    <xdr:ext cx="276225" cy="285750"/>
    <xdr:pic>
      <xdr:nvPicPr>
        <xdr:cNvPr id="29" name="image17.png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247650</xdr:colOff>
      <xdr:row>73</xdr:row>
      <xdr:rowOff>57150</xdr:rowOff>
    </xdr:from>
    <xdr:ext cx="323850" cy="266700"/>
    <xdr:pic>
      <xdr:nvPicPr>
        <xdr:cNvPr id="30" name="image25.png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866775</xdr:colOff>
      <xdr:row>73</xdr:row>
      <xdr:rowOff>9525</xdr:rowOff>
    </xdr:from>
    <xdr:ext cx="314325" cy="247650"/>
    <xdr:pic>
      <xdr:nvPicPr>
        <xdr:cNvPr id="31" name="image22.png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152400</xdr:colOff>
      <xdr:row>75</xdr:row>
      <xdr:rowOff>76200</xdr:rowOff>
    </xdr:from>
    <xdr:ext cx="447675" cy="295275"/>
    <xdr:pic>
      <xdr:nvPicPr>
        <xdr:cNvPr id="32" name="image28.png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876300</xdr:colOff>
      <xdr:row>74</xdr:row>
      <xdr:rowOff>238125</xdr:rowOff>
    </xdr:from>
    <xdr:ext cx="428625" cy="219075"/>
    <xdr:pic>
      <xdr:nvPicPr>
        <xdr:cNvPr id="33" name="image7.png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26</xdr:row>
      <xdr:rowOff>47625</xdr:rowOff>
    </xdr:from>
    <xdr:ext cx="1647825" cy="504825"/>
    <xdr:pic>
      <xdr:nvPicPr>
        <xdr:cNvPr id="34" name="image5.png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219075</xdr:colOff>
      <xdr:row>26</xdr:row>
      <xdr:rowOff>76200</xdr:rowOff>
    </xdr:from>
    <xdr:ext cx="2133600" cy="542925"/>
    <xdr:pic>
      <xdr:nvPicPr>
        <xdr:cNvPr id="35" name="image21.png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36</xdr:row>
      <xdr:rowOff>0</xdr:rowOff>
    </xdr:from>
    <xdr:ext cx="2762250" cy="371475"/>
    <xdr:pic>
      <xdr:nvPicPr>
        <xdr:cNvPr id="36" name="image34.png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133350</xdr:colOff>
      <xdr:row>51</xdr:row>
      <xdr:rowOff>161925</xdr:rowOff>
    </xdr:from>
    <xdr:ext cx="400050" cy="285750"/>
    <xdr:pic>
      <xdr:nvPicPr>
        <xdr:cNvPr id="37" name="image12.png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76200</xdr:colOff>
      <xdr:row>54</xdr:row>
      <xdr:rowOff>133350</xdr:rowOff>
    </xdr:from>
    <xdr:ext cx="533400" cy="371475"/>
    <xdr:pic>
      <xdr:nvPicPr>
        <xdr:cNvPr id="38" name="image10.png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65</xdr:row>
      <xdr:rowOff>190500</xdr:rowOff>
    </xdr:from>
    <xdr:ext cx="1162050" cy="419100"/>
    <xdr:pic>
      <xdr:nvPicPr>
        <xdr:cNvPr id="39" name="image18.png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68</xdr:row>
      <xdr:rowOff>19050</xdr:rowOff>
    </xdr:from>
    <xdr:ext cx="1133475" cy="409575"/>
    <xdr:pic>
      <xdr:nvPicPr>
        <xdr:cNvPr id="40" name="image19.png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70</xdr:row>
      <xdr:rowOff>104775</xdr:rowOff>
    </xdr:from>
    <xdr:ext cx="1238250" cy="333375"/>
    <xdr:pic>
      <xdr:nvPicPr>
        <xdr:cNvPr id="41" name="image20.png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22</xdr:col>
      <xdr:colOff>376517</xdr:colOff>
      <xdr:row>14</xdr:row>
      <xdr:rowOff>1</xdr:rowOff>
    </xdr:from>
    <xdr:to>
      <xdr:col>28</xdr:col>
      <xdr:colOff>712053</xdr:colOff>
      <xdr:row>24</xdr:row>
      <xdr:rowOff>177373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52;&#1072;&#1088;&#1082;&#1086;&#1074;&#1042;&#1050;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-ла Стерджеса"/>
      <sheetName val="Метод квадратного корня"/>
    </sheetNames>
    <sheetDataSet>
      <sheetData sheetId="0">
        <row r="7">
          <cell r="K7">
            <v>2</v>
          </cell>
        </row>
        <row r="8">
          <cell r="K8">
            <v>3</v>
          </cell>
        </row>
        <row r="9">
          <cell r="K9">
            <v>12</v>
          </cell>
        </row>
        <row r="10">
          <cell r="K10">
            <v>19</v>
          </cell>
        </row>
        <row r="11">
          <cell r="K11">
            <v>29</v>
          </cell>
        </row>
        <row r="12">
          <cell r="K12">
            <v>18</v>
          </cell>
        </row>
        <row r="13">
          <cell r="K13">
            <v>12</v>
          </cell>
        </row>
        <row r="14">
          <cell r="K14">
            <v>4</v>
          </cell>
        </row>
        <row r="15">
          <cell r="K1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B4" zoomScaleNormal="100" workbookViewId="0">
      <selection activeCell="F4" sqref="F4"/>
    </sheetView>
  </sheetViews>
  <sheetFormatPr defaultColWidth="14.44140625" defaultRowHeight="15" customHeight="1" x14ac:dyDescent="0.3"/>
  <cols>
    <col min="1" max="1" width="6.6640625" customWidth="1"/>
    <col min="2" max="2" width="8.6640625" customWidth="1"/>
    <col min="3" max="3" width="10.88671875" customWidth="1"/>
    <col min="4" max="4" width="10.109375" customWidth="1"/>
    <col min="5" max="5" width="6.109375" customWidth="1"/>
    <col min="6" max="6" width="7.109375" customWidth="1"/>
    <col min="7" max="7" width="11.88671875" customWidth="1"/>
    <col min="8" max="8" width="8.33203125" customWidth="1"/>
    <col min="9" max="9" width="12.33203125" customWidth="1"/>
    <col min="10" max="10" width="10.88671875" customWidth="1"/>
    <col min="11" max="11" width="7.88671875" customWidth="1"/>
    <col min="12" max="12" width="11.109375" customWidth="1"/>
    <col min="13" max="13" width="9.109375" customWidth="1"/>
    <col min="14" max="14" width="9.88671875" customWidth="1"/>
    <col min="15" max="15" width="12.44140625" customWidth="1"/>
    <col min="16" max="16" width="15" customWidth="1"/>
    <col min="17" max="17" width="15.33203125" customWidth="1"/>
    <col min="18" max="18" width="14.109375" customWidth="1"/>
    <col min="19" max="19" width="11" customWidth="1"/>
    <col min="20" max="20" width="8.6640625" customWidth="1"/>
    <col min="21" max="21" width="10.44140625" customWidth="1"/>
    <col min="22" max="27" width="8.6640625" customWidth="1"/>
  </cols>
  <sheetData>
    <row r="1" spans="1:27" ht="20.25" customHeight="1" x14ac:dyDescent="0.45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  <c r="L1" s="6"/>
      <c r="M1" s="6"/>
      <c r="N1" s="6"/>
      <c r="O1" s="6"/>
      <c r="P1" s="6"/>
      <c r="Q1" s="4"/>
      <c r="R1" s="4"/>
      <c r="S1" s="7" t="s">
        <v>0</v>
      </c>
      <c r="T1" s="8">
        <f>MIN(D6:D105)</f>
        <v>5.0199999999999996</v>
      </c>
    </row>
    <row r="2" spans="1:27" ht="30.6" x14ac:dyDescent="0.4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5"/>
      <c r="M2" s="5" t="s">
        <v>128</v>
      </c>
      <c r="N2" s="5">
        <f>_xlfn.STDEV.S(D6:D105)</f>
        <v>0.16881198076109655</v>
      </c>
      <c r="S2" s="7" t="s">
        <v>1</v>
      </c>
      <c r="T2" s="8">
        <f>MAX(D6:D105)</f>
        <v>5.85</v>
      </c>
    </row>
    <row r="3" spans="1:27" ht="18" x14ac:dyDescent="0.3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5"/>
      <c r="M3" s="5"/>
      <c r="N3" s="5"/>
      <c r="S3" s="9" t="s">
        <v>2</v>
      </c>
      <c r="T3" s="8">
        <f>T2-T1</f>
        <v>0.83000000000000007</v>
      </c>
      <c r="U3" s="10" t="s">
        <v>3</v>
      </c>
    </row>
    <row r="4" spans="1:27" ht="18" x14ac:dyDescent="0.35">
      <c r="F4" s="11" t="s">
        <v>4</v>
      </c>
      <c r="T4" s="12" t="s">
        <v>5</v>
      </c>
      <c r="U4" s="9">
        <f>T3/(1+LOG(T5,2))</f>
        <v>0.10858393713768459</v>
      </c>
      <c r="V4" s="13" t="s">
        <v>6</v>
      </c>
    </row>
    <row r="5" spans="1:27" ht="31.5" customHeight="1" x14ac:dyDescent="0.45">
      <c r="B5" s="1" t="s">
        <v>7</v>
      </c>
      <c r="D5" s="14" t="s">
        <v>8</v>
      </c>
      <c r="E5" s="14"/>
      <c r="F5" s="11"/>
      <c r="G5" s="15" t="s">
        <v>9</v>
      </c>
      <c r="H5" s="16" t="s">
        <v>10</v>
      </c>
      <c r="I5" s="2"/>
      <c r="J5" s="2"/>
      <c r="K5" s="3"/>
      <c r="L5" s="3"/>
      <c r="M5" s="3"/>
      <c r="O5" s="3"/>
      <c r="P5" s="3"/>
      <c r="Q5" s="3"/>
      <c r="R5" s="3"/>
      <c r="S5" s="12" t="s">
        <v>11</v>
      </c>
      <c r="T5" s="8">
        <v>100</v>
      </c>
      <c r="V5" s="17" t="s">
        <v>12</v>
      </c>
    </row>
    <row r="6" spans="1:27" ht="39" customHeight="1" x14ac:dyDescent="0.45">
      <c r="A6" s="18">
        <v>1</v>
      </c>
      <c r="B6" s="19">
        <v>5.56</v>
      </c>
      <c r="D6" s="20">
        <v>5.0199999999999996</v>
      </c>
      <c r="E6" s="10" t="s">
        <v>13</v>
      </c>
      <c r="F6" s="10">
        <f>1/D6</f>
        <v>0.19920318725099603</v>
      </c>
      <c r="G6" s="21">
        <v>4.9657080310000001</v>
      </c>
      <c r="H6" s="22"/>
      <c r="I6" s="23" t="s">
        <v>14</v>
      </c>
      <c r="J6" s="23" t="s">
        <v>15</v>
      </c>
      <c r="K6" s="23" t="s">
        <v>16</v>
      </c>
      <c r="L6" s="23" t="s">
        <v>17</v>
      </c>
      <c r="M6" s="23" t="s">
        <v>18</v>
      </c>
      <c r="N6" s="23"/>
      <c r="O6" s="24" t="s">
        <v>19</v>
      </c>
      <c r="P6" s="24" t="s">
        <v>20</v>
      </c>
      <c r="Q6" s="25" t="s">
        <v>21</v>
      </c>
      <c r="R6" s="26"/>
      <c r="U6" s="27"/>
    </row>
    <row r="7" spans="1:27" ht="18" x14ac:dyDescent="0.35">
      <c r="A7" s="18">
        <v>2</v>
      </c>
      <c r="B7" s="28">
        <v>5.33</v>
      </c>
      <c r="D7" s="19">
        <v>5.05</v>
      </c>
      <c r="E7" s="29"/>
      <c r="F7" s="10">
        <f t="shared" ref="F7:F70" si="0">1/D7</f>
        <v>0.19801980198019803</v>
      </c>
      <c r="G7" s="21">
        <v>5.0742919689999999</v>
      </c>
      <c r="H7" s="22">
        <v>2</v>
      </c>
      <c r="I7" s="21" t="str">
        <f t="shared" ref="I7:I15" si="1">ROUND(G6,2)&amp;-ROUND(G7,2)</f>
        <v>4,97-5,07</v>
      </c>
      <c r="J7" s="21">
        <f t="shared" ref="J7:J15" si="2">(G6+G7)/2</f>
        <v>5.0199999999999996</v>
      </c>
      <c r="K7" s="22">
        <v>2</v>
      </c>
      <c r="L7" s="22">
        <f>J7*K7</f>
        <v>10.039999999999999</v>
      </c>
      <c r="M7" s="22">
        <f>K7/J7</f>
        <v>0.39840637450199207</v>
      </c>
      <c r="N7" s="22">
        <f>J7^K7</f>
        <v>25.200399999999995</v>
      </c>
      <c r="O7" s="22">
        <v>2</v>
      </c>
      <c r="P7" s="22">
        <f>K7/$T$5</f>
        <v>0.02</v>
      </c>
      <c r="Q7" s="22">
        <f>O7/$T$5</f>
        <v>0.02</v>
      </c>
      <c r="R7" s="18"/>
      <c r="AA7" s="1">
        <f>T3/(1+3.322*LOG10(T5))</f>
        <v>0.10858189429618002</v>
      </c>
    </row>
    <row r="8" spans="1:27" ht="18" x14ac:dyDescent="0.35">
      <c r="A8" s="18">
        <v>3</v>
      </c>
      <c r="B8" s="28">
        <v>5.54</v>
      </c>
      <c r="D8" s="28">
        <v>5.1100000000000003</v>
      </c>
      <c r="E8" s="29"/>
      <c r="F8" s="10">
        <f t="shared" si="0"/>
        <v>0.19569471624266144</v>
      </c>
      <c r="G8" s="21">
        <v>5.1828759059999996</v>
      </c>
      <c r="H8" s="22">
        <v>3</v>
      </c>
      <c r="I8" s="21" t="str">
        <f t="shared" si="1"/>
        <v>5,07-5,18</v>
      </c>
      <c r="J8" s="21">
        <f t="shared" si="2"/>
        <v>5.1285839375000002</v>
      </c>
      <c r="K8" s="22">
        <v>3</v>
      </c>
      <c r="L8" s="22">
        <f t="shared" ref="L8:L15" si="3">J8*K8</f>
        <v>15.385751812500001</v>
      </c>
      <c r="M8" s="22">
        <f t="shared" ref="M8:M15" si="4">K8/J8</f>
        <v>0.58495679052147709</v>
      </c>
      <c r="N8" s="22">
        <f t="shared" ref="N8:N15" si="5">J8^K8</f>
        <v>134.89392873207765</v>
      </c>
      <c r="O8" s="22">
        <f>O7+K8</f>
        <v>5</v>
      </c>
      <c r="P8" s="22">
        <f t="shared" ref="P8:P15" si="6">K8/$T$5</f>
        <v>0.03</v>
      </c>
      <c r="Q8" s="22">
        <f t="shared" ref="Q8:Q15" si="7">O8/$T$5</f>
        <v>0.05</v>
      </c>
      <c r="R8" s="18"/>
    </row>
    <row r="9" spans="1:27" ht="18" x14ac:dyDescent="0.35">
      <c r="A9" s="18">
        <v>4</v>
      </c>
      <c r="B9" s="28">
        <v>5.43</v>
      </c>
      <c r="D9" s="28">
        <v>5.1100000000000003</v>
      </c>
      <c r="E9" s="29"/>
      <c r="F9" s="10">
        <f t="shared" si="0"/>
        <v>0.19569471624266144</v>
      </c>
      <c r="G9" s="21">
        <v>5.2914598430000002</v>
      </c>
      <c r="H9" s="22">
        <v>12</v>
      </c>
      <c r="I9" s="21" t="str">
        <f t="shared" si="1"/>
        <v>5,18-5,29</v>
      </c>
      <c r="J9" s="21">
        <f t="shared" si="2"/>
        <v>5.2371678744999999</v>
      </c>
      <c r="K9" s="22">
        <v>12</v>
      </c>
      <c r="L9" s="22">
        <f t="shared" si="3"/>
        <v>62.846014494000002</v>
      </c>
      <c r="M9" s="22">
        <f t="shared" si="4"/>
        <v>2.2913147501779592</v>
      </c>
      <c r="N9" s="22">
        <f t="shared" si="5"/>
        <v>425753221.0426361</v>
      </c>
      <c r="O9" s="22">
        <f t="shared" ref="O9:O15" si="8">O8+K9</f>
        <v>17</v>
      </c>
      <c r="P9" s="22">
        <f t="shared" si="6"/>
        <v>0.12</v>
      </c>
      <c r="Q9" s="22">
        <f t="shared" si="7"/>
        <v>0.17</v>
      </c>
      <c r="R9" s="18"/>
      <c r="S9" s="27" t="s">
        <v>22</v>
      </c>
    </row>
    <row r="10" spans="1:27" ht="18" x14ac:dyDescent="0.35">
      <c r="A10" s="18">
        <v>5</v>
      </c>
      <c r="B10" s="28">
        <v>5.43</v>
      </c>
      <c r="D10" s="28">
        <v>5.1100000000000003</v>
      </c>
      <c r="E10" s="29"/>
      <c r="F10" s="10">
        <f t="shared" si="0"/>
        <v>0.19569471624266144</v>
      </c>
      <c r="G10" s="21">
        <v>5.4000437799999998</v>
      </c>
      <c r="H10" s="22">
        <v>19</v>
      </c>
      <c r="I10" s="21" t="str">
        <f t="shared" si="1"/>
        <v>5,29-5,4</v>
      </c>
      <c r="J10" s="21">
        <f t="shared" si="2"/>
        <v>5.3457518114999996</v>
      </c>
      <c r="K10" s="22">
        <v>19</v>
      </c>
      <c r="L10" s="22">
        <f t="shared" si="3"/>
        <v>101.56928441849999</v>
      </c>
      <c r="M10" s="22">
        <f t="shared" si="4"/>
        <v>3.5542241147683709</v>
      </c>
      <c r="N10" s="22">
        <f t="shared" si="5"/>
        <v>67946492716517.82</v>
      </c>
      <c r="O10" s="22">
        <f t="shared" si="8"/>
        <v>36</v>
      </c>
      <c r="P10" s="22">
        <f t="shared" si="6"/>
        <v>0.19</v>
      </c>
      <c r="Q10" s="22">
        <f t="shared" si="7"/>
        <v>0.36</v>
      </c>
      <c r="S10" s="27"/>
    </row>
    <row r="11" spans="1:27" ht="18" x14ac:dyDescent="0.35">
      <c r="A11" s="18">
        <v>6</v>
      </c>
      <c r="B11" s="28">
        <v>5.64</v>
      </c>
      <c r="D11" s="28">
        <v>5.21</v>
      </c>
      <c r="E11" s="29"/>
      <c r="F11" s="10">
        <f t="shared" si="0"/>
        <v>0.19193857965451055</v>
      </c>
      <c r="G11" s="21">
        <v>5.5086277170000004</v>
      </c>
      <c r="H11" s="22">
        <v>29</v>
      </c>
      <c r="I11" s="21" t="str">
        <f t="shared" si="1"/>
        <v>5,4-5,51</v>
      </c>
      <c r="J11" s="21">
        <f t="shared" si="2"/>
        <v>5.4543357485000001</v>
      </c>
      <c r="K11" s="22">
        <v>29</v>
      </c>
      <c r="L11" s="22">
        <f t="shared" si="3"/>
        <v>158.1757367065</v>
      </c>
      <c r="M11" s="22">
        <f t="shared" si="4"/>
        <v>5.3168710796681902</v>
      </c>
      <c r="N11" s="22">
        <f t="shared" si="5"/>
        <v>2.3201398913092697E+21</v>
      </c>
      <c r="O11" s="22">
        <f t="shared" si="8"/>
        <v>65</v>
      </c>
      <c r="P11" s="22">
        <f t="shared" si="6"/>
        <v>0.28999999999999998</v>
      </c>
      <c r="Q11" s="22">
        <f t="shared" si="7"/>
        <v>0.65</v>
      </c>
      <c r="T11" s="30" t="s">
        <v>23</v>
      </c>
      <c r="U11" s="3"/>
    </row>
    <row r="12" spans="1:27" ht="18" x14ac:dyDescent="0.35">
      <c r="A12" s="18">
        <v>7</v>
      </c>
      <c r="B12" s="28">
        <v>5.4</v>
      </c>
      <c r="D12" s="28">
        <v>5.21</v>
      </c>
      <c r="E12" s="29"/>
      <c r="F12" s="10">
        <f t="shared" si="0"/>
        <v>0.19193857965451055</v>
      </c>
      <c r="G12" s="21">
        <v>5.6172116540000001</v>
      </c>
      <c r="H12" s="22">
        <v>18</v>
      </c>
      <c r="I12" s="21" t="str">
        <f t="shared" si="1"/>
        <v>5,51-5,62</v>
      </c>
      <c r="J12" s="21">
        <f t="shared" si="2"/>
        <v>5.5629196855000007</v>
      </c>
      <c r="K12" s="22">
        <v>18</v>
      </c>
      <c r="L12" s="22">
        <f t="shared" si="3"/>
        <v>100.13255433900001</v>
      </c>
      <c r="M12" s="22">
        <f t="shared" si="4"/>
        <v>3.2357109247717175</v>
      </c>
      <c r="N12" s="22">
        <f t="shared" si="5"/>
        <v>26028564540074.465</v>
      </c>
      <c r="O12" s="22">
        <f t="shared" si="8"/>
        <v>83</v>
      </c>
      <c r="P12" s="22">
        <f t="shared" si="6"/>
        <v>0.18</v>
      </c>
      <c r="Q12" s="22">
        <f t="shared" si="7"/>
        <v>0.83</v>
      </c>
      <c r="R12" s="18"/>
    </row>
    <row r="13" spans="1:27" ht="20.399999999999999" x14ac:dyDescent="0.45">
      <c r="A13" s="18">
        <v>8</v>
      </c>
      <c r="B13" s="28">
        <v>5.71</v>
      </c>
      <c r="D13" s="28">
        <v>5.21</v>
      </c>
      <c r="E13" s="29"/>
      <c r="F13" s="10">
        <f t="shared" si="0"/>
        <v>0.19193857965451055</v>
      </c>
      <c r="G13" s="21">
        <v>5.7257955909999998</v>
      </c>
      <c r="H13" s="22">
        <v>12</v>
      </c>
      <c r="I13" s="21" t="str">
        <f t="shared" si="1"/>
        <v>5,62-5,73</v>
      </c>
      <c r="J13" s="21">
        <f t="shared" si="2"/>
        <v>5.6715036224999995</v>
      </c>
      <c r="K13" s="22">
        <v>12</v>
      </c>
      <c r="L13" s="22">
        <f t="shared" si="3"/>
        <v>68.058043470000001</v>
      </c>
      <c r="M13" s="22">
        <f t="shared" si="4"/>
        <v>2.1158410183136582</v>
      </c>
      <c r="N13" s="22">
        <f t="shared" si="5"/>
        <v>1107588826.1212389</v>
      </c>
      <c r="O13" s="22">
        <f t="shared" si="8"/>
        <v>95</v>
      </c>
      <c r="P13" s="22">
        <f t="shared" si="6"/>
        <v>0.12</v>
      </c>
      <c r="Q13" s="22">
        <f t="shared" si="7"/>
        <v>0.95</v>
      </c>
      <c r="R13" s="18"/>
      <c r="S13" s="31" t="s">
        <v>24</v>
      </c>
      <c r="T13" s="32" t="s">
        <v>25</v>
      </c>
    </row>
    <row r="14" spans="1:27" ht="21" x14ac:dyDescent="0.4">
      <c r="A14" s="18">
        <v>9</v>
      </c>
      <c r="B14" s="28">
        <v>5.79</v>
      </c>
      <c r="D14" s="28">
        <v>5.21</v>
      </c>
      <c r="E14" s="29"/>
      <c r="F14" s="10">
        <f t="shared" si="0"/>
        <v>0.19193857965451055</v>
      </c>
      <c r="G14" s="21">
        <v>5.8343795289999996</v>
      </c>
      <c r="H14" s="22">
        <v>4</v>
      </c>
      <c r="I14" s="21" t="str">
        <f t="shared" si="1"/>
        <v>5,73-5,83</v>
      </c>
      <c r="J14" s="21">
        <f t="shared" si="2"/>
        <v>5.7800875600000001</v>
      </c>
      <c r="K14" s="22">
        <v>4</v>
      </c>
      <c r="L14" s="22">
        <f t="shared" si="3"/>
        <v>23.12035024</v>
      </c>
      <c r="M14" s="22">
        <f t="shared" si="4"/>
        <v>0.6920310390592076</v>
      </c>
      <c r="N14" s="22">
        <f t="shared" si="5"/>
        <v>1116.188823634152</v>
      </c>
      <c r="O14" s="22">
        <f t="shared" si="8"/>
        <v>99</v>
      </c>
      <c r="P14" s="22">
        <f t="shared" si="6"/>
        <v>0.04</v>
      </c>
      <c r="Q14" s="22">
        <f t="shared" si="7"/>
        <v>0.99</v>
      </c>
      <c r="R14" s="18"/>
      <c r="S14" s="33" t="s">
        <v>26</v>
      </c>
      <c r="T14" s="1">
        <f>T1-U4/2</f>
        <v>4.9657080314311575</v>
      </c>
      <c r="U14" s="33" t="s">
        <v>27</v>
      </c>
      <c r="V14" s="1">
        <f>T14+U4</f>
        <v>5.0742919685688417</v>
      </c>
    </row>
    <row r="15" spans="1:27" ht="28.5" customHeight="1" x14ac:dyDescent="0.4">
      <c r="A15" s="18">
        <v>10</v>
      </c>
      <c r="B15" s="28">
        <v>5.39</v>
      </c>
      <c r="C15" s="2" t="s">
        <v>28</v>
      </c>
      <c r="D15" s="28">
        <v>5.21</v>
      </c>
      <c r="E15" s="29"/>
      <c r="F15" s="10">
        <f t="shared" si="0"/>
        <v>0.19193857965451055</v>
      </c>
      <c r="G15" s="21">
        <v>5.9429634660000001</v>
      </c>
      <c r="H15" s="22">
        <v>1</v>
      </c>
      <c r="I15" s="21" t="str">
        <f t="shared" si="1"/>
        <v>5,83-5,94</v>
      </c>
      <c r="J15" s="21">
        <f t="shared" si="2"/>
        <v>5.8886714974999999</v>
      </c>
      <c r="K15" s="22">
        <v>1</v>
      </c>
      <c r="L15" s="22">
        <f t="shared" si="3"/>
        <v>5.8886714974999999</v>
      </c>
      <c r="M15" s="22">
        <f t="shared" si="4"/>
        <v>0.16981758965915214</v>
      </c>
      <c r="N15" s="22">
        <f t="shared" si="5"/>
        <v>5.8886714974999999</v>
      </c>
      <c r="O15" s="22">
        <f t="shared" si="8"/>
        <v>100</v>
      </c>
      <c r="P15" s="22">
        <f t="shared" si="6"/>
        <v>0.01</v>
      </c>
      <c r="Q15" s="22">
        <f t="shared" si="7"/>
        <v>1</v>
      </c>
      <c r="R15" s="18"/>
      <c r="S15" s="33" t="s">
        <v>29</v>
      </c>
      <c r="T15" s="1">
        <f>V14</f>
        <v>5.0742919685688417</v>
      </c>
      <c r="U15" s="33" t="s">
        <v>30</v>
      </c>
      <c r="V15" s="1">
        <f>T15+U4</f>
        <v>5.1828759057065259</v>
      </c>
    </row>
    <row r="16" spans="1:27" ht="18" x14ac:dyDescent="0.35">
      <c r="A16" s="18">
        <v>11</v>
      </c>
      <c r="B16" s="34">
        <v>5.27</v>
      </c>
      <c r="D16" s="28">
        <v>5.27</v>
      </c>
      <c r="E16" s="29"/>
      <c r="F16" s="10">
        <f t="shared" si="0"/>
        <v>0.18975332068311196</v>
      </c>
      <c r="G16" s="21"/>
      <c r="H16" s="22"/>
      <c r="I16" s="21"/>
      <c r="J16" s="21"/>
      <c r="K16" s="21"/>
      <c r="L16" s="22"/>
      <c r="M16" s="21"/>
      <c r="N16" s="21"/>
      <c r="O16" s="21"/>
      <c r="P16" s="21"/>
      <c r="Q16" s="21"/>
      <c r="R16" s="3"/>
      <c r="S16" s="33"/>
      <c r="U16" s="33"/>
    </row>
    <row r="17" spans="1:23" ht="21.75" customHeight="1" thickBot="1" x14ac:dyDescent="0.4">
      <c r="A17" s="18">
        <v>12</v>
      </c>
      <c r="B17" s="35">
        <v>5.47</v>
      </c>
      <c r="D17" s="34">
        <v>5.27</v>
      </c>
      <c r="E17" s="29"/>
      <c r="F17" s="10">
        <f t="shared" si="0"/>
        <v>0.18975332068311196</v>
      </c>
      <c r="G17" s="4" t="s">
        <v>31</v>
      </c>
      <c r="H17" s="4"/>
      <c r="I17" s="3"/>
      <c r="L17" s="36"/>
      <c r="M17" s="4" t="s">
        <v>32</v>
      </c>
      <c r="N17" s="4"/>
      <c r="O17" s="4"/>
      <c r="P17" s="4"/>
      <c r="Q17" s="4"/>
      <c r="S17" s="33"/>
      <c r="U17" s="33"/>
    </row>
    <row r="18" spans="1:23" ht="21.75" customHeight="1" thickBot="1" x14ac:dyDescent="0.4">
      <c r="A18" s="18">
        <v>13</v>
      </c>
      <c r="B18" s="35">
        <v>5.43</v>
      </c>
      <c r="D18" s="35">
        <v>5.27</v>
      </c>
      <c r="E18" s="29"/>
      <c r="F18" s="10">
        <f t="shared" si="0"/>
        <v>0.18975332068311196</v>
      </c>
      <c r="I18" s="37">
        <f>AVERAGE(D6:D105)</f>
        <v>5.4493000000000054</v>
      </c>
      <c r="L18" s="38"/>
      <c r="M18" s="4" t="s">
        <v>33</v>
      </c>
      <c r="O18">
        <f>SUM(L7:L15)/SUM(K7:K15)</f>
        <v>5.4521640697800002</v>
      </c>
      <c r="P18" s="37"/>
      <c r="S18" s="33"/>
      <c r="T18" s="69" t="s">
        <v>122</v>
      </c>
      <c r="U18" s="70" t="s">
        <v>123</v>
      </c>
      <c r="V18" s="71" t="s">
        <v>124</v>
      </c>
    </row>
    <row r="19" spans="1:23" ht="18.600000000000001" thickBot="1" x14ac:dyDescent="0.4">
      <c r="A19" s="18">
        <v>14</v>
      </c>
      <c r="B19" s="35">
        <v>5.43</v>
      </c>
      <c r="D19" s="35">
        <v>5.27</v>
      </c>
      <c r="E19" s="29"/>
      <c r="F19" s="10">
        <f t="shared" si="0"/>
        <v>0.18975332068311196</v>
      </c>
      <c r="G19" s="39"/>
      <c r="H19" s="39"/>
      <c r="I19" s="39"/>
      <c r="J19" s="39"/>
      <c r="K19" s="39"/>
      <c r="L19" s="40"/>
      <c r="M19" s="39"/>
      <c r="N19" s="39"/>
      <c r="O19" s="39"/>
      <c r="P19" s="39"/>
      <c r="Q19" s="39"/>
      <c r="S19" s="33"/>
      <c r="T19" s="72">
        <f>(J7-$O$18)^2*K7</f>
        <v>0.37353156641762658</v>
      </c>
      <c r="U19" s="67">
        <f>(J7-$O$18)^3*K7</f>
        <v>-0.16142692193434013</v>
      </c>
      <c r="V19" s="73">
        <f>(J7-$O$18)^4*K7</f>
        <v>6.9762915555202892E-2</v>
      </c>
    </row>
    <row r="20" spans="1:23" ht="18.600000000000001" thickBot="1" x14ac:dyDescent="0.4">
      <c r="A20" s="18">
        <v>15</v>
      </c>
      <c r="B20" s="35">
        <v>5.43</v>
      </c>
      <c r="D20" s="35">
        <v>5.27</v>
      </c>
      <c r="E20" s="29"/>
      <c r="F20" s="10">
        <f t="shared" si="0"/>
        <v>0.18975332068311196</v>
      </c>
      <c r="G20" s="41" t="s">
        <v>34</v>
      </c>
      <c r="J20">
        <f>100/SUM(F6:F105)</f>
        <v>5.4441060192959378</v>
      </c>
      <c r="L20" s="42"/>
      <c r="M20" s="43" t="s">
        <v>35</v>
      </c>
      <c r="Q20" s="44">
        <f>100/SUM(M7:M15)</f>
        <v>5.4468682379253517</v>
      </c>
      <c r="S20" s="33"/>
      <c r="T20" s="72">
        <f t="shared" ref="T20:T26" si="9">(J8-$O$18)^2*K8</f>
        <v>0.31411230601902695</v>
      </c>
      <c r="U20" s="67">
        <f t="shared" ref="U20:U27" si="10">(J8-$O$18)^3*K8</f>
        <v>-0.10164050153241261</v>
      </c>
      <c r="V20" s="73">
        <f t="shared" ref="V20:V27" si="11">(J8-$O$18)^4*K8</f>
        <v>3.2888846930863615E-2</v>
      </c>
    </row>
    <row r="21" spans="1:23" ht="15.75" customHeight="1" thickBot="1" x14ac:dyDescent="0.4">
      <c r="A21" s="18">
        <v>16</v>
      </c>
      <c r="B21" s="35">
        <v>5.43</v>
      </c>
      <c r="D21" s="35">
        <v>5.27</v>
      </c>
      <c r="E21" s="29"/>
      <c r="F21" s="10">
        <f t="shared" si="0"/>
        <v>0.18975332068311196</v>
      </c>
      <c r="G21" s="39"/>
      <c r="H21" s="39"/>
      <c r="I21" s="39"/>
      <c r="J21" s="39"/>
      <c r="K21" s="39"/>
      <c r="L21" s="40"/>
      <c r="M21" s="39"/>
      <c r="N21" s="39"/>
      <c r="O21" s="39"/>
      <c r="P21" s="39"/>
      <c r="Q21" s="39"/>
      <c r="S21" s="33"/>
      <c r="T21" s="72">
        <f t="shared" si="9"/>
        <v>0.5546803678185126</v>
      </c>
      <c r="U21" s="67">
        <f t="shared" si="10"/>
        <v>-0.11925416867749135</v>
      </c>
      <c r="V21" s="73">
        <f t="shared" si="11"/>
        <v>2.5639192536940032E-2</v>
      </c>
    </row>
    <row r="22" spans="1:23" ht="15.75" customHeight="1" thickBot="1" x14ac:dyDescent="0.4">
      <c r="A22" s="18">
        <v>17</v>
      </c>
      <c r="B22" s="35">
        <v>5.68</v>
      </c>
      <c r="D22" s="35">
        <v>5.27</v>
      </c>
      <c r="E22" s="29"/>
      <c r="F22" s="10">
        <f t="shared" si="0"/>
        <v>0.18975332068311196</v>
      </c>
      <c r="G22" s="4" t="s">
        <v>36</v>
      </c>
      <c r="L22" s="38"/>
      <c r="M22" s="43" t="s">
        <v>37</v>
      </c>
      <c r="R22" s="14" t="s">
        <v>38</v>
      </c>
      <c r="S22" s="33"/>
      <c r="T22" s="72">
        <f t="shared" si="9"/>
        <v>0.21514780553274185</v>
      </c>
      <c r="U22" s="67">
        <f t="shared" si="10"/>
        <v>-2.2894363850725481E-2</v>
      </c>
      <c r="V22" s="73">
        <f t="shared" si="11"/>
        <v>2.4362409592397103E-3</v>
      </c>
      <c r="W22" s="45"/>
    </row>
    <row r="23" spans="1:23" ht="15.75" customHeight="1" thickBot="1" x14ac:dyDescent="0.4">
      <c r="A23" s="18">
        <v>18</v>
      </c>
      <c r="B23" s="35">
        <v>5.47</v>
      </c>
      <c r="D23" s="35">
        <v>5.33</v>
      </c>
      <c r="E23" s="29"/>
      <c r="F23" s="10">
        <f t="shared" si="0"/>
        <v>0.18761726078799248</v>
      </c>
      <c r="L23" s="42"/>
      <c r="Q23" s="44"/>
      <c r="S23" s="46"/>
      <c r="T23" s="72">
        <f t="shared" si="9"/>
        <v>1.3676946542411214E-4</v>
      </c>
      <c r="U23" s="67">
        <f t="shared" si="10"/>
        <v>2.9701933760730687E-7</v>
      </c>
      <c r="V23" s="73">
        <f t="shared" si="11"/>
        <v>6.4503057491025532E-10</v>
      </c>
    </row>
    <row r="24" spans="1:23" ht="15.75" customHeight="1" thickBot="1" x14ac:dyDescent="0.4">
      <c r="A24" s="18">
        <v>19</v>
      </c>
      <c r="B24" s="35">
        <v>5.58</v>
      </c>
      <c r="D24" s="35">
        <v>5.33</v>
      </c>
      <c r="E24" s="29"/>
      <c r="F24" s="10">
        <f t="shared" si="0"/>
        <v>0.18761726078799248</v>
      </c>
      <c r="G24" s="3"/>
      <c r="H24" s="3"/>
      <c r="I24" s="3"/>
      <c r="J24" s="3"/>
      <c r="K24" s="3">
        <f>PRODUCT(D6:D105)^(1/100)</f>
        <v>5.4467060043758249</v>
      </c>
      <c r="L24" s="38"/>
      <c r="M24" s="3"/>
      <c r="N24" s="3"/>
      <c r="O24" s="3"/>
      <c r="P24" s="3"/>
      <c r="Q24" s="3">
        <f>PRODUCT(N7:N15)^(1/100)</f>
        <v>5.4495197108682856</v>
      </c>
      <c r="S24" s="46"/>
      <c r="T24" s="72">
        <f t="shared" si="9"/>
        <v>0.22080251544329552</v>
      </c>
      <c r="U24" s="67">
        <f t="shared" si="10"/>
        <v>2.4455118550447109E-2</v>
      </c>
      <c r="V24" s="73">
        <f t="shared" si="11"/>
        <v>2.7085417125603749E-3</v>
      </c>
    </row>
    <row r="25" spans="1:23" ht="15.75" customHeight="1" thickBot="1" x14ac:dyDescent="0.4">
      <c r="A25" s="18">
        <v>20</v>
      </c>
      <c r="B25" s="35">
        <v>5.47</v>
      </c>
      <c r="D25" s="35">
        <v>5.33</v>
      </c>
      <c r="E25" s="29"/>
      <c r="F25" s="10">
        <f t="shared" si="0"/>
        <v>0.18761726078799248</v>
      </c>
      <c r="G25" s="39"/>
      <c r="H25" s="39"/>
      <c r="I25" s="39"/>
      <c r="J25" s="39"/>
      <c r="K25" s="39"/>
      <c r="L25" s="40"/>
      <c r="M25" s="39"/>
      <c r="N25" s="39"/>
      <c r="O25" s="39"/>
      <c r="P25" s="39"/>
      <c r="Q25" s="39"/>
      <c r="R25" s="47"/>
      <c r="T25" s="72">
        <f t="shared" si="9"/>
        <v>0.57731807264891211</v>
      </c>
      <c r="U25" s="67">
        <f t="shared" si="10"/>
        <v>0.12662868783198444</v>
      </c>
      <c r="V25" s="73">
        <f t="shared" si="11"/>
        <v>2.777467975058788E-2</v>
      </c>
    </row>
    <row r="26" spans="1:23" ht="15.75" customHeight="1" thickBot="1" x14ac:dyDescent="0.4">
      <c r="A26" s="18">
        <v>21</v>
      </c>
      <c r="B26" s="48">
        <v>5.0199999999999996</v>
      </c>
      <c r="D26" s="35">
        <v>5.33</v>
      </c>
      <c r="E26" s="29"/>
      <c r="F26" s="10">
        <f t="shared" si="0"/>
        <v>0.18761726078799248</v>
      </c>
      <c r="G26" s="4" t="s">
        <v>39</v>
      </c>
      <c r="L26" s="36"/>
      <c r="M26" s="4" t="s">
        <v>40</v>
      </c>
      <c r="R26" s="47"/>
      <c r="T26" s="72">
        <f t="shared" si="9"/>
        <v>0.43013526175226546</v>
      </c>
      <c r="U26" s="67">
        <f t="shared" si="10"/>
        <v>0.14105145630049612</v>
      </c>
      <c r="V26" s="73">
        <f t="shared" si="11"/>
        <v>4.6254085850672484E-2</v>
      </c>
    </row>
    <row r="27" spans="1:23" ht="15.75" customHeight="1" thickBot="1" x14ac:dyDescent="0.4">
      <c r="A27" s="18">
        <v>22</v>
      </c>
      <c r="B27" s="35">
        <v>5.33</v>
      </c>
      <c r="D27" s="34">
        <v>5.33</v>
      </c>
      <c r="E27" s="29"/>
      <c r="F27" s="10">
        <f t="shared" si="0"/>
        <v>0.18761726078799248</v>
      </c>
      <c r="L27" s="38"/>
      <c r="R27" s="47"/>
      <c r="T27" s="72">
        <f>(J15-$O$18)^2*K15</f>
        <v>0.19053873445473068</v>
      </c>
      <c r="U27" s="67">
        <f t="shared" si="10"/>
        <v>8.3171572857858561E-2</v>
      </c>
      <c r="V27" s="73">
        <f t="shared" si="11"/>
        <v>3.6305009327610376E-2</v>
      </c>
    </row>
    <row r="28" spans="1:23" ht="15.75" customHeight="1" thickBot="1" x14ac:dyDescent="0.4">
      <c r="A28" s="18">
        <v>23</v>
      </c>
      <c r="B28" s="35">
        <v>5.64</v>
      </c>
      <c r="D28" s="35">
        <v>5.33</v>
      </c>
      <c r="E28" s="29"/>
      <c r="F28" s="10">
        <f t="shared" si="0"/>
        <v>0.18761726078799248</v>
      </c>
      <c r="J28" s="44">
        <f>(D55+D56)/2</f>
        <v>5.43</v>
      </c>
      <c r="K28" s="3" t="s">
        <v>41</v>
      </c>
      <c r="L28" s="38">
        <f>MEDIAN(D6:D105)</f>
        <v>5.43</v>
      </c>
      <c r="R28" s="47"/>
      <c r="T28" s="74">
        <f>SUM(T19:T27)/100</f>
        <v>2.8764033995525358E-2</v>
      </c>
      <c r="U28" s="68">
        <f>SUM(U19:U27)/100</f>
        <v>-2.9908823434845631E-4</v>
      </c>
      <c r="V28" s="75">
        <f>SUM(V19:V27)/100</f>
        <v>2.4376951326870793E-3</v>
      </c>
    </row>
    <row r="29" spans="1:23" ht="15.75" customHeight="1" thickBot="1" x14ac:dyDescent="0.4">
      <c r="A29" s="18">
        <v>24</v>
      </c>
      <c r="B29" s="35">
        <v>5.47</v>
      </c>
      <c r="D29" s="35">
        <v>5.33</v>
      </c>
      <c r="E29" s="29"/>
      <c r="F29" s="10">
        <f t="shared" si="0"/>
        <v>0.18761726078799248</v>
      </c>
      <c r="K29" s="44"/>
      <c r="L29" s="38"/>
      <c r="R29" s="47"/>
      <c r="T29" s="76" t="s">
        <v>125</v>
      </c>
      <c r="U29" s="77" t="s">
        <v>126</v>
      </c>
      <c r="V29" s="78" t="s">
        <v>127</v>
      </c>
    </row>
    <row r="30" spans="1:23" ht="15.75" customHeight="1" thickBot="1" x14ac:dyDescent="0.4">
      <c r="A30" s="18">
        <v>25</v>
      </c>
      <c r="B30" s="35">
        <v>5.61</v>
      </c>
      <c r="D30" s="35">
        <v>5.33</v>
      </c>
      <c r="E30" s="29"/>
      <c r="F30" s="10">
        <f t="shared" si="0"/>
        <v>0.18761726078799248</v>
      </c>
      <c r="L30" s="38"/>
      <c r="M30" t="str">
        <f>I11</f>
        <v>5,4-5,51</v>
      </c>
      <c r="N30" s="30" t="s">
        <v>42</v>
      </c>
      <c r="R30" s="47"/>
    </row>
    <row r="31" spans="1:23" ht="15.75" customHeight="1" thickBot="1" x14ac:dyDescent="0.4">
      <c r="A31" s="18">
        <v>26</v>
      </c>
      <c r="B31" s="35">
        <v>5.33</v>
      </c>
      <c r="D31" s="35">
        <v>5.33</v>
      </c>
      <c r="E31" s="29"/>
      <c r="F31" s="10">
        <f t="shared" si="0"/>
        <v>0.18761726078799248</v>
      </c>
      <c r="L31" s="38"/>
      <c r="M31" s="49" t="s">
        <v>43</v>
      </c>
      <c r="N31" s="50" t="s">
        <v>44</v>
      </c>
      <c r="O31">
        <f>5.4</f>
        <v>5.4</v>
      </c>
      <c r="P31" s="30" t="s">
        <v>45</v>
      </c>
      <c r="R31" s="47"/>
      <c r="T31" s="79" t="s">
        <v>131</v>
      </c>
      <c r="U31" s="79"/>
      <c r="V31" s="79"/>
    </row>
    <row r="32" spans="1:23" ht="15.75" customHeight="1" thickBot="1" x14ac:dyDescent="0.4">
      <c r="A32" s="18">
        <v>27</v>
      </c>
      <c r="B32" s="35">
        <v>5.43</v>
      </c>
      <c r="D32" s="35">
        <v>5.33</v>
      </c>
      <c r="E32" s="29"/>
      <c r="F32" s="10">
        <f t="shared" si="0"/>
        <v>0.18761726078799248</v>
      </c>
      <c r="L32" s="38"/>
      <c r="N32" s="49" t="s">
        <v>46</v>
      </c>
      <c r="O32">
        <f>T3/(1+LOG(T5,2))</f>
        <v>0.10858393713768459</v>
      </c>
      <c r="T32" s="79" t="s">
        <v>129</v>
      </c>
      <c r="U32" s="79">
        <f>U28/N2^3</f>
        <v>-6.2171240337949671E-2</v>
      </c>
    </row>
    <row r="33" spans="1:21" ht="15.75" customHeight="1" thickBot="1" x14ac:dyDescent="0.4">
      <c r="A33" s="18">
        <v>28</v>
      </c>
      <c r="B33" s="35">
        <v>5.21</v>
      </c>
      <c r="D33" s="35">
        <v>5.33</v>
      </c>
      <c r="E33" s="29"/>
      <c r="F33" s="10">
        <f t="shared" si="0"/>
        <v>0.18761726078799248</v>
      </c>
      <c r="L33" s="38"/>
      <c r="N33" s="51" t="s">
        <v>47</v>
      </c>
      <c r="O33" s="18">
        <f>K11</f>
        <v>29</v>
      </c>
      <c r="P33" s="30" t="s">
        <v>48</v>
      </c>
      <c r="R33" s="47"/>
      <c r="T33" s="79" t="s">
        <v>130</v>
      </c>
      <c r="U33" s="79">
        <f>V28/N2^4 - 3</f>
        <v>1.693379349363866E-3</v>
      </c>
    </row>
    <row r="34" spans="1:21" ht="15.75" customHeight="1" thickBot="1" x14ac:dyDescent="0.4">
      <c r="A34" s="18">
        <v>29</v>
      </c>
      <c r="B34" s="35">
        <v>5.27</v>
      </c>
      <c r="D34" s="35">
        <v>5.33</v>
      </c>
      <c r="E34" s="29"/>
      <c r="F34" s="10">
        <f t="shared" si="0"/>
        <v>0.18761726078799248</v>
      </c>
      <c r="L34" s="38"/>
      <c r="N34" s="51" t="s">
        <v>49</v>
      </c>
      <c r="O34" s="18">
        <f>O10</f>
        <v>36</v>
      </c>
      <c r="P34" s="30" t="s">
        <v>50</v>
      </c>
      <c r="R34" s="47"/>
    </row>
    <row r="35" spans="1:21" ht="15.75" customHeight="1" x14ac:dyDescent="0.35">
      <c r="A35" s="18">
        <v>30</v>
      </c>
      <c r="B35" s="35">
        <v>5.47</v>
      </c>
      <c r="D35" s="35">
        <v>5.33</v>
      </c>
      <c r="E35" s="29"/>
      <c r="F35" s="10">
        <f t="shared" si="0"/>
        <v>0.18761726078799248</v>
      </c>
      <c r="G35" s="39"/>
      <c r="H35" s="39"/>
      <c r="I35" s="39"/>
      <c r="J35" s="39"/>
      <c r="K35" s="39"/>
      <c r="L35" s="40"/>
      <c r="M35" s="39"/>
      <c r="N35" s="39" t="s">
        <v>51</v>
      </c>
      <c r="O35" s="52">
        <f>O31 + O32*(K16/2 - O34)/O33</f>
        <v>5.2652061470014955</v>
      </c>
      <c r="P35" s="53" t="s">
        <v>52</v>
      </c>
      <c r="Q35" s="39"/>
      <c r="R35" s="47"/>
    </row>
    <row r="36" spans="1:21" ht="15.75" customHeight="1" x14ac:dyDescent="0.35">
      <c r="A36" s="18">
        <v>31</v>
      </c>
      <c r="B36" s="34">
        <v>5.47</v>
      </c>
      <c r="D36" s="35">
        <v>5.37</v>
      </c>
      <c r="E36" s="29"/>
      <c r="F36" s="10">
        <f t="shared" si="0"/>
        <v>0.18621973929236499</v>
      </c>
      <c r="G36" s="4" t="s">
        <v>53</v>
      </c>
      <c r="J36" s="44">
        <f>MODE(D6:D105)</f>
        <v>5.43</v>
      </c>
      <c r="K36" s="1" t="s">
        <v>54</v>
      </c>
      <c r="L36" s="36"/>
      <c r="M36" s="4" t="s">
        <v>55</v>
      </c>
    </row>
    <row r="37" spans="1:21" ht="15.75" customHeight="1" x14ac:dyDescent="0.35">
      <c r="A37" s="18">
        <v>32</v>
      </c>
      <c r="B37" s="35">
        <v>5.33</v>
      </c>
      <c r="D37" s="34">
        <v>5.37</v>
      </c>
      <c r="E37" s="29"/>
      <c r="F37" s="10">
        <f t="shared" si="0"/>
        <v>0.18621973929236499</v>
      </c>
      <c r="K37" s="1" t="s">
        <v>56</v>
      </c>
      <c r="L37" s="38"/>
      <c r="R37" s="47"/>
    </row>
    <row r="38" spans="1:21" ht="15.75" customHeight="1" x14ac:dyDescent="0.35">
      <c r="A38" s="18">
        <v>33</v>
      </c>
      <c r="B38" s="35">
        <v>5.21</v>
      </c>
      <c r="D38" s="35">
        <v>5.37</v>
      </c>
      <c r="E38" s="29"/>
      <c r="F38" s="10">
        <f t="shared" si="0"/>
        <v>0.18621973929236499</v>
      </c>
      <c r="K38" s="1" t="s">
        <v>57</v>
      </c>
      <c r="L38" s="38"/>
      <c r="R38" s="47"/>
    </row>
    <row r="39" spans="1:21" ht="15.75" customHeight="1" x14ac:dyDescent="0.35">
      <c r="A39" s="18">
        <v>34</v>
      </c>
      <c r="B39" s="35">
        <v>5.27</v>
      </c>
      <c r="D39" s="35">
        <v>5.39</v>
      </c>
      <c r="E39" s="29"/>
      <c r="F39" s="10">
        <f t="shared" si="0"/>
        <v>0.1855287569573284</v>
      </c>
      <c r="L39" s="38"/>
      <c r="P39" s="1" t="s">
        <v>58</v>
      </c>
      <c r="R39" s="47"/>
    </row>
    <row r="40" spans="1:21" ht="15.75" customHeight="1" x14ac:dyDescent="0.35">
      <c r="A40" s="18">
        <v>35</v>
      </c>
      <c r="B40" s="35">
        <v>5.47</v>
      </c>
      <c r="D40" s="35">
        <v>5.4</v>
      </c>
      <c r="E40" s="29"/>
      <c r="F40" s="10">
        <f t="shared" si="0"/>
        <v>0.18518518518518517</v>
      </c>
      <c r="L40" s="38"/>
      <c r="N40" s="50" t="s">
        <v>59</v>
      </c>
      <c r="O40">
        <v>5.4</v>
      </c>
      <c r="P40" s="30" t="s">
        <v>60</v>
      </c>
      <c r="R40" s="47"/>
    </row>
    <row r="41" spans="1:21" ht="15.75" customHeight="1" x14ac:dyDescent="0.35">
      <c r="A41" s="18">
        <v>36</v>
      </c>
      <c r="B41" s="35">
        <v>5.1100000000000003</v>
      </c>
      <c r="D41" s="35">
        <v>5.4</v>
      </c>
      <c r="E41" s="29"/>
      <c r="F41" s="10">
        <f t="shared" si="0"/>
        <v>0.18518518518518517</v>
      </c>
      <c r="L41" s="38"/>
      <c r="N41" s="51" t="s">
        <v>61</v>
      </c>
      <c r="O41" s="18">
        <f>K11</f>
        <v>29</v>
      </c>
      <c r="P41" s="30" t="s">
        <v>62</v>
      </c>
    </row>
    <row r="42" spans="1:21" ht="15.75" customHeight="1" x14ac:dyDescent="0.35">
      <c r="A42" s="18">
        <v>37</v>
      </c>
      <c r="B42" s="35">
        <v>5.54</v>
      </c>
      <c r="D42" s="35">
        <v>5.43</v>
      </c>
      <c r="E42" s="29"/>
      <c r="F42" s="10">
        <f t="shared" si="0"/>
        <v>0.18416206261510129</v>
      </c>
      <c r="L42" s="38"/>
      <c r="N42" s="51" t="s">
        <v>63</v>
      </c>
      <c r="O42" s="18">
        <f>K10</f>
        <v>19</v>
      </c>
      <c r="P42" s="30" t="s">
        <v>64</v>
      </c>
    </row>
    <row r="43" spans="1:21" ht="15.75" customHeight="1" x14ac:dyDescent="0.35">
      <c r="A43" s="18">
        <v>38</v>
      </c>
      <c r="B43" s="35">
        <v>5.33</v>
      </c>
      <c r="D43" s="35">
        <v>5.43</v>
      </c>
      <c r="E43" s="29"/>
      <c r="F43" s="10">
        <f t="shared" si="0"/>
        <v>0.18416206261510129</v>
      </c>
      <c r="G43" s="3"/>
      <c r="H43" s="3"/>
      <c r="I43" s="3"/>
      <c r="J43" s="3"/>
      <c r="K43" s="3"/>
      <c r="L43" s="38"/>
      <c r="M43" s="3"/>
      <c r="N43" s="51" t="s">
        <v>65</v>
      </c>
      <c r="O43" s="18">
        <f>K12</f>
        <v>18</v>
      </c>
      <c r="P43" s="30" t="s">
        <v>64</v>
      </c>
      <c r="Q43" s="3"/>
    </row>
    <row r="44" spans="1:21" ht="15.75" customHeight="1" x14ac:dyDescent="0.35">
      <c r="A44" s="18">
        <v>39</v>
      </c>
      <c r="B44" s="35">
        <v>5.33</v>
      </c>
      <c r="D44" s="35">
        <v>5.43</v>
      </c>
      <c r="E44" s="29"/>
      <c r="F44" s="10">
        <f t="shared" si="0"/>
        <v>0.18416206261510129</v>
      </c>
      <c r="G44" s="39"/>
      <c r="H44" s="39"/>
      <c r="I44" s="39"/>
      <c r="J44" s="39"/>
      <c r="K44" s="39"/>
      <c r="L44" s="40"/>
      <c r="M44" s="39"/>
      <c r="N44" s="39" t="s">
        <v>66</v>
      </c>
      <c r="O44" s="52">
        <f>O40+O32*((O41-O42)/(2*O41-O42-O43))</f>
        <v>5.4517066367322311</v>
      </c>
      <c r="P44" s="39"/>
      <c r="Q44" s="39"/>
    </row>
    <row r="45" spans="1:21" ht="15.75" customHeight="1" x14ac:dyDescent="0.35">
      <c r="A45" s="18">
        <v>40</v>
      </c>
      <c r="B45" s="35">
        <v>5.27</v>
      </c>
      <c r="D45" s="35">
        <v>5.43</v>
      </c>
      <c r="E45" s="29"/>
      <c r="F45" s="10">
        <f t="shared" si="0"/>
        <v>0.18416206261510129</v>
      </c>
      <c r="G45" s="4" t="s">
        <v>67</v>
      </c>
      <c r="L45" s="54" t="s">
        <v>68</v>
      </c>
      <c r="M45" s="4" t="s">
        <v>69</v>
      </c>
    </row>
    <row r="46" spans="1:21" ht="15.75" customHeight="1" x14ac:dyDescent="0.35">
      <c r="A46" s="18">
        <v>41</v>
      </c>
      <c r="B46" s="34">
        <v>5.27</v>
      </c>
      <c r="D46" s="35">
        <v>5.43</v>
      </c>
      <c r="E46" s="29"/>
      <c r="F46" s="10">
        <f t="shared" si="0"/>
        <v>0.18416206261510129</v>
      </c>
      <c r="I46" s="55"/>
      <c r="K46" s="44"/>
      <c r="L46" s="56" t="s">
        <v>70</v>
      </c>
    </row>
    <row r="47" spans="1:21" ht="15.75" customHeight="1" x14ac:dyDescent="0.35">
      <c r="A47" s="18">
        <v>42</v>
      </c>
      <c r="B47" s="35">
        <v>5.47</v>
      </c>
      <c r="D47" s="34">
        <v>5.43</v>
      </c>
      <c r="E47" s="29"/>
      <c r="F47" s="10">
        <f t="shared" si="0"/>
        <v>0.18416206261510129</v>
      </c>
      <c r="I47" s="44"/>
      <c r="J47" s="49" t="s">
        <v>71</v>
      </c>
      <c r="K47" s="44"/>
      <c r="L47" s="38"/>
    </row>
    <row r="48" spans="1:21" ht="15.75" customHeight="1" x14ac:dyDescent="0.35">
      <c r="A48" s="18">
        <v>43</v>
      </c>
      <c r="B48" s="35">
        <v>5.68</v>
      </c>
      <c r="D48" s="35">
        <v>5.43</v>
      </c>
      <c r="E48" s="29"/>
      <c r="F48" s="10">
        <f t="shared" si="0"/>
        <v>0.18416206261510129</v>
      </c>
      <c r="I48" s="16" t="s">
        <v>72</v>
      </c>
      <c r="J48" s="57">
        <f>_xlfn.QUARTILE.INC(D6:D105,0)</f>
        <v>5.0199999999999996</v>
      </c>
      <c r="L48" s="38"/>
    </row>
    <row r="49" spans="1:19" ht="15.75" customHeight="1" x14ac:dyDescent="0.35">
      <c r="A49" s="18">
        <v>44</v>
      </c>
      <c r="B49" s="35">
        <v>5.68</v>
      </c>
      <c r="D49" s="35">
        <v>5.43</v>
      </c>
      <c r="E49" s="29"/>
      <c r="F49" s="10">
        <f t="shared" si="0"/>
        <v>0.18416206261510129</v>
      </c>
      <c r="I49" s="16" t="s">
        <v>73</v>
      </c>
      <c r="J49" s="57">
        <f>_xlfn.QUARTILE.INC(D6:D105,1)</f>
        <v>5.33</v>
      </c>
      <c r="L49" s="38"/>
      <c r="M49" s="58" t="str">
        <f>I10</f>
        <v>5,29-5,4</v>
      </c>
      <c r="N49" s="30" t="s">
        <v>74</v>
      </c>
      <c r="R49" s="37" t="str">
        <f>I12</f>
        <v>5,51-5,62</v>
      </c>
      <c r="S49" s="30" t="s">
        <v>74</v>
      </c>
    </row>
    <row r="50" spans="1:19" ht="15.75" customHeight="1" x14ac:dyDescent="0.35">
      <c r="A50" s="18">
        <v>45</v>
      </c>
      <c r="B50" s="35">
        <v>5.27</v>
      </c>
      <c r="D50" s="35">
        <v>5.43</v>
      </c>
      <c r="E50" s="29"/>
      <c r="F50" s="10">
        <f t="shared" si="0"/>
        <v>0.18416206261510129</v>
      </c>
      <c r="I50" s="16" t="s">
        <v>75</v>
      </c>
      <c r="J50" s="57">
        <f>_xlfn.QUARTILE.INC(D6:D105,2)</f>
        <v>5.43</v>
      </c>
      <c r="L50" s="38"/>
      <c r="N50" s="1" t="s">
        <v>76</v>
      </c>
      <c r="S50" s="1" t="s">
        <v>77</v>
      </c>
    </row>
    <row r="51" spans="1:19" ht="15.75" customHeight="1" x14ac:dyDescent="0.35">
      <c r="A51" s="18">
        <v>46</v>
      </c>
      <c r="B51" s="35">
        <v>5.33</v>
      </c>
      <c r="D51" s="35">
        <v>5.43</v>
      </c>
      <c r="E51" s="29"/>
      <c r="F51" s="10">
        <f t="shared" si="0"/>
        <v>0.18416206261510129</v>
      </c>
      <c r="I51" s="16" t="s">
        <v>78</v>
      </c>
      <c r="J51" s="57">
        <f>_xlfn.QUARTILE.INC(D6:D105,3)</f>
        <v>5.54</v>
      </c>
      <c r="L51" s="38"/>
      <c r="N51" s="4">
        <v>5.29</v>
      </c>
      <c r="O51" s="30" t="s">
        <v>79</v>
      </c>
      <c r="R51" s="4">
        <v>5.51</v>
      </c>
      <c r="S51" s="30" t="s">
        <v>79</v>
      </c>
    </row>
    <row r="52" spans="1:19" ht="15.75" customHeight="1" x14ac:dyDescent="0.35">
      <c r="A52" s="18">
        <v>47</v>
      </c>
      <c r="B52" s="35">
        <v>5.43</v>
      </c>
      <c r="D52" s="35">
        <v>5.43</v>
      </c>
      <c r="E52" s="29"/>
      <c r="F52" s="10">
        <f t="shared" si="0"/>
        <v>0.18416206261510129</v>
      </c>
      <c r="I52" s="16" t="s">
        <v>80</v>
      </c>
      <c r="J52" s="57">
        <f>_xlfn.QUARTILE.INC(D6:D105,4)</f>
        <v>5.85</v>
      </c>
      <c r="L52" s="38"/>
      <c r="O52" s="1" t="s">
        <v>81</v>
      </c>
      <c r="S52" s="1" t="s">
        <v>82</v>
      </c>
    </row>
    <row r="53" spans="1:19" ht="15.75" customHeight="1" x14ac:dyDescent="0.35">
      <c r="A53" s="18">
        <v>48</v>
      </c>
      <c r="B53" s="35">
        <v>5.43</v>
      </c>
      <c r="D53" s="35">
        <v>5.43</v>
      </c>
      <c r="E53" s="29"/>
      <c r="F53" s="10">
        <f t="shared" si="0"/>
        <v>0.18416206261510129</v>
      </c>
      <c r="G53" s="4" t="s">
        <v>115</v>
      </c>
      <c r="L53" s="38"/>
      <c r="N53" s="8">
        <f>K10</f>
        <v>19</v>
      </c>
      <c r="O53" s="30" t="s">
        <v>83</v>
      </c>
      <c r="R53" s="8">
        <f>K12</f>
        <v>18</v>
      </c>
      <c r="S53" s="30" t="s">
        <v>83</v>
      </c>
    </row>
    <row r="54" spans="1:19" ht="15.75" customHeight="1" x14ac:dyDescent="0.35">
      <c r="A54" s="18">
        <v>49</v>
      </c>
      <c r="B54" s="35">
        <v>5.4</v>
      </c>
      <c r="D54" s="35">
        <v>5.43</v>
      </c>
      <c r="E54" s="29"/>
      <c r="F54" s="10">
        <f t="shared" si="0"/>
        <v>0.18416206261510129</v>
      </c>
      <c r="G54" s="4" t="s">
        <v>84</v>
      </c>
      <c r="L54" s="38"/>
      <c r="O54" s="1" t="s">
        <v>85</v>
      </c>
      <c r="R54" s="47"/>
      <c r="S54" s="1" t="s">
        <v>86</v>
      </c>
    </row>
    <row r="55" spans="1:19" ht="15.75" customHeight="1" x14ac:dyDescent="0.35">
      <c r="A55" s="18">
        <v>50</v>
      </c>
      <c r="B55" s="35">
        <v>5.58</v>
      </c>
      <c r="D55" s="59">
        <v>5.43</v>
      </c>
      <c r="E55" s="60"/>
      <c r="F55" s="10">
        <f t="shared" si="0"/>
        <v>0.18416206261510129</v>
      </c>
      <c r="G55" s="4" t="s">
        <v>116</v>
      </c>
      <c r="L55" s="38"/>
      <c r="R55" s="47"/>
    </row>
    <row r="56" spans="1:19" ht="15.75" customHeight="1" x14ac:dyDescent="0.35">
      <c r="A56" s="18">
        <v>51</v>
      </c>
      <c r="B56" s="34">
        <v>5.37</v>
      </c>
      <c r="D56" s="59">
        <v>5.43</v>
      </c>
      <c r="E56" s="60"/>
      <c r="F56" s="10">
        <f t="shared" si="0"/>
        <v>0.18416206261510129</v>
      </c>
      <c r="G56" s="4" t="s">
        <v>117</v>
      </c>
      <c r="L56" s="38"/>
      <c r="N56" s="8">
        <f>O9</f>
        <v>17</v>
      </c>
      <c r="O56" s="30" t="s">
        <v>87</v>
      </c>
      <c r="R56" s="8">
        <f>O11</f>
        <v>65</v>
      </c>
      <c r="S56" s="30" t="s">
        <v>87</v>
      </c>
    </row>
    <row r="57" spans="1:19" ht="15.75" customHeight="1" x14ac:dyDescent="0.35">
      <c r="A57" s="18">
        <v>52</v>
      </c>
      <c r="B57" s="35">
        <v>5.05</v>
      </c>
      <c r="D57" s="34">
        <v>5.47</v>
      </c>
      <c r="E57" s="29"/>
      <c r="F57" s="10">
        <f t="shared" si="0"/>
        <v>0.18281535648994515</v>
      </c>
      <c r="G57" s="4" t="s">
        <v>118</v>
      </c>
      <c r="L57" s="38"/>
      <c r="O57" s="1" t="s">
        <v>88</v>
      </c>
      <c r="S57" s="1" t="s">
        <v>88</v>
      </c>
    </row>
    <row r="58" spans="1:19" ht="15.75" customHeight="1" x14ac:dyDescent="0.35">
      <c r="A58" s="18">
        <v>53</v>
      </c>
      <c r="B58" s="35">
        <v>5.43</v>
      </c>
      <c r="D58" s="35">
        <v>5.47</v>
      </c>
      <c r="E58" s="29"/>
      <c r="F58" s="10">
        <f t="shared" si="0"/>
        <v>0.18281535648994515</v>
      </c>
      <c r="L58" s="38"/>
      <c r="O58" s="1" t="s">
        <v>89</v>
      </c>
      <c r="S58" s="1" t="s">
        <v>86</v>
      </c>
    </row>
    <row r="59" spans="1:19" ht="15.75" customHeight="1" x14ac:dyDescent="0.35">
      <c r="A59" s="18">
        <v>54</v>
      </c>
      <c r="B59" s="35">
        <v>5.43</v>
      </c>
      <c r="D59" s="35">
        <v>5.47</v>
      </c>
      <c r="E59" s="29"/>
      <c r="F59" s="10">
        <f t="shared" si="0"/>
        <v>0.18281535648994515</v>
      </c>
      <c r="L59" s="38"/>
    </row>
    <row r="60" spans="1:19" ht="15.75" customHeight="1" x14ac:dyDescent="0.35">
      <c r="A60" s="18">
        <v>55</v>
      </c>
      <c r="B60" s="35">
        <v>5.54</v>
      </c>
      <c r="D60" s="35">
        <v>5.47</v>
      </c>
      <c r="E60" s="29"/>
      <c r="F60" s="10">
        <f t="shared" si="0"/>
        <v>0.18281535648994515</v>
      </c>
      <c r="L60" s="38"/>
      <c r="N60" s="61" t="s">
        <v>90</v>
      </c>
      <c r="O60" s="37">
        <f>N51+O32*((1/4*O15)-N56)/N53</f>
        <v>5.3357195524790253</v>
      </c>
      <c r="P60" s="3" t="s">
        <v>91</v>
      </c>
      <c r="R60" s="61" t="s">
        <v>92</v>
      </c>
      <c r="S60" s="37">
        <f>R51+O32*(3/4*100-R56)/R53</f>
        <v>5.5703244095209357</v>
      </c>
    </row>
    <row r="61" spans="1:19" ht="15.75" customHeight="1" x14ac:dyDescent="0.35">
      <c r="A61" s="18">
        <v>56</v>
      </c>
      <c r="B61" s="35">
        <v>5.33</v>
      </c>
      <c r="D61" s="35">
        <v>5.47</v>
      </c>
      <c r="E61" s="29"/>
      <c r="F61" s="10">
        <f t="shared" si="0"/>
        <v>0.18281535648994515</v>
      </c>
      <c r="L61" s="38"/>
      <c r="N61" s="3"/>
      <c r="O61" s="3"/>
      <c r="P61" s="3" t="s">
        <v>93</v>
      </c>
    </row>
    <row r="62" spans="1:19" ht="15.75" customHeight="1" x14ac:dyDescent="0.35">
      <c r="A62" s="18">
        <v>57</v>
      </c>
      <c r="B62" s="35">
        <v>5.37</v>
      </c>
      <c r="D62" s="35">
        <v>5.47</v>
      </c>
      <c r="E62" s="29"/>
      <c r="F62" s="10">
        <f t="shared" si="0"/>
        <v>0.18281535648994515</v>
      </c>
      <c r="G62" s="3"/>
      <c r="H62" s="3"/>
      <c r="I62" s="3"/>
      <c r="J62" s="3"/>
      <c r="K62" s="3"/>
      <c r="L62" s="38"/>
      <c r="M62" s="3"/>
      <c r="N62" s="3"/>
      <c r="O62" s="3"/>
      <c r="P62" s="3" t="s">
        <v>94</v>
      </c>
      <c r="Q62" s="3"/>
    </row>
    <row r="63" spans="1:19" ht="15.75" customHeight="1" x14ac:dyDescent="0.35">
      <c r="A63" s="18">
        <v>58</v>
      </c>
      <c r="B63" s="35">
        <v>5.33</v>
      </c>
      <c r="D63" s="35">
        <v>5.47</v>
      </c>
      <c r="E63" s="29"/>
      <c r="F63" s="10">
        <f t="shared" si="0"/>
        <v>0.18281535648994515</v>
      </c>
      <c r="G63" s="3"/>
      <c r="H63" s="3"/>
      <c r="I63" s="3"/>
      <c r="J63" s="3"/>
      <c r="K63" s="3"/>
      <c r="L63" s="38"/>
      <c r="M63" s="4" t="s">
        <v>119</v>
      </c>
      <c r="N63" s="3"/>
      <c r="O63" s="3"/>
      <c r="P63" s="3"/>
      <c r="Q63" s="3"/>
    </row>
    <row r="64" spans="1:19" ht="15.75" customHeight="1" x14ac:dyDescent="0.35">
      <c r="A64" s="18">
        <v>59</v>
      </c>
      <c r="B64" s="35">
        <v>5.43</v>
      </c>
      <c r="D64" s="35">
        <v>5.47</v>
      </c>
      <c r="E64" s="29"/>
      <c r="F64" s="10">
        <f t="shared" si="0"/>
        <v>0.18281535648994515</v>
      </c>
      <c r="G64" s="3"/>
      <c r="H64" s="3"/>
      <c r="I64" s="3"/>
      <c r="J64" s="3"/>
      <c r="K64" s="3"/>
      <c r="L64" s="38"/>
      <c r="M64" s="4" t="s">
        <v>120</v>
      </c>
      <c r="N64" s="3"/>
      <c r="O64" s="3"/>
      <c r="P64" s="3"/>
      <c r="Q64" s="3"/>
    </row>
    <row r="65" spans="1:19" ht="15.75" customHeight="1" x14ac:dyDescent="0.35">
      <c r="A65" s="18">
        <v>60</v>
      </c>
      <c r="B65" s="35">
        <v>5.43</v>
      </c>
      <c r="D65" s="35">
        <v>5.47</v>
      </c>
      <c r="E65" s="29"/>
      <c r="F65" s="10">
        <f t="shared" si="0"/>
        <v>0.18281535648994515</v>
      </c>
      <c r="G65" s="39"/>
      <c r="H65" s="39"/>
      <c r="I65" s="39"/>
      <c r="J65" s="39"/>
      <c r="K65" s="39"/>
      <c r="L65" s="40"/>
      <c r="M65" s="62" t="s">
        <v>121</v>
      </c>
      <c r="N65" s="39"/>
      <c r="O65" s="39"/>
      <c r="P65" s="39"/>
      <c r="Q65" s="39"/>
    </row>
    <row r="66" spans="1:19" ht="15.75" customHeight="1" x14ac:dyDescent="0.35">
      <c r="A66" s="18">
        <v>61</v>
      </c>
      <c r="B66" s="34">
        <v>5.47</v>
      </c>
      <c r="D66" s="35">
        <v>5.47</v>
      </c>
      <c r="E66" s="29"/>
      <c r="F66" s="10">
        <f t="shared" si="0"/>
        <v>0.18281535648994515</v>
      </c>
      <c r="G66" s="4" t="s">
        <v>95</v>
      </c>
      <c r="L66" s="36"/>
      <c r="M66" s="4" t="s">
        <v>96</v>
      </c>
    </row>
    <row r="67" spans="1:19" ht="15.75" customHeight="1" x14ac:dyDescent="0.35">
      <c r="A67" s="18">
        <v>62</v>
      </c>
      <c r="B67" s="35">
        <v>5.33</v>
      </c>
      <c r="D67" s="34">
        <v>5.47</v>
      </c>
      <c r="E67" s="29"/>
      <c r="F67" s="10">
        <f t="shared" si="0"/>
        <v>0.18281535648994515</v>
      </c>
      <c r="I67" s="63">
        <f>1*(T5+1)/10</f>
        <v>10.1</v>
      </c>
      <c r="L67" s="64"/>
    </row>
    <row r="68" spans="1:19" ht="15.75" customHeight="1" x14ac:dyDescent="0.35">
      <c r="A68" s="18">
        <v>63</v>
      </c>
      <c r="B68" s="35">
        <v>5.79</v>
      </c>
      <c r="D68" s="35">
        <v>5.47</v>
      </c>
      <c r="E68" s="29"/>
      <c r="F68" s="10">
        <f t="shared" si="0"/>
        <v>0.18281535648994515</v>
      </c>
      <c r="I68" s="63"/>
      <c r="L68" s="65">
        <f>6*(T5+1)/10</f>
        <v>60.6</v>
      </c>
    </row>
    <row r="69" spans="1:19" ht="15.75" customHeight="1" x14ac:dyDescent="0.35">
      <c r="A69" s="18">
        <v>64</v>
      </c>
      <c r="B69" s="35">
        <v>5.47</v>
      </c>
      <c r="D69" s="35">
        <v>5.47</v>
      </c>
      <c r="E69" s="29"/>
      <c r="F69" s="10">
        <f t="shared" si="0"/>
        <v>0.18281535648994515</v>
      </c>
      <c r="I69" s="63"/>
      <c r="L69" s="65"/>
    </row>
    <row r="70" spans="1:19" ht="15.75" customHeight="1" x14ac:dyDescent="0.35">
      <c r="A70" s="18">
        <v>65</v>
      </c>
      <c r="B70" s="35">
        <v>5.61</v>
      </c>
      <c r="D70" s="35">
        <v>5.47</v>
      </c>
      <c r="E70" s="29"/>
      <c r="F70" s="10">
        <f t="shared" si="0"/>
        <v>0.18281535648994515</v>
      </c>
      <c r="I70" s="63">
        <f>2*(T5+1)/10</f>
        <v>20.2</v>
      </c>
      <c r="L70" s="64"/>
      <c r="M70" s="58" t="str">
        <f>I9</f>
        <v>5,18-5,29</v>
      </c>
      <c r="N70" s="30" t="s">
        <v>74</v>
      </c>
      <c r="R70" s="66" t="str">
        <f>I13</f>
        <v>5,62-5,73</v>
      </c>
      <c r="S70" s="30" t="s">
        <v>74</v>
      </c>
    </row>
    <row r="71" spans="1:19" ht="15.75" customHeight="1" x14ac:dyDescent="0.35">
      <c r="A71" s="18">
        <v>66</v>
      </c>
      <c r="B71" s="35">
        <v>5.33</v>
      </c>
      <c r="D71" s="35">
        <v>5.54</v>
      </c>
      <c r="E71" s="29"/>
      <c r="F71" s="10">
        <f t="shared" ref="F71:F105" si="12">1/D71</f>
        <v>0.18050541516245489</v>
      </c>
      <c r="I71" s="63"/>
      <c r="K71">
        <f>7*(T5+1)/10</f>
        <v>70.7</v>
      </c>
      <c r="L71" s="65"/>
      <c r="N71" s="1" t="s">
        <v>97</v>
      </c>
      <c r="S71" s="1" t="s">
        <v>98</v>
      </c>
    </row>
    <row r="72" spans="1:19" ht="15.75" customHeight="1" x14ac:dyDescent="0.35">
      <c r="A72" s="18">
        <v>67</v>
      </c>
      <c r="B72" s="35">
        <v>5.37</v>
      </c>
      <c r="D72" s="35">
        <v>5.54</v>
      </c>
      <c r="E72" s="29"/>
      <c r="F72" s="10">
        <f t="shared" si="12"/>
        <v>0.18050541516245489</v>
      </c>
      <c r="I72" s="63">
        <f>3*(T5+1)/10</f>
        <v>30.3</v>
      </c>
      <c r="L72" s="65"/>
      <c r="N72">
        <v>5.18</v>
      </c>
      <c r="O72" s="30" t="s">
        <v>79</v>
      </c>
      <c r="R72">
        <v>5.62</v>
      </c>
      <c r="S72" s="30" t="s">
        <v>79</v>
      </c>
    </row>
    <row r="73" spans="1:19" ht="15.75" customHeight="1" x14ac:dyDescent="0.35">
      <c r="A73" s="18">
        <v>68</v>
      </c>
      <c r="B73" s="35">
        <v>5.43</v>
      </c>
      <c r="D73" s="35">
        <v>5.54</v>
      </c>
      <c r="E73" s="29"/>
      <c r="F73" s="10">
        <f t="shared" si="12"/>
        <v>0.18050541516245489</v>
      </c>
      <c r="I73" s="63"/>
      <c r="L73" s="64"/>
      <c r="O73" s="1" t="s">
        <v>99</v>
      </c>
      <c r="S73" s="1" t="s">
        <v>100</v>
      </c>
    </row>
    <row r="74" spans="1:19" ht="15.75" customHeight="1" x14ac:dyDescent="0.35">
      <c r="A74" s="18">
        <v>69</v>
      </c>
      <c r="B74" s="35">
        <v>5.54</v>
      </c>
      <c r="D74" s="35">
        <v>5.54</v>
      </c>
      <c r="E74" s="29"/>
      <c r="F74" s="10">
        <f t="shared" si="12"/>
        <v>0.18050541516245489</v>
      </c>
      <c r="I74" s="63">
        <f>4*(T5+1)/10</f>
        <v>40.4</v>
      </c>
      <c r="K74">
        <f>8*(T5+1)/10</f>
        <v>80.8</v>
      </c>
      <c r="L74" s="65"/>
      <c r="N74" s="8">
        <f>K9</f>
        <v>12</v>
      </c>
      <c r="O74" s="30" t="s">
        <v>83</v>
      </c>
      <c r="R74" s="8">
        <f>K13</f>
        <v>12</v>
      </c>
      <c r="S74" s="30" t="s">
        <v>83</v>
      </c>
    </row>
    <row r="75" spans="1:19" ht="15.75" customHeight="1" x14ac:dyDescent="0.35">
      <c r="A75" s="18">
        <v>70</v>
      </c>
      <c r="B75" s="35">
        <v>5.43</v>
      </c>
      <c r="D75" s="35">
        <v>5.54</v>
      </c>
      <c r="E75" s="29"/>
      <c r="F75" s="10">
        <f t="shared" si="12"/>
        <v>0.18050541516245489</v>
      </c>
      <c r="I75" s="63"/>
      <c r="L75" s="65"/>
      <c r="O75" s="30" t="s">
        <v>101</v>
      </c>
      <c r="S75" s="30" t="s">
        <v>102</v>
      </c>
    </row>
    <row r="76" spans="1:19" ht="15.75" customHeight="1" x14ac:dyDescent="0.35">
      <c r="A76" s="18">
        <v>71</v>
      </c>
      <c r="B76" s="34">
        <v>5.47</v>
      </c>
      <c r="D76" s="35">
        <v>5.54</v>
      </c>
      <c r="E76" s="29"/>
      <c r="F76" s="10">
        <f t="shared" si="12"/>
        <v>0.18050541516245489</v>
      </c>
      <c r="I76" s="63"/>
      <c r="K76">
        <f>9*(T5+1)/10</f>
        <v>90.9</v>
      </c>
      <c r="L76" s="64"/>
      <c r="N76" s="8">
        <f>O8</f>
        <v>5</v>
      </c>
      <c r="O76" s="30" t="s">
        <v>87</v>
      </c>
      <c r="R76" s="8">
        <f>O12</f>
        <v>83</v>
      </c>
      <c r="S76" s="30" t="s">
        <v>87</v>
      </c>
    </row>
    <row r="77" spans="1:19" ht="15.75" customHeight="1" x14ac:dyDescent="0.35">
      <c r="A77" s="18">
        <v>72</v>
      </c>
      <c r="B77" s="59">
        <v>5.85</v>
      </c>
      <c r="D77" s="34">
        <v>5.54</v>
      </c>
      <c r="E77" s="29"/>
      <c r="F77" s="10">
        <f t="shared" si="12"/>
        <v>0.18050541516245489</v>
      </c>
      <c r="I77" s="63">
        <f>5*(T5+1)/10</f>
        <v>50.5</v>
      </c>
      <c r="L77" s="38"/>
      <c r="O77" s="1" t="s">
        <v>88</v>
      </c>
      <c r="S77" s="1" t="s">
        <v>88</v>
      </c>
    </row>
    <row r="78" spans="1:19" ht="15.75" customHeight="1" x14ac:dyDescent="0.35">
      <c r="A78" s="18">
        <v>73</v>
      </c>
      <c r="B78" s="35">
        <v>5.47</v>
      </c>
      <c r="D78" s="35">
        <v>5.54</v>
      </c>
      <c r="E78" s="29"/>
      <c r="F78" s="10">
        <f t="shared" si="12"/>
        <v>0.18050541516245489</v>
      </c>
      <c r="L78" s="38"/>
      <c r="O78" s="30" t="s">
        <v>101</v>
      </c>
      <c r="S78" s="30" t="s">
        <v>102</v>
      </c>
    </row>
    <row r="79" spans="1:19" ht="15.75" customHeight="1" x14ac:dyDescent="0.35">
      <c r="A79" s="18">
        <v>74</v>
      </c>
      <c r="B79" s="35">
        <v>5.79</v>
      </c>
      <c r="D79" s="35">
        <v>5.54</v>
      </c>
      <c r="E79" s="29"/>
      <c r="F79" s="10">
        <f t="shared" si="12"/>
        <v>0.18050541516245489</v>
      </c>
      <c r="G79" s="61" t="s">
        <v>103</v>
      </c>
      <c r="H79" s="63">
        <f>D15+0.1*(D16-D15)</f>
        <v>5.2160000000000002</v>
      </c>
      <c r="L79" s="38"/>
    </row>
    <row r="80" spans="1:19" ht="15.75" customHeight="1" x14ac:dyDescent="0.35">
      <c r="A80" s="18">
        <v>75</v>
      </c>
      <c r="B80" s="35">
        <v>5.54</v>
      </c>
      <c r="D80" s="35">
        <v>5.54</v>
      </c>
      <c r="E80" s="29"/>
      <c r="F80" s="10">
        <f t="shared" si="12"/>
        <v>0.18050541516245489</v>
      </c>
      <c r="G80" s="61" t="s">
        <v>104</v>
      </c>
      <c r="H80" s="63">
        <f>D25+0.2*(D26-D25)</f>
        <v>5.33</v>
      </c>
      <c r="I80" s="61" t="s">
        <v>105</v>
      </c>
      <c r="J80" s="63">
        <f>D65+0.6*(D66-D65)</f>
        <v>5.47</v>
      </c>
      <c r="K80" t="s">
        <v>132</v>
      </c>
      <c r="L80" s="38"/>
      <c r="N80" s="61" t="s">
        <v>106</v>
      </c>
      <c r="O80" s="37">
        <f>N72+U4*((0.1*100-N76)/N74)</f>
        <v>5.2252433071407021</v>
      </c>
      <c r="R80" s="61" t="s">
        <v>107</v>
      </c>
      <c r="S80" s="37">
        <f>R72+U4*((0.9*100-R76)/R74)</f>
        <v>5.6833406299969829</v>
      </c>
    </row>
    <row r="81" spans="1:17" ht="15.75" customHeight="1" x14ac:dyDescent="0.35">
      <c r="A81" s="18">
        <v>76</v>
      </c>
      <c r="B81" s="35">
        <v>5.54</v>
      </c>
      <c r="D81" s="35">
        <v>5.54</v>
      </c>
      <c r="E81" s="29"/>
      <c r="F81" s="10">
        <f t="shared" si="12"/>
        <v>0.18050541516245489</v>
      </c>
      <c r="G81" s="61" t="s">
        <v>108</v>
      </c>
      <c r="H81" s="63">
        <f>D35+0.3*(D36-D35)</f>
        <v>5.3420000000000005</v>
      </c>
      <c r="I81" s="61" t="s">
        <v>109</v>
      </c>
      <c r="J81" s="63">
        <f>D75+0.7*(D76-D75)</f>
        <v>5.54</v>
      </c>
      <c r="K81">
        <f>J83/H79</f>
        <v>1.0881901840490797</v>
      </c>
      <c r="L81" s="38"/>
    </row>
    <row r="82" spans="1:17" ht="15.75" customHeight="1" x14ac:dyDescent="0.35">
      <c r="A82" s="18">
        <v>77</v>
      </c>
      <c r="B82" s="35">
        <v>5.21</v>
      </c>
      <c r="D82" s="35">
        <v>5.54</v>
      </c>
      <c r="E82" s="29"/>
      <c r="F82" s="10">
        <f t="shared" si="12"/>
        <v>0.18050541516245489</v>
      </c>
      <c r="G82" s="61" t="s">
        <v>110</v>
      </c>
      <c r="H82" s="63">
        <f>D45+0.4*(D46-D45)</f>
        <v>5.43</v>
      </c>
      <c r="I82" s="61" t="s">
        <v>111</v>
      </c>
      <c r="J82" s="63">
        <f>D85+0.8*(D86-D85)</f>
        <v>5.6040000000000001</v>
      </c>
      <c r="L82" s="38"/>
      <c r="Q82" t="s">
        <v>132</v>
      </c>
    </row>
    <row r="83" spans="1:17" ht="15.75" customHeight="1" x14ac:dyDescent="0.35">
      <c r="A83" s="18">
        <v>78</v>
      </c>
      <c r="B83" s="35">
        <v>5.27</v>
      </c>
      <c r="D83" s="35">
        <v>5.56</v>
      </c>
      <c r="E83" s="29"/>
      <c r="F83" s="10">
        <f t="shared" si="12"/>
        <v>0.17985611510791369</v>
      </c>
      <c r="G83" s="61" t="s">
        <v>112</v>
      </c>
      <c r="H83" s="63">
        <f>D55+0.5*(D56-D55)</f>
        <v>5.43</v>
      </c>
      <c r="I83" s="61" t="s">
        <v>113</v>
      </c>
      <c r="J83" s="63">
        <f>D95+0.9*(D96-D95)</f>
        <v>5.6760000000000002</v>
      </c>
      <c r="L83" s="38"/>
      <c r="M83" s="3"/>
      <c r="Q83">
        <f>S80/O80</f>
        <v>1.0876700463364557</v>
      </c>
    </row>
    <row r="84" spans="1:17" ht="15.75" customHeight="1" x14ac:dyDescent="0.35">
      <c r="A84" s="18">
        <v>79</v>
      </c>
      <c r="B84" s="35">
        <v>5.54</v>
      </c>
      <c r="D84" s="35">
        <v>5.58</v>
      </c>
      <c r="E84" s="29"/>
      <c r="F84" s="10">
        <f t="shared" si="12"/>
        <v>0.17921146953405018</v>
      </c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</row>
    <row r="85" spans="1:17" ht="15.75" customHeight="1" x14ac:dyDescent="0.35">
      <c r="A85" s="18">
        <v>80</v>
      </c>
      <c r="B85" s="35">
        <v>5.33</v>
      </c>
      <c r="D85" s="35">
        <v>5.58</v>
      </c>
      <c r="E85" s="29"/>
      <c r="F85" s="10">
        <f t="shared" si="12"/>
        <v>0.17921146953405018</v>
      </c>
      <c r="L85" s="3"/>
      <c r="M85" s="3"/>
    </row>
    <row r="86" spans="1:17" ht="15.75" customHeight="1" x14ac:dyDescent="0.35">
      <c r="A86" s="18">
        <v>81</v>
      </c>
      <c r="B86" s="34">
        <v>5.33</v>
      </c>
      <c r="D86" s="35">
        <v>5.61</v>
      </c>
      <c r="E86" s="29"/>
      <c r="F86" s="10">
        <f t="shared" si="12"/>
        <v>0.17825311942959002</v>
      </c>
      <c r="L86" s="3"/>
      <c r="M86" s="3"/>
    </row>
    <row r="87" spans="1:17" ht="15.75" customHeight="1" x14ac:dyDescent="0.35">
      <c r="A87" s="18">
        <v>82</v>
      </c>
      <c r="B87" s="35">
        <v>5.68</v>
      </c>
      <c r="D87" s="34">
        <v>5.61</v>
      </c>
      <c r="E87" s="29"/>
      <c r="F87" s="10">
        <f t="shared" si="12"/>
        <v>0.17825311942959002</v>
      </c>
    </row>
    <row r="88" spans="1:17" ht="15.75" customHeight="1" x14ac:dyDescent="0.35">
      <c r="A88" s="18">
        <v>83</v>
      </c>
      <c r="B88" s="35">
        <v>5.21</v>
      </c>
      <c r="D88" s="35">
        <v>5.61</v>
      </c>
      <c r="E88" s="29"/>
      <c r="F88" s="10">
        <f t="shared" si="12"/>
        <v>0.17825311942959002</v>
      </c>
    </row>
    <row r="89" spans="1:17" ht="15.75" customHeight="1" x14ac:dyDescent="0.35">
      <c r="A89" s="18">
        <v>84</v>
      </c>
      <c r="B89" s="35">
        <v>5.47</v>
      </c>
      <c r="D89" s="35">
        <v>5.64</v>
      </c>
      <c r="E89" s="29"/>
      <c r="F89" s="10">
        <f t="shared" si="12"/>
        <v>0.1773049645390071</v>
      </c>
      <c r="Q89" s="47"/>
    </row>
    <row r="90" spans="1:17" ht="15.75" customHeight="1" x14ac:dyDescent="0.35">
      <c r="A90" s="18">
        <v>85</v>
      </c>
      <c r="B90" s="35">
        <v>5.64</v>
      </c>
      <c r="D90" s="35">
        <v>5.64</v>
      </c>
      <c r="E90" s="29"/>
      <c r="F90" s="10">
        <f t="shared" si="12"/>
        <v>0.1773049645390071</v>
      </c>
      <c r="Q90" s="47"/>
    </row>
    <row r="91" spans="1:17" ht="15.75" customHeight="1" x14ac:dyDescent="0.35">
      <c r="A91" s="18">
        <v>86</v>
      </c>
      <c r="B91" s="35">
        <v>5.64</v>
      </c>
      <c r="D91" s="35">
        <v>5.64</v>
      </c>
      <c r="E91" s="29"/>
      <c r="F91" s="10">
        <f t="shared" si="12"/>
        <v>0.1773049645390071</v>
      </c>
      <c r="Q91" s="47"/>
    </row>
    <row r="92" spans="1:17" ht="15.75" customHeight="1" x14ac:dyDescent="0.35">
      <c r="A92" s="18">
        <v>87</v>
      </c>
      <c r="B92" s="35">
        <v>5.64</v>
      </c>
      <c r="D92" s="35">
        <v>5.64</v>
      </c>
      <c r="E92" s="29"/>
      <c r="F92" s="10">
        <f t="shared" si="12"/>
        <v>0.1773049645390071</v>
      </c>
      <c r="Q92" s="47"/>
    </row>
    <row r="93" spans="1:17" ht="15.75" customHeight="1" x14ac:dyDescent="0.35">
      <c r="A93" s="18">
        <v>88</v>
      </c>
      <c r="B93" s="35">
        <v>5.21</v>
      </c>
      <c r="D93" s="35">
        <v>5.64</v>
      </c>
      <c r="E93" s="29"/>
      <c r="F93" s="10">
        <f t="shared" si="12"/>
        <v>0.1773049645390071</v>
      </c>
      <c r="Q93" s="47"/>
    </row>
    <row r="94" spans="1:17" ht="15.75" customHeight="1" x14ac:dyDescent="0.35">
      <c r="A94" s="18">
        <v>89</v>
      </c>
      <c r="B94" s="35">
        <v>5.54</v>
      </c>
      <c r="D94" s="35">
        <v>5.64</v>
      </c>
      <c r="E94" s="29"/>
      <c r="F94" s="10">
        <f t="shared" si="12"/>
        <v>0.1773049645390071</v>
      </c>
      <c r="Q94" s="47"/>
    </row>
    <row r="95" spans="1:17" ht="15.75" customHeight="1" x14ac:dyDescent="0.35">
      <c r="A95" s="18">
        <v>90</v>
      </c>
      <c r="B95" s="35">
        <v>5.61</v>
      </c>
      <c r="D95" s="35">
        <v>5.64</v>
      </c>
      <c r="E95" s="29"/>
      <c r="F95" s="10">
        <f t="shared" si="12"/>
        <v>0.1773049645390071</v>
      </c>
      <c r="Q95" s="47"/>
    </row>
    <row r="96" spans="1:17" ht="15.75" customHeight="1" x14ac:dyDescent="0.35">
      <c r="A96" s="18">
        <v>91</v>
      </c>
      <c r="B96" s="34">
        <v>5.1100000000000003</v>
      </c>
      <c r="D96" s="35">
        <v>5.68</v>
      </c>
      <c r="E96" s="29"/>
      <c r="F96" s="10">
        <f t="shared" si="12"/>
        <v>0.17605633802816903</v>
      </c>
    </row>
    <row r="97" spans="1:17" ht="15.75" customHeight="1" x14ac:dyDescent="0.35">
      <c r="A97" s="18">
        <v>92</v>
      </c>
      <c r="B97" s="35">
        <v>5.1100000000000003</v>
      </c>
      <c r="D97" s="34">
        <v>5.68</v>
      </c>
      <c r="E97" s="29"/>
      <c r="F97" s="10">
        <f t="shared" si="12"/>
        <v>0.17605633802816903</v>
      </c>
      <c r="Q97" s="47"/>
    </row>
    <row r="98" spans="1:17" ht="15.75" customHeight="1" x14ac:dyDescent="0.35">
      <c r="A98" s="18">
        <v>93</v>
      </c>
      <c r="B98" s="35">
        <v>5.47</v>
      </c>
      <c r="D98" s="35">
        <v>5.68</v>
      </c>
      <c r="E98" s="29"/>
      <c r="F98" s="10">
        <f t="shared" si="12"/>
        <v>0.17605633802816903</v>
      </c>
      <c r="Q98" s="47"/>
    </row>
    <row r="99" spans="1:17" ht="15.75" customHeight="1" x14ac:dyDescent="0.35">
      <c r="A99" s="18">
        <v>94</v>
      </c>
      <c r="B99" s="35">
        <v>5.54</v>
      </c>
      <c r="D99" s="35">
        <v>5.68</v>
      </c>
      <c r="E99" s="29"/>
      <c r="F99" s="10">
        <f t="shared" si="12"/>
        <v>0.17605633802816903</v>
      </c>
      <c r="Q99" s="47"/>
    </row>
    <row r="100" spans="1:17" ht="15.75" customHeight="1" x14ac:dyDescent="0.35">
      <c r="A100" s="18">
        <v>95</v>
      </c>
      <c r="B100" s="35">
        <v>5.54</v>
      </c>
      <c r="D100" s="35">
        <v>5.71</v>
      </c>
      <c r="E100" s="29"/>
      <c r="F100" s="10">
        <f t="shared" si="12"/>
        <v>0.17513134851138354</v>
      </c>
    </row>
    <row r="101" spans="1:17" ht="15.75" customHeight="1" x14ac:dyDescent="0.35">
      <c r="A101" s="18">
        <v>96</v>
      </c>
      <c r="B101" s="35">
        <v>5.64</v>
      </c>
      <c r="D101" s="35">
        <v>5.79</v>
      </c>
      <c r="E101" s="29"/>
      <c r="F101" s="10">
        <f t="shared" si="12"/>
        <v>0.17271157167530224</v>
      </c>
    </row>
    <row r="102" spans="1:17" ht="15.75" customHeight="1" x14ac:dyDescent="0.35">
      <c r="A102" s="18">
        <v>97</v>
      </c>
      <c r="B102" s="35">
        <v>5.64</v>
      </c>
      <c r="D102" s="35">
        <v>5.79</v>
      </c>
      <c r="E102" s="29"/>
      <c r="F102" s="10">
        <f t="shared" si="12"/>
        <v>0.17271157167530224</v>
      </c>
    </row>
    <row r="103" spans="1:17" ht="15.75" customHeight="1" x14ac:dyDescent="0.35">
      <c r="A103" s="18">
        <v>98</v>
      </c>
      <c r="B103" s="35">
        <v>5.54</v>
      </c>
      <c r="D103" s="35">
        <v>5.79</v>
      </c>
      <c r="E103" s="29"/>
      <c r="F103" s="10">
        <f t="shared" si="12"/>
        <v>0.17271157167530224</v>
      </c>
    </row>
    <row r="104" spans="1:17" ht="15.75" customHeight="1" x14ac:dyDescent="0.35">
      <c r="A104" s="18">
        <v>99</v>
      </c>
      <c r="B104" s="35">
        <v>5.81</v>
      </c>
      <c r="D104" s="35">
        <v>5.81</v>
      </c>
      <c r="E104" s="29"/>
      <c r="F104" s="10">
        <f t="shared" si="12"/>
        <v>0.17211703958691912</v>
      </c>
      <c r="Q104" s="47"/>
    </row>
    <row r="105" spans="1:17" ht="15.75" customHeight="1" x14ac:dyDescent="0.45">
      <c r="A105" s="18">
        <v>100</v>
      </c>
      <c r="B105" s="35">
        <v>5.54</v>
      </c>
      <c r="D105" s="59">
        <v>5.85</v>
      </c>
      <c r="E105" s="10" t="s">
        <v>114</v>
      </c>
      <c r="F105" s="10">
        <f t="shared" si="12"/>
        <v>0.17094017094017094</v>
      </c>
      <c r="Q105" s="47"/>
    </row>
    <row r="106" spans="1:17" ht="15.75" customHeight="1" x14ac:dyDescent="0.3">
      <c r="Q106" s="47"/>
    </row>
    <row r="107" spans="1:17" ht="15.75" customHeight="1" x14ac:dyDescent="0.3">
      <c r="Q107" s="47"/>
    </row>
    <row r="108" spans="1:17" ht="15.75" customHeight="1" x14ac:dyDescent="0.3"/>
    <row r="109" spans="1:17" ht="15.75" customHeight="1" x14ac:dyDescent="0.3"/>
    <row r="110" spans="1:17" ht="15.75" customHeight="1" x14ac:dyDescent="0.3"/>
    <row r="111" spans="1:17" ht="15.75" customHeight="1" x14ac:dyDescent="0.3"/>
    <row r="112" spans="1:17" ht="15.75" customHeight="1" x14ac:dyDescent="0.3"/>
    <row r="113" spans="17:17" ht="15.75" customHeight="1" x14ac:dyDescent="0.3"/>
    <row r="114" spans="17:17" ht="15.75" customHeight="1" x14ac:dyDescent="0.3"/>
    <row r="115" spans="17:17" ht="15.75" customHeight="1" x14ac:dyDescent="0.3"/>
    <row r="116" spans="17:17" ht="15.75" customHeight="1" x14ac:dyDescent="0.3"/>
    <row r="117" spans="17:17" ht="15.75" customHeight="1" x14ac:dyDescent="0.3"/>
    <row r="118" spans="17:17" ht="15.75" customHeight="1" x14ac:dyDescent="0.3"/>
    <row r="119" spans="17:17" ht="15.75" customHeight="1" x14ac:dyDescent="0.3"/>
    <row r="120" spans="17:17" ht="15.75" customHeight="1" x14ac:dyDescent="0.3"/>
    <row r="121" spans="17:17" ht="15.75" customHeight="1" x14ac:dyDescent="0.3"/>
    <row r="122" spans="17:17" ht="15.75" customHeight="1" x14ac:dyDescent="0.3">
      <c r="Q122" s="47"/>
    </row>
    <row r="123" spans="17:17" ht="15.75" customHeight="1" x14ac:dyDescent="0.3">
      <c r="Q123" s="47"/>
    </row>
    <row r="124" spans="17:17" ht="15.75" customHeight="1" x14ac:dyDescent="0.3"/>
    <row r="125" spans="17:17" ht="15.75" customHeight="1" x14ac:dyDescent="0.3"/>
    <row r="126" spans="17:17" ht="15.75" customHeight="1" x14ac:dyDescent="0.3"/>
    <row r="127" spans="17:17" ht="15.75" customHeight="1" x14ac:dyDescent="0.3"/>
    <row r="128" spans="17:1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K3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Самат Хасаншин</dc:creator>
  <cp:lastModifiedBy>User</cp:lastModifiedBy>
  <dcterms:created xsi:type="dcterms:W3CDTF">2023-10-10T20:28:21Z</dcterms:created>
  <dcterms:modified xsi:type="dcterms:W3CDTF">2024-10-16T12:55:41Z</dcterms:modified>
</cp:coreProperties>
</file>