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vacla\Desktop\"/>
    </mc:Choice>
  </mc:AlternateContent>
  <xr:revisionPtr revIDLastSave="0" documentId="13_ncr:1_{33C9A9A6-86B2-4D92-A463-427EDC9586AD}" xr6:coauthVersionLast="43" xr6:coauthVersionMax="43" xr10:uidLastSave="{00000000-0000-0000-0000-000000000000}"/>
  <bookViews>
    <workbookView xWindow="-108" yWindow="-108" windowWidth="23256" windowHeight="12576" activeTab="1" xr2:uid="{87029FF9-5BBC-41D7-A9BD-BDB7D3215A03}"/>
  </bookViews>
  <sheets>
    <sheet name="Main" sheetId="2" r:id="rId1"/>
    <sheet name="Model" sheetId="3" r:id="rId2"/>
    <sheet name="Debt" sheetId="8" r:id="rId3"/>
    <sheet name="Stuff"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 i="2" l="1"/>
  <c r="H9" i="2"/>
  <c r="H8" i="2"/>
  <c r="H6" i="2"/>
  <c r="H5" i="2"/>
  <c r="H4" i="2"/>
  <c r="H3" i="2"/>
  <c r="G7" i="2"/>
  <c r="Z12" i="3" l="1"/>
  <c r="Y12" i="3"/>
  <c r="X12" i="3"/>
  <c r="T12" i="3"/>
  <c r="D22" i="8" l="1"/>
  <c r="G16" i="8"/>
  <c r="G15" i="8"/>
  <c r="G14" i="8"/>
  <c r="G9" i="8"/>
  <c r="G8" i="8"/>
  <c r="G5" i="8"/>
  <c r="G4" i="8"/>
  <c r="G3" i="8"/>
  <c r="C22" i="8"/>
  <c r="R92" i="3" l="1"/>
  <c r="R93" i="3" s="1"/>
  <c r="Q82" i="3"/>
  <c r="Q92" i="3" s="1"/>
  <c r="Q93" i="3" s="1"/>
  <c r="R87" i="3"/>
  <c r="R82" i="3"/>
  <c r="S87" i="3"/>
  <c r="S82" i="3"/>
  <c r="S92" i="3" s="1"/>
  <c r="S93" i="3" s="1"/>
  <c r="T11" i="3"/>
  <c r="U11" i="3" s="1"/>
  <c r="V11" i="3" s="1"/>
  <c r="W11" i="3" s="1"/>
  <c r="X11" i="3" s="1"/>
  <c r="Y11" i="3" s="1"/>
  <c r="Z11" i="3" s="1"/>
  <c r="G92" i="3"/>
  <c r="G93" i="3" s="1"/>
  <c r="I82" i="3"/>
  <c r="I92" i="3" s="1"/>
  <c r="I93" i="3" s="1"/>
  <c r="T17" i="3"/>
  <c r="U17" i="3" s="1"/>
  <c r="V17" i="3" s="1"/>
  <c r="W17" i="3" s="1"/>
  <c r="X17" i="3" s="1"/>
  <c r="Y17" i="3" s="1"/>
  <c r="Z17" i="3" s="1"/>
  <c r="AD35" i="3"/>
  <c r="U12" i="3"/>
  <c r="V12" i="3" s="1"/>
  <c r="W12" i="3" s="1"/>
  <c r="S42" i="3"/>
  <c r="P7" i="3"/>
  <c r="Q7" i="3"/>
  <c r="P6" i="3"/>
  <c r="P3" i="3" s="1"/>
  <c r="Q6" i="3"/>
  <c r="F12" i="3"/>
  <c r="F11" i="3"/>
  <c r="J12" i="3"/>
  <c r="J11" i="3"/>
  <c r="K10" i="3"/>
  <c r="K13" i="3" s="1"/>
  <c r="S10" i="3"/>
  <c r="S13" i="3" s="1"/>
  <c r="E10" i="3"/>
  <c r="E13" i="3" s="1"/>
  <c r="I10" i="3"/>
  <c r="G10" i="3"/>
  <c r="G13" i="3" s="1"/>
  <c r="C10" i="3"/>
  <c r="C13" i="3" s="1"/>
  <c r="H10" i="3"/>
  <c r="H13" i="3" s="1"/>
  <c r="D10" i="3"/>
  <c r="D8" i="3" s="1"/>
  <c r="P10" i="3"/>
  <c r="P13" i="3" s="1"/>
  <c r="Q10" i="3"/>
  <c r="Q13" i="3" s="1"/>
  <c r="R10" i="3"/>
  <c r="J4" i="3"/>
  <c r="I4" i="3"/>
  <c r="H4" i="3"/>
  <c r="G4" i="3"/>
  <c r="F4" i="3"/>
  <c r="E4" i="3"/>
  <c r="D4" i="3"/>
  <c r="K4" i="3"/>
  <c r="R29" i="3"/>
  <c r="Q29" i="3"/>
  <c r="P29" i="3"/>
  <c r="O29" i="3"/>
  <c r="S29" i="3"/>
  <c r="R37" i="3"/>
  <c r="Q37" i="3"/>
  <c r="P37" i="3"/>
  <c r="O37" i="3"/>
  <c r="S37" i="3"/>
  <c r="R7" i="3"/>
  <c r="R6" i="3"/>
  <c r="R5" i="3"/>
  <c r="R3" i="3"/>
  <c r="S7" i="3"/>
  <c r="S6" i="3"/>
  <c r="S5" i="3"/>
  <c r="S3" i="3"/>
  <c r="T3" i="3" s="1"/>
  <c r="L16" i="3"/>
  <c r="S16" i="3"/>
  <c r="J16" i="3" s="1"/>
  <c r="Q20" i="3"/>
  <c r="Q14" i="3"/>
  <c r="Q18" i="3"/>
  <c r="N20" i="3"/>
  <c r="N14" i="3"/>
  <c r="N13" i="3"/>
  <c r="O20" i="3"/>
  <c r="O14" i="3"/>
  <c r="O13" i="3"/>
  <c r="N18" i="3"/>
  <c r="O18" i="3"/>
  <c r="P20" i="3"/>
  <c r="P14" i="3"/>
  <c r="P18" i="3"/>
  <c r="K88" i="3"/>
  <c r="G88" i="3"/>
  <c r="C3" i="2"/>
  <c r="G82" i="3"/>
  <c r="K82" i="3"/>
  <c r="K92" i="3" s="1"/>
  <c r="K93" i="3" s="1"/>
  <c r="C6" i="2"/>
  <c r="C5" i="2"/>
  <c r="AD32" i="3" s="1"/>
  <c r="C4" i="2"/>
  <c r="C7" i="2" l="1"/>
  <c r="G8" i="3"/>
  <c r="R8" i="3"/>
  <c r="K8" i="3"/>
  <c r="C8" i="3"/>
  <c r="H8" i="3"/>
  <c r="J10" i="3"/>
  <c r="Q3" i="3"/>
  <c r="Q8" i="3" s="1"/>
  <c r="T16" i="3"/>
  <c r="U16" i="3" s="1"/>
  <c r="V16" i="3" s="1"/>
  <c r="W16" i="3" s="1"/>
  <c r="X16" i="3" s="1"/>
  <c r="Y16" i="3" s="1"/>
  <c r="Z16" i="3" s="1"/>
  <c r="E8" i="3"/>
  <c r="I8" i="3"/>
  <c r="R13" i="3"/>
  <c r="S34" i="3" s="1"/>
  <c r="F10" i="3"/>
  <c r="U3" i="3"/>
  <c r="V3" i="3" s="1"/>
  <c r="W3" i="3" s="1"/>
  <c r="X3" i="3" s="1"/>
  <c r="Y3" i="3" s="1"/>
  <c r="Z3" i="3" s="1"/>
  <c r="Z10" i="3" s="1"/>
  <c r="Z13" i="3" s="1"/>
  <c r="Z14" i="3" s="1"/>
  <c r="Z15" i="3" s="1"/>
  <c r="T10" i="3"/>
  <c r="T13" i="3" s="1"/>
  <c r="G34" i="3"/>
  <c r="K34" i="3"/>
  <c r="L13" i="3"/>
  <c r="L14" i="3" s="1"/>
  <c r="L15" i="3" s="1"/>
  <c r="I13" i="3"/>
  <c r="I34" i="3" s="1"/>
  <c r="D13" i="3"/>
  <c r="H34" i="3" s="1"/>
  <c r="S8" i="3"/>
  <c r="S4" i="3"/>
  <c r="P30" i="3"/>
  <c r="P8" i="3"/>
  <c r="U10" i="3"/>
  <c r="U13" i="3" s="1"/>
  <c r="R34" i="3"/>
  <c r="O34" i="3"/>
  <c r="N15" i="3"/>
  <c r="N19" i="3" s="1"/>
  <c r="O30" i="3"/>
  <c r="Q30" i="3"/>
  <c r="O15" i="3"/>
  <c r="O28" i="3" s="1"/>
  <c r="P15" i="3"/>
  <c r="P28" i="3" s="1"/>
  <c r="P34" i="3"/>
  <c r="Q34" i="3"/>
  <c r="Q15" i="3"/>
  <c r="Q28" i="3" s="1"/>
  <c r="G65" i="3"/>
  <c r="G40" i="3"/>
  <c r="H65" i="3"/>
  <c r="H40" i="3"/>
  <c r="F65" i="3"/>
  <c r="F40" i="3"/>
  <c r="I65" i="3"/>
  <c r="I40" i="3"/>
  <c r="J65" i="3"/>
  <c r="J40" i="3"/>
  <c r="K65" i="3"/>
  <c r="K40" i="3"/>
  <c r="K20" i="3"/>
  <c r="K17" i="3"/>
  <c r="K15" i="3"/>
  <c r="K28" i="3" s="1"/>
  <c r="J22" i="3"/>
  <c r="J14" i="3"/>
  <c r="S44" i="3" s="1"/>
  <c r="S20" i="3"/>
  <c r="S18" i="3"/>
  <c r="S15" i="3"/>
  <c r="S28" i="3" s="1"/>
  <c r="R20" i="3"/>
  <c r="R15" i="3"/>
  <c r="R28" i="3" s="1"/>
  <c r="X10" i="3" l="1"/>
  <c r="X13" i="3" s="1"/>
  <c r="W10" i="3"/>
  <c r="W13" i="3" s="1"/>
  <c r="N28" i="3"/>
  <c r="Q4" i="3"/>
  <c r="R4" i="3"/>
  <c r="O19" i="3"/>
  <c r="O21" i="3" s="1"/>
  <c r="F13" i="3"/>
  <c r="F8" i="3"/>
  <c r="J13" i="3"/>
  <c r="J8" i="3"/>
  <c r="Y10" i="3"/>
  <c r="V10" i="3"/>
  <c r="V13" i="3" s="1"/>
  <c r="V34" i="3" s="1"/>
  <c r="K18" i="3"/>
  <c r="X34" i="3"/>
  <c r="X14" i="3"/>
  <c r="X15" i="3" s="1"/>
  <c r="T34" i="3"/>
  <c r="T14" i="3"/>
  <c r="T15" i="3" s="1"/>
  <c r="U34" i="3"/>
  <c r="U14" i="3"/>
  <c r="U15" i="3" s="1"/>
  <c r="P19" i="3"/>
  <c r="P31" i="3" s="1"/>
  <c r="W14" i="3"/>
  <c r="W15" i="3" s="1"/>
  <c r="Q19" i="3"/>
  <c r="Q21" i="3" s="1"/>
  <c r="O31" i="3"/>
  <c r="Q31" i="3"/>
  <c r="N21" i="3"/>
  <c r="N31" i="3"/>
  <c r="J17" i="3"/>
  <c r="L17" i="3" s="1"/>
  <c r="K19" i="3"/>
  <c r="J15" i="3"/>
  <c r="J28" i="3" s="1"/>
  <c r="S19" i="3"/>
  <c r="R18" i="3"/>
  <c r="F20" i="3"/>
  <c r="W34" i="3" l="1"/>
  <c r="Y13" i="3"/>
  <c r="Y14" i="3" s="1"/>
  <c r="Y15" i="3" s="1"/>
  <c r="V14" i="3"/>
  <c r="V15" i="3" s="1"/>
  <c r="P21" i="3"/>
  <c r="J34" i="3"/>
  <c r="S43" i="3"/>
  <c r="R19" i="3"/>
  <c r="R21" i="3" s="1"/>
  <c r="R30" i="3"/>
  <c r="S30" i="3"/>
  <c r="N23" i="3"/>
  <c r="N32" i="3"/>
  <c r="Q23" i="3"/>
  <c r="Q67" i="3" s="1"/>
  <c r="Q32" i="3"/>
  <c r="J18" i="3"/>
  <c r="J19" i="3" s="1"/>
  <c r="L18" i="3"/>
  <c r="L19" i="3" s="1"/>
  <c r="L31" i="3" s="1"/>
  <c r="P23" i="3"/>
  <c r="P32" i="3"/>
  <c r="O23" i="3"/>
  <c r="O32" i="3"/>
  <c r="K21" i="3"/>
  <c r="K31" i="3"/>
  <c r="S21" i="3"/>
  <c r="S31" i="3"/>
  <c r="H20" i="3"/>
  <c r="D20" i="3"/>
  <c r="C20" i="3"/>
  <c r="G20" i="3"/>
  <c r="E20" i="3"/>
  <c r="E18" i="3"/>
  <c r="E15" i="3"/>
  <c r="E28" i="3" s="1"/>
  <c r="I20" i="3"/>
  <c r="F15" i="3"/>
  <c r="F28" i="3" s="1"/>
  <c r="F18" i="3"/>
  <c r="D18" i="3"/>
  <c r="D15" i="3"/>
  <c r="D28" i="3" s="1"/>
  <c r="C18" i="3"/>
  <c r="C15" i="3"/>
  <c r="C28" i="3" s="1"/>
  <c r="I18" i="3"/>
  <c r="I15" i="3"/>
  <c r="H18" i="3"/>
  <c r="H15" i="3"/>
  <c r="G18" i="3"/>
  <c r="G15" i="3"/>
  <c r="G28" i="3" s="1"/>
  <c r="Z34" i="3" l="1"/>
  <c r="Y34" i="3"/>
  <c r="R31" i="3"/>
  <c r="J20" i="3"/>
  <c r="P25" i="3"/>
  <c r="P33" i="3"/>
  <c r="Q25" i="3"/>
  <c r="Q33" i="3"/>
  <c r="L21" i="3"/>
  <c r="J21" i="3"/>
  <c r="O25" i="3"/>
  <c r="O33" i="3"/>
  <c r="N25" i="3"/>
  <c r="N33" i="3"/>
  <c r="J31" i="3"/>
  <c r="K23" i="3"/>
  <c r="K67" i="3" s="1"/>
  <c r="K32" i="3"/>
  <c r="S23" i="3"/>
  <c r="S67" i="3" s="1"/>
  <c r="S32" i="3"/>
  <c r="R32" i="3"/>
  <c r="R23" i="3"/>
  <c r="R67" i="3" s="1"/>
  <c r="E19" i="3"/>
  <c r="E31" i="3" s="1"/>
  <c r="I19" i="3"/>
  <c r="I31" i="3" s="1"/>
  <c r="I28" i="3"/>
  <c r="F19" i="3"/>
  <c r="F31" i="3" s="1"/>
  <c r="D19" i="3"/>
  <c r="D31" i="3" s="1"/>
  <c r="H19" i="3"/>
  <c r="H31" i="3" s="1"/>
  <c r="H28" i="3"/>
  <c r="C19" i="3"/>
  <c r="C31" i="3" s="1"/>
  <c r="G19" i="3"/>
  <c r="H21" i="3" l="1"/>
  <c r="H23" i="3" s="1"/>
  <c r="H67" i="3" s="1"/>
  <c r="D21" i="3"/>
  <c r="D23" i="3" s="1"/>
  <c r="L22" i="3"/>
  <c r="L32" i="3" s="1"/>
  <c r="K25" i="3"/>
  <c r="K33" i="3"/>
  <c r="R33" i="3"/>
  <c r="R25" i="3"/>
  <c r="E21" i="3"/>
  <c r="G21" i="3"/>
  <c r="G23" i="3" s="1"/>
  <c r="G67" i="3" s="1"/>
  <c r="G31" i="3"/>
  <c r="I21" i="3"/>
  <c r="I23" i="3" s="1"/>
  <c r="I67" i="3" s="1"/>
  <c r="S25" i="3"/>
  <c r="S33" i="3"/>
  <c r="J23" i="3"/>
  <c r="J67" i="3" s="1"/>
  <c r="J32" i="3"/>
  <c r="F21" i="3"/>
  <c r="C21" i="3"/>
  <c r="D32" i="3" l="1"/>
  <c r="H32" i="3"/>
  <c r="I32" i="3"/>
  <c r="G32" i="3"/>
  <c r="L23" i="3"/>
  <c r="I25" i="3"/>
  <c r="I33" i="3"/>
  <c r="G25" i="3"/>
  <c r="G33" i="3"/>
  <c r="J25" i="3"/>
  <c r="J33" i="3"/>
  <c r="H25" i="3"/>
  <c r="H33" i="3"/>
  <c r="D25" i="3"/>
  <c r="D33" i="3"/>
  <c r="E32" i="3"/>
  <c r="E23" i="3"/>
  <c r="F23" i="3"/>
  <c r="F32" i="3"/>
  <c r="C23" i="3"/>
  <c r="C32" i="3"/>
  <c r="L25" i="3" l="1"/>
  <c r="L33" i="3"/>
  <c r="E25" i="3"/>
  <c r="E33" i="3"/>
  <c r="C25" i="3"/>
  <c r="C33" i="3"/>
  <c r="F25" i="3"/>
  <c r="F33" i="3"/>
  <c r="T18" i="3" l="1"/>
  <c r="T19" i="3" s="1"/>
  <c r="T31" i="3" l="1"/>
  <c r="T21" i="3"/>
  <c r="T23" i="3" s="1"/>
  <c r="U18" i="3"/>
  <c r="U19" i="3" s="1"/>
  <c r="V18" i="3" l="1"/>
  <c r="V19" i="3" s="1"/>
  <c r="T33" i="3"/>
  <c r="U31" i="3"/>
  <c r="U21" i="3"/>
  <c r="U22" i="3" l="1"/>
  <c r="U23" i="3" s="1"/>
  <c r="V31" i="3"/>
  <c r="V21" i="3"/>
  <c r="V22" i="3" l="1"/>
  <c r="V23" i="3" s="1"/>
  <c r="V33" i="3" s="1"/>
  <c r="U33" i="3"/>
  <c r="X18" i="3"/>
  <c r="X19" i="3" s="1"/>
  <c r="Y18" i="3"/>
  <c r="Y19" i="3" s="1"/>
  <c r="Y31" i="3" s="1"/>
  <c r="W18" i="3"/>
  <c r="W19" i="3" s="1"/>
  <c r="W21" i="3" s="1"/>
  <c r="Z18" i="3"/>
  <c r="Z19" i="3" s="1"/>
  <c r="Y21" i="3" l="1"/>
  <c r="Y22" i="3" s="1"/>
  <c r="Y23" i="3" s="1"/>
  <c r="Y33" i="3" s="1"/>
  <c r="W22" i="3"/>
  <c r="W23" i="3" s="1"/>
  <c r="Z21" i="3"/>
  <c r="Z31" i="3"/>
  <c r="X21" i="3"/>
  <c r="X31" i="3"/>
  <c r="W31" i="3"/>
  <c r="W33" i="3" l="1"/>
  <c r="Z22" i="3"/>
  <c r="Z23" i="3" s="1"/>
  <c r="X22" i="3"/>
  <c r="X23" i="3" s="1"/>
  <c r="Z33" i="3" l="1"/>
  <c r="AA23" i="3"/>
  <c r="AB23" i="3" s="1"/>
  <c r="AC23" i="3" s="1"/>
  <c r="AD23" i="3" s="1"/>
  <c r="AE23" i="3" s="1"/>
  <c r="AF23" i="3" s="1"/>
  <c r="AG23" i="3" s="1"/>
  <c r="AH23" i="3" s="1"/>
  <c r="AI23" i="3" s="1"/>
  <c r="AJ23" i="3" s="1"/>
  <c r="AK23" i="3" s="1"/>
  <c r="AL23" i="3" s="1"/>
  <c r="AM23" i="3" s="1"/>
  <c r="AN23" i="3" s="1"/>
  <c r="AO23" i="3" s="1"/>
  <c r="AP23" i="3" s="1"/>
  <c r="AQ23" i="3" s="1"/>
  <c r="AR23" i="3" s="1"/>
  <c r="AS23" i="3" s="1"/>
  <c r="AT23" i="3" s="1"/>
  <c r="AU23" i="3" s="1"/>
  <c r="AV23" i="3" s="1"/>
  <c r="AW23" i="3" s="1"/>
  <c r="AX23" i="3" s="1"/>
  <c r="AY23" i="3" s="1"/>
  <c r="AZ23" i="3" s="1"/>
  <c r="BA23" i="3" s="1"/>
  <c r="BB23" i="3" s="1"/>
  <c r="BC23" i="3" s="1"/>
  <c r="BD23" i="3" s="1"/>
  <c r="BE23" i="3" s="1"/>
  <c r="BF23" i="3" s="1"/>
  <c r="BG23" i="3" s="1"/>
  <c r="BH23" i="3" s="1"/>
  <c r="BI23" i="3" s="1"/>
  <c r="BJ23" i="3" s="1"/>
  <c r="BK23" i="3" s="1"/>
  <c r="BL23" i="3" s="1"/>
  <c r="BM23" i="3" s="1"/>
  <c r="BN23" i="3" s="1"/>
  <c r="BO23" i="3" s="1"/>
  <c r="BP23" i="3" s="1"/>
  <c r="BQ23" i="3" s="1"/>
  <c r="BR23" i="3" s="1"/>
  <c r="BS23" i="3" s="1"/>
  <c r="BT23" i="3" s="1"/>
  <c r="BU23" i="3" s="1"/>
  <c r="BV23" i="3" s="1"/>
  <c r="BW23" i="3" s="1"/>
  <c r="BX23" i="3" s="1"/>
  <c r="BY23" i="3" s="1"/>
  <c r="BZ23" i="3" s="1"/>
  <c r="CA23" i="3" s="1"/>
  <c r="CB23" i="3" s="1"/>
  <c r="CC23" i="3" s="1"/>
  <c r="CD23" i="3" s="1"/>
  <c r="CE23" i="3" s="1"/>
  <c r="CF23" i="3" s="1"/>
  <c r="CG23" i="3" s="1"/>
  <c r="CH23" i="3" s="1"/>
  <c r="CI23" i="3" s="1"/>
  <c r="CJ23" i="3" s="1"/>
  <c r="CK23" i="3" s="1"/>
  <c r="CL23" i="3" s="1"/>
  <c r="CM23" i="3" s="1"/>
  <c r="CN23" i="3" s="1"/>
  <c r="CO23" i="3" s="1"/>
  <c r="CP23" i="3" s="1"/>
  <c r="CQ23" i="3" s="1"/>
  <c r="CR23" i="3" s="1"/>
  <c r="CS23" i="3" s="1"/>
  <c r="CT23" i="3" s="1"/>
  <c r="CU23" i="3" s="1"/>
  <c r="CV23" i="3" s="1"/>
  <c r="CW23" i="3" s="1"/>
  <c r="CX23" i="3" s="1"/>
  <c r="CY23" i="3" s="1"/>
  <c r="CZ23" i="3" s="1"/>
  <c r="DA23" i="3" s="1"/>
  <c r="DB23" i="3" s="1"/>
  <c r="DC23" i="3" s="1"/>
  <c r="DD23" i="3" s="1"/>
  <c r="DE23" i="3" s="1"/>
  <c r="DF23" i="3" s="1"/>
  <c r="DG23" i="3" s="1"/>
  <c r="DH23" i="3" s="1"/>
  <c r="DI23" i="3" s="1"/>
  <c r="DJ23" i="3" s="1"/>
  <c r="DK23" i="3" s="1"/>
  <c r="DL23" i="3" s="1"/>
  <c r="DM23" i="3" s="1"/>
  <c r="DN23" i="3" s="1"/>
  <c r="DO23" i="3" s="1"/>
  <c r="DP23" i="3" s="1"/>
  <c r="DQ23" i="3" s="1"/>
  <c r="DR23" i="3" s="1"/>
  <c r="DS23" i="3" s="1"/>
  <c r="DT23" i="3" s="1"/>
  <c r="DU23" i="3" s="1"/>
  <c r="DV23" i="3" s="1"/>
  <c r="DW23" i="3" s="1"/>
  <c r="DX23" i="3" s="1"/>
  <c r="DY23" i="3" s="1"/>
  <c r="DZ23" i="3" s="1"/>
  <c r="EA23" i="3" s="1"/>
  <c r="EB23" i="3" s="1"/>
  <c r="EC23" i="3" s="1"/>
  <c r="ED23" i="3" s="1"/>
  <c r="EE23" i="3" s="1"/>
  <c r="EF23" i="3" s="1"/>
  <c r="EG23" i="3" s="1"/>
  <c r="EH23" i="3" s="1"/>
  <c r="EI23" i="3" s="1"/>
  <c r="EJ23" i="3" s="1"/>
  <c r="EK23" i="3" s="1"/>
  <c r="EL23" i="3" s="1"/>
  <c r="EM23" i="3" s="1"/>
  <c r="EN23" i="3" s="1"/>
  <c r="EO23" i="3" s="1"/>
  <c r="EP23" i="3" s="1"/>
  <c r="EQ23" i="3" s="1"/>
  <c r="ER23" i="3" s="1"/>
  <c r="ES23" i="3" s="1"/>
  <c r="ET23" i="3" s="1"/>
  <c r="EU23" i="3" s="1"/>
  <c r="EV23" i="3" s="1"/>
  <c r="EW23" i="3" s="1"/>
  <c r="EX23" i="3" s="1"/>
  <c r="EY23" i="3" s="1"/>
  <c r="EZ23" i="3" s="1"/>
  <c r="FA23" i="3" s="1"/>
  <c r="FB23" i="3" s="1"/>
  <c r="FC23" i="3" s="1"/>
  <c r="FD23" i="3" s="1"/>
  <c r="FE23" i="3" s="1"/>
  <c r="FF23" i="3" s="1"/>
  <c r="FG23" i="3" s="1"/>
  <c r="FH23" i="3" s="1"/>
  <c r="X33" i="3"/>
  <c r="AD31" i="3" l="1"/>
  <c r="AD33" i="3" s="1"/>
  <c r="AD34" i="3" s="1"/>
  <c r="C10" i="2" l="1"/>
  <c r="C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Vaclav Kuchar</author>
  </authors>
  <commentList>
    <comment ref="U4" authorId="0" shapeId="0" xr:uid="{19B00788-5AE6-4E92-8AB9-14F36E19AA77}">
      <text>
        <r>
          <rPr>
            <b/>
            <sz val="9"/>
            <color indexed="81"/>
            <rFont val="Tahoma"/>
            <family val="2"/>
          </rPr>
          <t>Vaclav Kuchar:</t>
        </r>
        <r>
          <rPr>
            <sz val="9"/>
            <color indexed="81"/>
            <rFont val="Tahoma"/>
            <family val="2"/>
          </rPr>
          <t xml:space="preserve">
Full production of Gigafactory Shanghai, inital production target of the factory is 250 000 units, later 500 000 units</t>
        </r>
      </text>
    </comment>
    <comment ref="U16" authorId="0" shapeId="0" xr:uid="{ED0B8240-6F03-425A-ABAB-D40F0AC0CC4B}">
      <text>
        <r>
          <rPr>
            <b/>
            <sz val="9"/>
            <color indexed="81"/>
            <rFont val="Tahoma"/>
            <family val="2"/>
          </rPr>
          <t>Vaclav Kuchar:</t>
        </r>
        <r>
          <rPr>
            <sz val="9"/>
            <color indexed="81"/>
            <rFont val="Tahoma"/>
            <family val="2"/>
          </rPr>
          <t xml:space="preserve">
Gigafactory Shanghai</t>
        </r>
      </text>
    </comment>
    <comment ref="X16" authorId="0" shapeId="0" xr:uid="{D4B09A5E-BF6C-4179-BB38-4771C0E8461E}">
      <text>
        <r>
          <rPr>
            <b/>
            <sz val="9"/>
            <color indexed="81"/>
            <rFont val="Tahoma"/>
            <family val="2"/>
          </rPr>
          <t>Vaclav Kuchar:</t>
        </r>
        <r>
          <rPr>
            <sz val="9"/>
            <color indexed="81"/>
            <rFont val="Tahoma"/>
            <family val="2"/>
          </rPr>
          <t xml:space="preserve">
Gigafactory Europe</t>
        </r>
      </text>
    </comment>
  </commentList>
</comments>
</file>

<file path=xl/sharedStrings.xml><?xml version="1.0" encoding="utf-8"?>
<sst xmlns="http://schemas.openxmlformats.org/spreadsheetml/2006/main" count="188" uniqueCount="166">
  <si>
    <t>Shares</t>
  </si>
  <si>
    <t>Cash</t>
  </si>
  <si>
    <t>Prepaid expenses</t>
  </si>
  <si>
    <t>Total equity</t>
  </si>
  <si>
    <t>Revenue</t>
  </si>
  <si>
    <t>Q117</t>
  </si>
  <si>
    <t>Q317</t>
  </si>
  <si>
    <t>Q417</t>
  </si>
  <si>
    <t>Q118</t>
  </si>
  <si>
    <t>Q218</t>
  </si>
  <si>
    <t>Q318</t>
  </si>
  <si>
    <t>Q418</t>
  </si>
  <si>
    <t>COGS</t>
  </si>
  <si>
    <t>Gross margin</t>
  </si>
  <si>
    <t>Gross profit</t>
  </si>
  <si>
    <t>S,G and A</t>
  </si>
  <si>
    <t>Op. Margin</t>
  </si>
  <si>
    <t>Taxes</t>
  </si>
  <si>
    <t>Taxrate</t>
  </si>
  <si>
    <t>EPS</t>
  </si>
  <si>
    <t>Pretax profit/loss</t>
  </si>
  <si>
    <t>Net profit/loss</t>
  </si>
  <si>
    <t>Net margin %</t>
  </si>
  <si>
    <t>Operating expenses</t>
  </si>
  <si>
    <t>Q119</t>
  </si>
  <si>
    <t>Op. Profit/loss</t>
  </si>
  <si>
    <t>Net loss</t>
  </si>
  <si>
    <t>BALANCE SHEET</t>
  </si>
  <si>
    <t>Accounts receivable</t>
  </si>
  <si>
    <t>Inventory</t>
  </si>
  <si>
    <t>Total assets</t>
  </si>
  <si>
    <t>Operating lease vehicles</t>
  </si>
  <si>
    <t>Solar energy systems</t>
  </si>
  <si>
    <t>Property,plant&amp;equipment</t>
  </si>
  <si>
    <t>Operating lease RofU assets</t>
  </si>
  <si>
    <t>Other assets</t>
  </si>
  <si>
    <t>Total current assets</t>
  </si>
  <si>
    <t>Accounts payable</t>
  </si>
  <si>
    <t>Accures liabilities</t>
  </si>
  <si>
    <t>Deffered revenue</t>
  </si>
  <si>
    <t>Resale value guarantees</t>
  </si>
  <si>
    <t>Customer deposits</t>
  </si>
  <si>
    <t>Current portion of debt</t>
  </si>
  <si>
    <t>Total current liabilities</t>
  </si>
  <si>
    <t>Long-term debt and finance leases</t>
  </si>
  <si>
    <t>Other long-term liabilities</t>
  </si>
  <si>
    <t>Noncontrolling interests in subsidiaries</t>
  </si>
  <si>
    <t>Total liabilities</t>
  </si>
  <si>
    <t>Paid in capital</t>
  </si>
  <si>
    <t>Accumulated other loss</t>
  </si>
  <si>
    <t>Accumulated  deficit</t>
  </si>
  <si>
    <t>Sector</t>
  </si>
  <si>
    <t>Growth</t>
  </si>
  <si>
    <t>Competition</t>
  </si>
  <si>
    <t>Automotive</t>
  </si>
  <si>
    <t>Price</t>
  </si>
  <si>
    <t>Debt</t>
  </si>
  <si>
    <t>D&amp;A</t>
  </si>
  <si>
    <t>SBC</t>
  </si>
  <si>
    <t>Inventory write-downs</t>
  </si>
  <si>
    <t>Foreign currency transaction</t>
  </si>
  <si>
    <t>Non-cash intereset and other</t>
  </si>
  <si>
    <t>A/R</t>
  </si>
  <si>
    <t>inventory</t>
  </si>
  <si>
    <t>A/P</t>
  </si>
  <si>
    <t>CFFO</t>
  </si>
  <si>
    <t>CFFI</t>
  </si>
  <si>
    <t>CapEx</t>
  </si>
  <si>
    <t>CFFF</t>
  </si>
  <si>
    <t>Issuance of debt</t>
  </si>
  <si>
    <t>Repayments of debt</t>
  </si>
  <si>
    <t>Tesla cars, stations</t>
  </si>
  <si>
    <t>China, everybody</t>
  </si>
  <si>
    <t>Lease repayments</t>
  </si>
  <si>
    <t>Net interest + other</t>
  </si>
  <si>
    <t>Q219</t>
  </si>
  <si>
    <t>R&amp;D</t>
  </si>
  <si>
    <t>Model 3</t>
  </si>
  <si>
    <t>Model S</t>
  </si>
  <si>
    <t>Model X</t>
  </si>
  <si>
    <t>Competition sales</t>
  </si>
  <si>
    <t>Toyota Camry</t>
  </si>
  <si>
    <t>Honda Accord</t>
  </si>
  <si>
    <t>Honda Civic</t>
  </si>
  <si>
    <t>Toyota Corrola</t>
  </si>
  <si>
    <t>Tesla Model 3</t>
  </si>
  <si>
    <t>Energy &amp; storage</t>
  </si>
  <si>
    <t>Units delivered - Auto</t>
  </si>
  <si>
    <t>-</t>
  </si>
  <si>
    <t>Q217</t>
  </si>
  <si>
    <t>Headcount</t>
  </si>
  <si>
    <t>HC y/y</t>
  </si>
  <si>
    <t>R&amp;D y/y</t>
  </si>
  <si>
    <t>SG&amp;A y/y</t>
  </si>
  <si>
    <t>Revenue y/y</t>
  </si>
  <si>
    <t>Deliveries q/q (y/y)</t>
  </si>
  <si>
    <t>Services&amp;other</t>
  </si>
  <si>
    <t>Revenue per delivery</t>
  </si>
  <si>
    <t>Products/Services</t>
  </si>
  <si>
    <t>Energy&amp;Storage</t>
  </si>
  <si>
    <t>Maturity</t>
  </si>
  <si>
    <t>Discount</t>
  </si>
  <si>
    <t>NPV</t>
  </si>
  <si>
    <t>ROIC</t>
  </si>
  <si>
    <t>Current</t>
  </si>
  <si>
    <t>Net NPV</t>
  </si>
  <si>
    <t>Nissan Leaf</t>
  </si>
  <si>
    <t>Renault Zoe</t>
  </si>
  <si>
    <t>BMW i3</t>
  </si>
  <si>
    <t>Solar roof, bateries</t>
  </si>
  <si>
    <t>My valuation price</t>
  </si>
  <si>
    <t>FCF</t>
  </si>
  <si>
    <t>FCF-SBC</t>
  </si>
  <si>
    <t>Enterprise Value</t>
  </si>
  <si>
    <t>Market Cap</t>
  </si>
  <si>
    <t>Net NPV(+debt)</t>
  </si>
  <si>
    <t>Public offering</t>
  </si>
  <si>
    <t>+/- in cash</t>
  </si>
  <si>
    <t>Principal balance</t>
  </si>
  <si>
    <t>Interest rate</t>
  </si>
  <si>
    <t>Maturity date</t>
  </si>
  <si>
    <t>Convertible Senior Notes</t>
  </si>
  <si>
    <t>Convertible senior Notes</t>
  </si>
  <si>
    <t>Senior Notes</t>
  </si>
  <si>
    <t>Credit Agreement</t>
  </si>
  <si>
    <t>1% + LIBOR</t>
  </si>
  <si>
    <t>Vehicle and other Loans</t>
  </si>
  <si>
    <t>1,8% - 4,7%</t>
  </si>
  <si>
    <t>Zero-Coupon Convertible Senior Notes</t>
  </si>
  <si>
    <t>Solar Bonds</t>
  </si>
  <si>
    <t>3%-5,8%</t>
  </si>
  <si>
    <t>Warehouse Agreement</t>
  </si>
  <si>
    <t>3,9%-4,2%</t>
  </si>
  <si>
    <t>Canada Credit Facility</t>
  </si>
  <si>
    <t>3,6%-5,9%</t>
  </si>
  <si>
    <t>Term Loan due in 2019</t>
  </si>
  <si>
    <t>Term Loan due in 2021</t>
  </si>
  <si>
    <t>China Loan Agreement</t>
  </si>
  <si>
    <t>Cash equity debt</t>
  </si>
  <si>
    <t>5,3%-5,8%</t>
  </si>
  <si>
    <t>Solar asset-backed notes</t>
  </si>
  <si>
    <t>4,0%-7,7%</t>
  </si>
  <si>
    <t>Solar loan-backed notes</t>
  </si>
  <si>
    <t>4,8%-7,5%</t>
  </si>
  <si>
    <t>2,3%-7,9%</t>
  </si>
  <si>
    <t>Solar Renewable credit</t>
  </si>
  <si>
    <t>4,4%-8,2%</t>
  </si>
  <si>
    <t>Automotive asset-backed Notes</t>
  </si>
  <si>
    <t>Revenues by geographic area</t>
  </si>
  <si>
    <t>US</t>
  </si>
  <si>
    <t>China</t>
  </si>
  <si>
    <t>Norway</t>
  </si>
  <si>
    <t>Other</t>
  </si>
  <si>
    <t>Q119 (In thousands)</t>
  </si>
  <si>
    <t>Netehrlands</t>
  </si>
  <si>
    <t>(in mil.)</t>
  </si>
  <si>
    <t>Long-term debt</t>
  </si>
  <si>
    <t>Current price</t>
  </si>
  <si>
    <t>Cars delivered</t>
  </si>
  <si>
    <t>Revenue(in mil.)</t>
  </si>
  <si>
    <t>SG&amp;A</t>
  </si>
  <si>
    <t>Total long term debt</t>
  </si>
  <si>
    <t>EBITDA</t>
  </si>
  <si>
    <t>Operating margin</t>
  </si>
  <si>
    <t>Gross Margin</t>
  </si>
  <si>
    <t>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</si>
</sst>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0_ ;_-[$$-409]* \-#,##0.0\ ;_-[$$-409]* &quot;-&quot;??_ ;_-@_ "/>
  </numFmts>
  <fonts count="8" x14ac:knownFonts="1">
    <font>
      <sz val="11"/>
      <color theme="1"/>
      <name val="Calibri"/>
      <family val="2"/>
      <charset val="238"/>
      <scheme val="minor"/>
    </font>
    <font>
      <sz val="11"/>
      <color theme="1"/>
      <name val="Calibri"/>
      <family val="2"/>
      <charset val="238"/>
      <scheme val="minor"/>
    </font>
    <font>
      <sz val="10"/>
      <color theme="1"/>
      <name val="Arial"/>
      <family val="2"/>
    </font>
    <font>
      <b/>
      <sz val="10"/>
      <color theme="1"/>
      <name val="Arial"/>
      <family val="2"/>
    </font>
    <font>
      <sz val="9"/>
      <color indexed="81"/>
      <name val="Tahoma"/>
      <family val="2"/>
    </font>
    <font>
      <sz val="9"/>
      <color indexed="0"/>
      <name val="Helvetica"/>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ck">
        <color theme="4"/>
      </left>
      <right style="thin">
        <color indexed="64"/>
      </right>
      <top style="thick">
        <color theme="4"/>
      </top>
      <bottom style="thin">
        <color indexed="64"/>
      </bottom>
      <diagonal/>
    </border>
    <border>
      <left style="thin">
        <color indexed="64"/>
      </left>
      <right style="thick">
        <color theme="4"/>
      </right>
      <top style="thick">
        <color theme="4"/>
      </top>
      <bottom style="thin">
        <color indexed="64"/>
      </bottom>
      <diagonal/>
    </border>
    <border>
      <left style="thick">
        <color theme="4"/>
      </left>
      <right style="thin">
        <color indexed="64"/>
      </right>
      <top style="thin">
        <color indexed="64"/>
      </top>
      <bottom style="thin">
        <color indexed="64"/>
      </bottom>
      <diagonal/>
    </border>
    <border>
      <left style="thin">
        <color indexed="64"/>
      </left>
      <right style="thick">
        <color theme="4"/>
      </right>
      <top style="thin">
        <color indexed="64"/>
      </top>
      <bottom style="thin">
        <color indexed="64"/>
      </bottom>
      <diagonal/>
    </border>
    <border>
      <left style="thick">
        <color theme="4"/>
      </left>
      <right style="thin">
        <color indexed="64"/>
      </right>
      <top style="thin">
        <color indexed="64"/>
      </top>
      <bottom style="thick">
        <color theme="4"/>
      </bottom>
      <diagonal/>
    </border>
    <border>
      <left style="thin">
        <color indexed="64"/>
      </left>
      <right style="thick">
        <color theme="4"/>
      </right>
      <top style="thin">
        <color indexed="64"/>
      </top>
      <bottom style="thick">
        <color theme="4"/>
      </bottom>
      <diagonal/>
    </border>
    <border>
      <left style="thick">
        <color rgb="FF0070C0"/>
      </left>
      <right/>
      <top style="thick">
        <color rgb="FF0070C0"/>
      </top>
      <bottom/>
      <diagonal/>
    </border>
    <border>
      <left/>
      <right style="thick">
        <color rgb="FF0070C0"/>
      </right>
      <top style="thick">
        <color rgb="FF0070C0"/>
      </top>
      <bottom/>
      <diagonal/>
    </border>
    <border>
      <left style="thick">
        <color rgb="FF0070C0"/>
      </left>
      <right/>
      <top/>
      <bottom style="thick">
        <color rgb="FF0070C0"/>
      </bottom>
      <diagonal/>
    </border>
    <border>
      <left/>
      <right style="thick">
        <color rgb="FF0070C0"/>
      </right>
      <top/>
      <bottom style="thick">
        <color rgb="FF0070C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5" fillId="0" borderId="0"/>
  </cellStyleXfs>
  <cellXfs count="83">
    <xf numFmtId="0" fontId="0" fillId="0" borderId="0" xfId="0"/>
    <xf numFmtId="0" fontId="2" fillId="0" borderId="0" xfId="0" applyFont="1"/>
    <xf numFmtId="37" fontId="2" fillId="0" borderId="0" xfId="0" applyNumberFormat="1" applyFont="1"/>
    <xf numFmtId="37" fontId="2" fillId="0" borderId="0" xfId="0" applyNumberFormat="1" applyFont="1" applyAlignment="1">
      <alignment wrapText="1"/>
    </xf>
    <xf numFmtId="0" fontId="3" fillId="0" borderId="0" xfId="0" applyFont="1"/>
    <xf numFmtId="37" fontId="3" fillId="0" borderId="0" xfId="0" applyNumberFormat="1" applyFont="1"/>
    <xf numFmtId="9" fontId="2" fillId="0" borderId="0" xfId="1" applyFont="1"/>
    <xf numFmtId="9" fontId="2" fillId="0" borderId="0" xfId="0" applyNumberFormat="1" applyFont="1"/>
    <xf numFmtId="0" fontId="2" fillId="0" borderId="0" xfId="0" applyFont="1" applyAlignment="1">
      <alignment horizontal="left"/>
    </xf>
    <xf numFmtId="49" fontId="2" fillId="0" borderId="0" xfId="0" applyNumberFormat="1" applyFont="1"/>
    <xf numFmtId="0" fontId="2" fillId="0" borderId="0" xfId="0" applyFont="1" applyAlignment="1">
      <alignment horizontal="left" indent="1"/>
    </xf>
    <xf numFmtId="1" fontId="2" fillId="0" borderId="0" xfId="0" applyNumberFormat="1" applyFont="1" applyAlignment="1">
      <alignment horizontal="left"/>
    </xf>
    <xf numFmtId="3" fontId="2" fillId="0" borderId="0" xfId="0" applyNumberFormat="1" applyFont="1"/>
    <xf numFmtId="3" fontId="2" fillId="0" borderId="0" xfId="0" applyNumberFormat="1" applyFont="1" applyAlignment="1">
      <alignment horizontal="left"/>
    </xf>
    <xf numFmtId="0" fontId="2" fillId="0" borderId="0" xfId="0" applyFont="1" applyFill="1" applyBorder="1"/>
    <xf numFmtId="3" fontId="2" fillId="0" borderId="0" xfId="0" applyNumberFormat="1" applyFont="1" applyAlignment="1">
      <alignment horizontal="right" vertical="center"/>
    </xf>
    <xf numFmtId="3" fontId="2" fillId="0" borderId="0" xfId="0" applyNumberFormat="1" applyFont="1" applyAlignment="1">
      <alignment horizontal="center"/>
    </xf>
    <xf numFmtId="1" fontId="2" fillId="0" borderId="0" xfId="0" applyNumberFormat="1" applyFont="1" applyAlignment="1">
      <alignment horizontal="right"/>
    </xf>
    <xf numFmtId="3" fontId="2" fillId="0" borderId="0" xfId="0" applyNumberFormat="1" applyFont="1" applyAlignment="1">
      <alignment horizontal="right"/>
    </xf>
    <xf numFmtId="0" fontId="2" fillId="0" borderId="0" xfId="0" applyFont="1" applyFill="1"/>
    <xf numFmtId="3" fontId="2" fillId="0" borderId="0" xfId="0" applyNumberFormat="1" applyFont="1" applyFill="1"/>
    <xf numFmtId="1" fontId="2" fillId="0" borderId="0" xfId="0" applyNumberFormat="1" applyFont="1" applyFill="1" applyAlignment="1">
      <alignment horizontal="right"/>
    </xf>
    <xf numFmtId="37" fontId="3" fillId="0" borderId="0" xfId="0" applyNumberFormat="1" applyFont="1" applyFill="1"/>
    <xf numFmtId="37" fontId="2" fillId="0" borderId="0" xfId="0" applyNumberFormat="1" applyFont="1" applyFill="1"/>
    <xf numFmtId="0" fontId="3" fillId="0" borderId="0" xfId="0" applyFont="1" applyFill="1"/>
    <xf numFmtId="9" fontId="2" fillId="0" borderId="0" xfId="1" applyFont="1" applyAlignment="1">
      <alignment horizontal="right"/>
    </xf>
    <xf numFmtId="3" fontId="3" fillId="0" borderId="0" xfId="0" applyNumberFormat="1" applyFont="1"/>
    <xf numFmtId="0" fontId="3" fillId="0" borderId="8" xfId="0" applyFont="1" applyBorder="1"/>
    <xf numFmtId="9" fontId="2" fillId="0" borderId="9" xfId="1" applyFont="1" applyBorder="1"/>
    <xf numFmtId="0" fontId="3" fillId="0" borderId="10" xfId="0" applyFont="1" applyBorder="1"/>
    <xf numFmtId="9" fontId="2" fillId="0" borderId="11" xfId="0" applyNumberFormat="1" applyFont="1" applyBorder="1"/>
    <xf numFmtId="3" fontId="2" fillId="0" borderId="11" xfId="0" applyNumberFormat="1" applyFont="1" applyBorder="1"/>
    <xf numFmtId="0" fontId="3" fillId="0" borderId="12" xfId="0" applyFont="1" applyBorder="1"/>
    <xf numFmtId="3" fontId="2" fillId="0" borderId="13" xfId="0" applyNumberFormat="1" applyFont="1" applyBorder="1"/>
    <xf numFmtId="10" fontId="0" fillId="0" borderId="0" xfId="0" applyNumberFormat="1"/>
    <xf numFmtId="17" fontId="0" fillId="0" borderId="0" xfId="0" applyNumberFormat="1"/>
    <xf numFmtId="0" fontId="0" fillId="0" borderId="0" xfId="0" applyAlignment="1">
      <alignment horizontal="center"/>
    </xf>
    <xf numFmtId="10" fontId="0" fillId="0" borderId="0" xfId="0" applyNumberFormat="1" applyAlignment="1">
      <alignment horizontal="center"/>
    </xf>
    <xf numFmtId="3" fontId="0" fillId="0" borderId="0" xfId="0" applyNumberFormat="1"/>
    <xf numFmtId="0" fontId="7" fillId="0" borderId="0" xfId="0" applyFont="1"/>
    <xf numFmtId="3" fontId="7" fillId="0" borderId="0" xfId="0" applyNumberFormat="1" applyFont="1"/>
    <xf numFmtId="9" fontId="0" fillId="0" borderId="0" xfId="0" applyNumberFormat="1"/>
    <xf numFmtId="10" fontId="7" fillId="0" borderId="0" xfId="0" applyNumberFormat="1" applyFont="1" applyAlignment="1">
      <alignment horizontal="center"/>
    </xf>
    <xf numFmtId="0" fontId="2" fillId="2" borderId="0" xfId="0" applyFont="1" applyFill="1"/>
    <xf numFmtId="0" fontId="3" fillId="2" borderId="0" xfId="0" applyFont="1" applyFill="1" applyAlignment="1">
      <alignment horizontal="center"/>
    </xf>
    <xf numFmtId="0" fontId="2" fillId="2" borderId="5" xfId="0" applyFont="1" applyFill="1" applyBorder="1"/>
    <xf numFmtId="165" fontId="2" fillId="2" borderId="1" xfId="0" applyNumberFormat="1" applyFont="1" applyFill="1" applyBorder="1"/>
    <xf numFmtId="0" fontId="3" fillId="2" borderId="26" xfId="0" applyFont="1" applyFill="1" applyBorder="1"/>
    <xf numFmtId="0" fontId="3" fillId="2" borderId="27" xfId="0" applyFont="1" applyFill="1" applyBorder="1" applyAlignment="1">
      <alignment horizontal="left" vertical="top"/>
    </xf>
    <xf numFmtId="0" fontId="3" fillId="2" borderId="28" xfId="0" applyFont="1" applyFill="1" applyBorder="1" applyAlignment="1">
      <alignment horizontal="left" vertical="top"/>
    </xf>
    <xf numFmtId="0" fontId="2" fillId="2" borderId="26" xfId="0" applyFont="1" applyFill="1" applyBorder="1"/>
    <xf numFmtId="0" fontId="2" fillId="2" borderId="27" xfId="0" applyFont="1" applyFill="1" applyBorder="1"/>
    <xf numFmtId="0" fontId="2" fillId="2" borderId="28" xfId="0" applyFont="1" applyFill="1" applyBorder="1"/>
    <xf numFmtId="0" fontId="2" fillId="2" borderId="6" xfId="0" applyFont="1" applyFill="1" applyBorder="1"/>
    <xf numFmtId="3" fontId="2" fillId="2" borderId="2" xfId="0" applyNumberFormat="1" applyFont="1" applyFill="1" applyBorder="1"/>
    <xf numFmtId="0" fontId="2" fillId="2" borderId="0" xfId="0" applyFont="1" applyFill="1" applyAlignment="1">
      <alignment horizontal="right"/>
    </xf>
    <xf numFmtId="0" fontId="2" fillId="2" borderId="23" xfId="0" applyFont="1" applyFill="1" applyBorder="1"/>
    <xf numFmtId="3" fontId="2" fillId="2" borderId="24" xfId="0" applyNumberFormat="1" applyFont="1" applyFill="1" applyBorder="1"/>
    <xf numFmtId="3" fontId="2" fillId="2" borderId="25" xfId="0" applyNumberFormat="1" applyFont="1" applyFill="1" applyBorder="1"/>
    <xf numFmtId="0" fontId="2" fillId="2" borderId="24" xfId="0" applyFont="1" applyFill="1" applyBorder="1"/>
    <xf numFmtId="9" fontId="2" fillId="2" borderId="24" xfId="1" applyFont="1" applyFill="1" applyBorder="1"/>
    <xf numFmtId="0" fontId="2" fillId="2" borderId="25" xfId="0" applyFont="1" applyFill="1" applyBorder="1"/>
    <xf numFmtId="4" fontId="2" fillId="2" borderId="6" xfId="0" applyNumberFormat="1" applyFont="1" applyFill="1" applyBorder="1"/>
    <xf numFmtId="4" fontId="3" fillId="2" borderId="0" xfId="0" applyNumberFormat="1" applyFont="1" applyFill="1"/>
    <xf numFmtId="0" fontId="2" fillId="2" borderId="18" xfId="0" applyFont="1" applyFill="1" applyBorder="1"/>
    <xf numFmtId="3" fontId="2" fillId="2" borderId="4" xfId="0" applyNumberFormat="1" applyFont="1" applyFill="1" applyBorder="1"/>
    <xf numFmtId="3" fontId="2" fillId="2" borderId="19" xfId="0" applyNumberFormat="1" applyFont="1" applyFill="1" applyBorder="1"/>
    <xf numFmtId="0" fontId="2" fillId="2" borderId="20" xfId="0" applyFont="1" applyFill="1" applyBorder="1"/>
    <xf numFmtId="0" fontId="2" fillId="2" borderId="21" xfId="0" applyFont="1" applyFill="1" applyBorder="1"/>
    <xf numFmtId="9" fontId="2" fillId="2" borderId="21" xfId="0" applyNumberFormat="1" applyFont="1" applyFill="1" applyBorder="1"/>
    <xf numFmtId="0" fontId="2" fillId="2" borderId="22" xfId="0" applyFont="1" applyFill="1" applyBorder="1" applyAlignment="1">
      <alignment horizontal="center"/>
    </xf>
    <xf numFmtId="0" fontId="2" fillId="2" borderId="7" xfId="0" applyFont="1" applyFill="1" applyBorder="1"/>
    <xf numFmtId="3" fontId="2" fillId="2" borderId="3" xfId="0" applyNumberFormat="1" applyFont="1" applyFill="1" applyBorder="1"/>
    <xf numFmtId="0" fontId="3" fillId="2" borderId="0" xfId="0" applyFont="1" applyFill="1"/>
    <xf numFmtId="0" fontId="2" fillId="2" borderId="14" xfId="0" applyFont="1" applyFill="1" applyBorder="1"/>
    <xf numFmtId="3" fontId="2" fillId="2" borderId="15" xfId="0" applyNumberFormat="1" applyFont="1" applyFill="1" applyBorder="1"/>
    <xf numFmtId="9" fontId="2" fillId="2" borderId="4" xfId="0" applyNumberFormat="1" applyFont="1" applyFill="1" applyBorder="1"/>
    <xf numFmtId="9" fontId="2" fillId="2" borderId="19" xfId="0" applyNumberFormat="1" applyFont="1" applyFill="1" applyBorder="1"/>
    <xf numFmtId="0" fontId="2" fillId="2" borderId="16" xfId="0" applyFont="1" applyFill="1" applyBorder="1"/>
    <xf numFmtId="164" fontId="2" fillId="2" borderId="17" xfId="0" applyNumberFormat="1" applyFont="1" applyFill="1" applyBorder="1"/>
    <xf numFmtId="9" fontId="2" fillId="2" borderId="22" xfId="0" applyNumberFormat="1" applyFont="1" applyFill="1" applyBorder="1"/>
    <xf numFmtId="4" fontId="2" fillId="2" borderId="0" xfId="1" applyNumberFormat="1" applyFont="1" applyFill="1"/>
    <xf numFmtId="9" fontId="2" fillId="2" borderId="0" xfId="1" applyFont="1" applyFill="1"/>
  </cellXfs>
  <cellStyles count="3">
    <cellStyle name="Normal 2" xfId="2" xr:uid="{F6736F4F-7D9E-46F3-A952-764F567CEA83}"/>
    <cellStyle name="Normální" xfId="0" builtinId="0"/>
    <cellStyle name="Procenta"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Revenue(in</a:t>
            </a:r>
            <a:r>
              <a:rPr lang="cs-CZ" baseline="0"/>
              <a:t> millions)</a:t>
            </a:r>
            <a:endParaRPr lang="en-US"/>
          </a:p>
        </c:rich>
      </c:tx>
      <c:layout>
        <c:manualLayout>
          <c:xMode val="edge"/>
          <c:yMode val="edge"/>
          <c:x val="0.34167454068241476"/>
          <c:y val="3.77562028047464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Model!$N$2:$Z$2</c:f>
              <c:numCache>
                <c:formatCode>@</c:formatCode>
                <c:ptCount val="13"/>
                <c:pt idx="0">
                  <c:v>2013</c:v>
                </c:pt>
                <c:pt idx="1">
                  <c:v>2014</c:v>
                </c:pt>
                <c:pt idx="2">
                  <c:v>2015</c:v>
                </c:pt>
                <c:pt idx="3">
                  <c:v>2016</c:v>
                </c:pt>
                <c:pt idx="4" formatCode="General">
                  <c:v>2017</c:v>
                </c:pt>
                <c:pt idx="5" formatCode="General">
                  <c:v>2018</c:v>
                </c:pt>
                <c:pt idx="6" formatCode="General">
                  <c:v>2019</c:v>
                </c:pt>
                <c:pt idx="7" formatCode="General">
                  <c:v>2020</c:v>
                </c:pt>
                <c:pt idx="8" formatCode="General">
                  <c:v>2021</c:v>
                </c:pt>
                <c:pt idx="9" formatCode="General">
                  <c:v>2022</c:v>
                </c:pt>
                <c:pt idx="10" formatCode="General">
                  <c:v>2023</c:v>
                </c:pt>
                <c:pt idx="11" formatCode="General">
                  <c:v>2024</c:v>
                </c:pt>
                <c:pt idx="12" formatCode="General">
                  <c:v>2025</c:v>
                </c:pt>
              </c:numCache>
            </c:numRef>
          </c:cat>
          <c:val>
            <c:numRef>
              <c:f>Model!$N$13:$Z$13</c:f>
              <c:numCache>
                <c:formatCode>#,##0</c:formatCode>
                <c:ptCount val="13"/>
                <c:pt idx="0">
                  <c:v>2013</c:v>
                </c:pt>
                <c:pt idx="1">
                  <c:v>3198</c:v>
                </c:pt>
                <c:pt idx="2">
                  <c:v>4046</c:v>
                </c:pt>
                <c:pt idx="3">
                  <c:v>6999</c:v>
                </c:pt>
                <c:pt idx="4">
                  <c:v>11759</c:v>
                </c:pt>
                <c:pt idx="5">
                  <c:v>21460</c:v>
                </c:pt>
                <c:pt idx="6">
                  <c:v>26410.5</c:v>
                </c:pt>
                <c:pt idx="7">
                  <c:v>35011.660000000003</c:v>
                </c:pt>
                <c:pt idx="8">
                  <c:v>43571.593750000007</c:v>
                </c:pt>
                <c:pt idx="9">
                  <c:v>50232.522812499992</c:v>
                </c:pt>
                <c:pt idx="10">
                  <c:v>53838.429231249997</c:v>
                </c:pt>
                <c:pt idx="11">
                  <c:v>59725.899472187506</c:v>
                </c:pt>
                <c:pt idx="12">
                  <c:v>66295.688194890623</c:v>
                </c:pt>
              </c:numCache>
            </c:numRef>
          </c:val>
          <c:smooth val="0"/>
          <c:extLst>
            <c:ext xmlns:c16="http://schemas.microsoft.com/office/drawing/2014/chart" uri="{C3380CC4-5D6E-409C-BE32-E72D297353CC}">
              <c16:uniqueId val="{00000000-CC5D-4127-86C1-19FD8E43DFE2}"/>
            </c:ext>
          </c:extLst>
        </c:ser>
        <c:dLbls>
          <c:showLegendKey val="0"/>
          <c:showVal val="0"/>
          <c:showCatName val="0"/>
          <c:showSerName val="0"/>
          <c:showPercent val="0"/>
          <c:showBubbleSize val="0"/>
        </c:dLbls>
        <c:smooth val="0"/>
        <c:axId val="1969785392"/>
        <c:axId val="1809423776"/>
      </c:lineChart>
      <c:catAx>
        <c:axId val="1969785392"/>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809423776"/>
        <c:crosses val="autoZero"/>
        <c:auto val="1"/>
        <c:lblAlgn val="ctr"/>
        <c:lblOffset val="100"/>
        <c:noMultiLvlLbl val="0"/>
      </c:catAx>
      <c:valAx>
        <c:axId val="1809423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9697853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21D4-4982-844A-555C65879D4D}"/>
              </c:ext>
            </c:extLst>
          </c:dPt>
          <c:cat>
            <c:strRef>
              <c:f>(Main!$B$2,Main!$B$10)</c:f>
              <c:strCache>
                <c:ptCount val="2"/>
                <c:pt idx="0">
                  <c:v>Current price</c:v>
                </c:pt>
                <c:pt idx="1">
                  <c:v>My valuation price</c:v>
                </c:pt>
              </c:strCache>
            </c:strRef>
          </c:cat>
          <c:val>
            <c:numRef>
              <c:f>(Main!$C$2,Main!$C$10)</c:f>
              <c:numCache>
                <c:formatCode>_-[$$-409]* #,##0.00_ ;_-[$$-409]* \-#,##0.00\ ;_-[$$-409]* "-"??_ ;_-@_ </c:formatCode>
                <c:ptCount val="2"/>
                <c:pt idx="0" formatCode="_-[$$-409]* #,##0.0_ ;_-[$$-409]* \-#,##0.0\ ;_-[$$-409]* &quot;-&quot;??_ ;_-@_ ">
                  <c:v>204.5</c:v>
                </c:pt>
                <c:pt idx="1">
                  <c:v>182.82965634033178</c:v>
                </c:pt>
              </c:numCache>
            </c:numRef>
          </c:val>
          <c:extLst>
            <c:ext xmlns:c16="http://schemas.microsoft.com/office/drawing/2014/chart" uri="{C3380CC4-5D6E-409C-BE32-E72D297353CC}">
              <c16:uniqueId val="{00000000-21D4-4982-844A-555C65879D4D}"/>
            </c:ext>
          </c:extLst>
        </c:ser>
        <c:dLbls>
          <c:showLegendKey val="0"/>
          <c:showVal val="0"/>
          <c:showCatName val="0"/>
          <c:showSerName val="0"/>
          <c:showPercent val="0"/>
          <c:showBubbleSize val="0"/>
        </c:dLbls>
        <c:gapWidth val="75"/>
        <c:overlap val="-27"/>
        <c:axId val="260447392"/>
        <c:axId val="261761024"/>
      </c:barChart>
      <c:catAx>
        <c:axId val="2604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61761024"/>
        <c:crosses val="autoZero"/>
        <c:auto val="1"/>
        <c:lblAlgn val="ctr"/>
        <c:lblOffset val="100"/>
        <c:noMultiLvlLbl val="0"/>
      </c:catAx>
      <c:valAx>
        <c:axId val="261761024"/>
        <c:scaling>
          <c:orientation val="minMax"/>
        </c:scaling>
        <c:delete val="0"/>
        <c:axPos val="l"/>
        <c:numFmt formatCode="_-[$$-409]* #,##0.0_ ;_-[$$-409]* \-#,##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604473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45720</xdr:colOff>
      <xdr:row>11</xdr:row>
      <xdr:rowOff>45720</xdr:rowOff>
    </xdr:from>
    <xdr:to>
      <xdr:col>7</xdr:col>
      <xdr:colOff>579120</xdr:colOff>
      <xdr:row>30</xdr:row>
      <xdr:rowOff>0</xdr:rowOff>
    </xdr:to>
    <xdr:graphicFrame macro="">
      <xdr:nvGraphicFramePr>
        <xdr:cNvPr id="4" name="Chart 3">
          <a:extLst>
            <a:ext uri="{FF2B5EF4-FFF2-40B4-BE49-F238E27FC236}">
              <a16:creationId xmlns:a16="http://schemas.microsoft.com/office/drawing/2014/main" id="{DDBF7115-BA95-463D-8AAD-06C84F6B3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274320</xdr:colOff>
      <xdr:row>16</xdr:row>
      <xdr:rowOff>68580</xdr:rowOff>
    </xdr:from>
    <xdr:to>
      <xdr:col>13</xdr:col>
      <xdr:colOff>0</xdr:colOff>
      <xdr:row>30</xdr:row>
      <xdr:rowOff>38100</xdr:rowOff>
    </xdr:to>
    <xdr:graphicFrame macro="">
      <xdr:nvGraphicFramePr>
        <xdr:cNvPr id="5" name="Chart 4">
          <a:extLst>
            <a:ext uri="{FF2B5EF4-FFF2-40B4-BE49-F238E27FC236}">
              <a16:creationId xmlns:a16="http://schemas.microsoft.com/office/drawing/2014/main" id="{7A6A9FFC-DFCE-4B4E-AC8E-64AB7307A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259080</xdr:colOff>
      <xdr:row>11</xdr:row>
      <xdr:rowOff>60960</xdr:rowOff>
    </xdr:from>
    <xdr:ext cx="184731" cy="264560"/>
    <xdr:sp macro="" textlink="">
      <xdr:nvSpPr>
        <xdr:cNvPr id="3" name="TextovéPole 2">
          <a:extLst>
            <a:ext uri="{FF2B5EF4-FFF2-40B4-BE49-F238E27FC236}">
              <a16:creationId xmlns:a16="http://schemas.microsoft.com/office/drawing/2014/main" id="{E0861392-594F-4D53-8AE3-142940A59325}"/>
            </a:ext>
          </a:extLst>
        </xdr:cNvPr>
        <xdr:cNvSpPr txBox="1"/>
      </xdr:nvSpPr>
      <xdr:spPr>
        <a:xfrm>
          <a:off x="4922520" y="18745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cs-CZ" sz="1100"/>
        </a:p>
      </xdr:txBody>
    </xdr:sp>
    <xdr:clientData/>
  </xdr:oneCellAnchor>
  <xdr:twoCellAnchor>
    <xdr:from>
      <xdr:col>8</xdr:col>
      <xdr:colOff>274320</xdr:colOff>
      <xdr:row>4</xdr:row>
      <xdr:rowOff>99060</xdr:rowOff>
    </xdr:from>
    <xdr:to>
      <xdr:col>13</xdr:col>
      <xdr:colOff>0</xdr:colOff>
      <xdr:row>16</xdr:row>
      <xdr:rowOff>45720</xdr:rowOff>
    </xdr:to>
    <xdr:sp macro="" textlink="">
      <xdr:nvSpPr>
        <xdr:cNvPr id="6" name="TextovéPole 5">
          <a:extLst>
            <a:ext uri="{FF2B5EF4-FFF2-40B4-BE49-F238E27FC236}">
              <a16:creationId xmlns:a16="http://schemas.microsoft.com/office/drawing/2014/main" id="{A6CB94E9-BB70-4F0F-8464-0B256D8B21B0}"/>
            </a:ext>
          </a:extLst>
        </xdr:cNvPr>
        <xdr:cNvSpPr txBox="1"/>
      </xdr:nvSpPr>
      <xdr:spPr>
        <a:xfrm>
          <a:off x="5539740" y="708660"/>
          <a:ext cx="3726180" cy="1988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cs-CZ" sz="1100"/>
            <a:t>This is a very difficult</a:t>
          </a:r>
          <a:r>
            <a:rPr lang="cs-CZ" sz="1100" baseline="0"/>
            <a:t> company to analyse, because it is still in its growth phase, and the extreme financial conditions they are going through puts it into a higher risk of failure. Even in my moderately optimistic scenario, it puts the stock into a valuation of 183$ per share,which ist lower then the current stock price. They will be generating positive free cash flow in the future, after their main assembly lines and factories(Beijing and US) will be finally built and in full production. No more debt accumulation is recommendend, so that they avoid a debt spiral. They need to raise equity by issuinglarge amou stock.</a:t>
          </a:r>
          <a:endParaRPr lang="cs-CZ"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0</xdr:row>
      <xdr:rowOff>45720</xdr:rowOff>
    </xdr:from>
    <xdr:to>
      <xdr:col>11</xdr:col>
      <xdr:colOff>15241</xdr:colOff>
      <xdr:row>37</xdr:row>
      <xdr:rowOff>8964</xdr:rowOff>
    </xdr:to>
    <xdr:cxnSp macro="">
      <xdr:nvCxnSpPr>
        <xdr:cNvPr id="3" name="Straight Connector 2">
          <a:extLst>
            <a:ext uri="{FF2B5EF4-FFF2-40B4-BE49-F238E27FC236}">
              <a16:creationId xmlns:a16="http://schemas.microsoft.com/office/drawing/2014/main" id="{A647360C-ED70-4485-98B6-6FEB346B8097}"/>
            </a:ext>
          </a:extLst>
        </xdr:cNvPr>
        <xdr:cNvCxnSpPr/>
      </xdr:nvCxnSpPr>
      <xdr:spPr>
        <a:xfrm flipH="1">
          <a:off x="6382871" y="45720"/>
          <a:ext cx="15241" cy="622060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19</xdr:col>
      <xdr:colOff>15240</xdr:colOff>
      <xdr:row>0</xdr:row>
      <xdr:rowOff>15240</xdr:rowOff>
    </xdr:from>
    <xdr:to>
      <xdr:col>19</xdr:col>
      <xdr:colOff>15240</xdr:colOff>
      <xdr:row>37</xdr:row>
      <xdr:rowOff>60960</xdr:rowOff>
    </xdr:to>
    <xdr:cxnSp macro="">
      <xdr:nvCxnSpPr>
        <xdr:cNvPr id="6" name="Straight Connector 5">
          <a:extLst>
            <a:ext uri="{FF2B5EF4-FFF2-40B4-BE49-F238E27FC236}">
              <a16:creationId xmlns:a16="http://schemas.microsoft.com/office/drawing/2014/main" id="{FEBA2DE5-3D5C-4B8C-9B17-FDDD51285689}"/>
            </a:ext>
          </a:extLst>
        </xdr:cNvPr>
        <xdr:cNvCxnSpPr/>
      </xdr:nvCxnSpPr>
      <xdr:spPr>
        <a:xfrm>
          <a:off x="11064240" y="15240"/>
          <a:ext cx="0" cy="6202680"/>
        </a:xfrm>
        <a:prstGeom prst="line">
          <a:avLst/>
        </a:prstGeom>
        <a:ln>
          <a:solidFill>
            <a:schemeClr val="accent1"/>
          </a:solidFill>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7C331-3799-47F4-AAF4-1E3F4C02964F}">
  <dimension ref="A1:N18"/>
  <sheetViews>
    <sheetView workbookViewId="0">
      <selection activeCell="O17" sqref="O17"/>
    </sheetView>
  </sheetViews>
  <sheetFormatPr defaultColWidth="12.21875" defaultRowHeight="13.2" x14ac:dyDescent="0.25"/>
  <cols>
    <col min="1" max="1" width="2.5546875" style="43" customWidth="1"/>
    <col min="2" max="2" width="15.6640625" style="43" bestFit="1" customWidth="1"/>
    <col min="3" max="3" width="11.6640625" style="43" customWidth="1"/>
    <col min="4" max="4" width="7.77734375" style="43" customWidth="1"/>
    <col min="5" max="5" width="2.88671875" style="43" customWidth="1"/>
    <col min="6" max="6" width="18.33203125" style="43" bestFit="1" customWidth="1"/>
    <col min="7" max="7" width="9.109375" style="43" customWidth="1"/>
    <col min="8" max="8" width="8.77734375" style="43" bestFit="1" customWidth="1"/>
    <col min="9" max="9" width="4.21875" style="43" customWidth="1"/>
    <col min="10" max="10" width="15.33203125" style="43" bestFit="1" customWidth="1"/>
    <col min="11" max="11" width="16.6640625" style="43" bestFit="1" customWidth="1"/>
    <col min="12" max="12" width="6.6640625" style="43" bestFit="1" customWidth="1"/>
    <col min="13" max="13" width="15.44140625" style="43" bestFit="1" customWidth="1"/>
    <col min="14" max="16384" width="12.21875" style="43"/>
  </cols>
  <sheetData>
    <row r="1" spans="1:14" s="44" customFormat="1" ht="7.2" customHeight="1" thickBot="1" x14ac:dyDescent="0.3">
      <c r="A1" s="43"/>
    </row>
    <row r="2" spans="1:14" ht="13.8" thickBot="1" x14ac:dyDescent="0.3">
      <c r="B2" s="45" t="s">
        <v>157</v>
      </c>
      <c r="C2" s="46">
        <v>204.5</v>
      </c>
      <c r="F2" s="47" t="s">
        <v>165</v>
      </c>
      <c r="G2" s="48">
        <v>2018</v>
      </c>
      <c r="H2" s="49">
        <v>2025</v>
      </c>
      <c r="J2" s="50" t="s">
        <v>51</v>
      </c>
      <c r="K2" s="51" t="s">
        <v>98</v>
      </c>
      <c r="L2" s="51" t="s">
        <v>52</v>
      </c>
      <c r="M2" s="52" t="s">
        <v>53</v>
      </c>
    </row>
    <row r="3" spans="1:14" x14ac:dyDescent="0.25">
      <c r="B3" s="53" t="s">
        <v>0</v>
      </c>
      <c r="C3" s="54">
        <f>173720/1000</f>
        <v>173.72</v>
      </c>
      <c r="D3" s="55" t="s">
        <v>24</v>
      </c>
      <c r="F3" s="56" t="s">
        <v>158</v>
      </c>
      <c r="G3" s="57">
        <v>244920</v>
      </c>
      <c r="H3" s="58">
        <f>Model!Z3</f>
        <v>716491.74248437502</v>
      </c>
      <c r="J3" s="56" t="s">
        <v>54</v>
      </c>
      <c r="K3" s="59" t="s">
        <v>71</v>
      </c>
      <c r="L3" s="60">
        <v>0.69</v>
      </c>
      <c r="M3" s="61" t="s">
        <v>72</v>
      </c>
    </row>
    <row r="4" spans="1:14" s="63" customFormat="1" ht="13.8" thickBot="1" x14ac:dyDescent="0.3">
      <c r="A4" s="43"/>
      <c r="B4" s="62" t="s">
        <v>114</v>
      </c>
      <c r="C4" s="54">
        <f>+C2*C3</f>
        <v>35525.74</v>
      </c>
      <c r="D4" s="55" t="s">
        <v>24</v>
      </c>
      <c r="F4" s="64" t="s">
        <v>159</v>
      </c>
      <c r="G4" s="65">
        <v>21460</v>
      </c>
      <c r="H4" s="66">
        <f>Model!Z13</f>
        <v>66295.688194890623</v>
      </c>
      <c r="J4" s="67" t="s">
        <v>86</v>
      </c>
      <c r="K4" s="68" t="s">
        <v>109</v>
      </c>
      <c r="L4" s="69">
        <v>-0.28999999999999998</v>
      </c>
      <c r="M4" s="70" t="s">
        <v>88</v>
      </c>
    </row>
    <row r="5" spans="1:14" x14ac:dyDescent="0.25">
      <c r="B5" s="53" t="s">
        <v>1</v>
      </c>
      <c r="C5" s="54">
        <f>2198+130+353</f>
        <v>2681</v>
      </c>
      <c r="D5" s="55" t="s">
        <v>24</v>
      </c>
      <c r="F5" s="64" t="s">
        <v>160</v>
      </c>
      <c r="G5" s="65">
        <v>2969</v>
      </c>
      <c r="H5" s="66">
        <f>Model!Z16</f>
        <v>5414.9017918525187</v>
      </c>
    </row>
    <row r="6" spans="1:14" x14ac:dyDescent="0.25">
      <c r="B6" s="53" t="s">
        <v>56</v>
      </c>
      <c r="C6" s="54">
        <f>9788+2475+1706</f>
        <v>13969</v>
      </c>
      <c r="D6" s="55" t="s">
        <v>24</v>
      </c>
      <c r="F6" s="64" t="s">
        <v>76</v>
      </c>
      <c r="G6" s="65">
        <v>1460</v>
      </c>
      <c r="H6" s="66">
        <f>Model!Z17</f>
        <v>2643.7837764095998</v>
      </c>
    </row>
    <row r="7" spans="1:14" x14ac:dyDescent="0.25">
      <c r="B7" s="71" t="s">
        <v>113</v>
      </c>
      <c r="C7" s="72">
        <f>+C4-C5+C6</f>
        <v>46813.74</v>
      </c>
      <c r="F7" s="64" t="s">
        <v>161</v>
      </c>
      <c r="G7" s="65">
        <f>10325.511</f>
        <v>10325.511</v>
      </c>
      <c r="H7" s="66">
        <v>4000</v>
      </c>
    </row>
    <row r="8" spans="1:14" s="73" customFormat="1" ht="13.8" thickBot="1" x14ac:dyDescent="0.3">
      <c r="A8" s="43"/>
      <c r="F8" s="64" t="s">
        <v>162</v>
      </c>
      <c r="G8" s="65">
        <v>-388</v>
      </c>
      <c r="H8" s="66">
        <f>Model!Z19</f>
        <v>5200.4520707160027</v>
      </c>
    </row>
    <row r="9" spans="1:14" ht="13.8" thickTop="1" x14ac:dyDescent="0.25">
      <c r="B9" s="74" t="s">
        <v>115</v>
      </c>
      <c r="C9" s="75">
        <f>+Model!AD33</f>
        <v>31761.167899442436</v>
      </c>
      <c r="F9" s="64" t="s">
        <v>163</v>
      </c>
      <c r="G9" s="76">
        <v>-0.02</v>
      </c>
      <c r="H9" s="77">
        <f>Model!Z31</f>
        <v>7.8443292653183422E-2</v>
      </c>
    </row>
    <row r="10" spans="1:14" ht="13.8" thickBot="1" x14ac:dyDescent="0.3">
      <c r="B10" s="78" t="s">
        <v>110</v>
      </c>
      <c r="C10" s="79">
        <f>+Model!AD34</f>
        <v>182.82965634033178</v>
      </c>
      <c r="D10" s="55"/>
      <c r="F10" s="67" t="s">
        <v>164</v>
      </c>
      <c r="G10" s="69">
        <v>0.19</v>
      </c>
      <c r="H10" s="80">
        <f>Model!Z28</f>
        <v>0.2</v>
      </c>
    </row>
    <row r="11" spans="1:14" ht="13.8" thickTop="1" x14ac:dyDescent="0.25"/>
    <row r="13" spans="1:14" s="73" customFormat="1" x14ac:dyDescent="0.25">
      <c r="A13" s="43"/>
      <c r="B13" s="43"/>
      <c r="C13" s="43"/>
      <c r="D13" s="43"/>
      <c r="E13" s="43"/>
      <c r="L13" s="43"/>
      <c r="M13" s="43"/>
      <c r="N13" s="43"/>
    </row>
    <row r="16" spans="1:14" x14ac:dyDescent="0.25">
      <c r="D16" s="81"/>
    </row>
    <row r="17" spans="1:5" s="73" customFormat="1" x14ac:dyDescent="0.25">
      <c r="A17" s="43"/>
      <c r="B17" s="43"/>
      <c r="C17" s="43"/>
      <c r="D17" s="43"/>
      <c r="E17" s="43"/>
    </row>
    <row r="18" spans="1:5" x14ac:dyDescent="0.25">
      <c r="D18" s="8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9B30C-109E-4CBA-855B-B9D09C6C8887}">
  <sheetPr>
    <tabColor rgb="FFFFFF00"/>
  </sheetPr>
  <dimension ref="A1:FH93"/>
  <sheetViews>
    <sheetView tabSelected="1" zoomScaleNormal="100" workbookViewId="0">
      <pane xSplit="2" ySplit="2" topLeftCell="C15" activePane="bottomRight" state="frozen"/>
      <selection pane="topRight" activeCell="B1" sqref="B1"/>
      <selection pane="bottomLeft" activeCell="A2" sqref="A2"/>
      <selection pane="bottomRight" activeCell="AD31" sqref="AD31"/>
    </sheetView>
  </sheetViews>
  <sheetFormatPr defaultRowHeight="13.2" x14ac:dyDescent="0.25"/>
  <cols>
    <col min="1" max="1" width="1.77734375" style="1" customWidth="1"/>
    <col min="2" max="2" width="20.33203125" style="1" customWidth="1"/>
    <col min="3" max="10" width="7.6640625" style="1" customWidth="1"/>
    <col min="11" max="11" width="9.109375" style="1" bestFit="1" customWidth="1"/>
    <col min="12" max="12" width="9" style="1" customWidth="1"/>
    <col min="13" max="13" width="5.109375" style="19" customWidth="1"/>
    <col min="14" max="17" width="8.88671875" style="1"/>
    <col min="18" max="19" width="9.44140625" style="1" bestFit="1" customWidth="1"/>
    <col min="20" max="20" width="8.21875" style="1" bestFit="1" customWidth="1"/>
    <col min="21" max="21" width="7.5546875" style="1" bestFit="1" customWidth="1"/>
    <col min="22" max="29" width="8.88671875" style="1"/>
    <col min="30" max="30" width="8.109375" style="1" customWidth="1"/>
    <col min="31" max="16384" width="8.88671875" style="1"/>
  </cols>
  <sheetData>
    <row r="1" spans="1:164" ht="7.2" customHeight="1" x14ac:dyDescent="0.25"/>
    <row r="2" spans="1:164" x14ac:dyDescent="0.25">
      <c r="C2" s="1" t="s">
        <v>5</v>
      </c>
      <c r="D2" s="1" t="s">
        <v>89</v>
      </c>
      <c r="E2" s="1" t="s">
        <v>6</v>
      </c>
      <c r="F2" s="1" t="s">
        <v>7</v>
      </c>
      <c r="G2" s="1" t="s">
        <v>8</v>
      </c>
      <c r="H2" s="1" t="s">
        <v>9</v>
      </c>
      <c r="I2" s="1" t="s">
        <v>10</v>
      </c>
      <c r="J2" s="1" t="s">
        <v>11</v>
      </c>
      <c r="K2" s="1" t="s">
        <v>24</v>
      </c>
      <c r="L2" s="1" t="s">
        <v>75</v>
      </c>
      <c r="N2" s="9">
        <v>2013</v>
      </c>
      <c r="O2" s="9">
        <v>2014</v>
      </c>
      <c r="P2" s="9">
        <v>2015</v>
      </c>
      <c r="Q2" s="9">
        <v>2016</v>
      </c>
      <c r="R2" s="8">
        <v>2017</v>
      </c>
      <c r="S2" s="8">
        <v>2018</v>
      </c>
      <c r="T2" s="8">
        <v>2019</v>
      </c>
      <c r="U2" s="8">
        <v>2020</v>
      </c>
      <c r="V2" s="8">
        <v>2021</v>
      </c>
      <c r="W2" s="8">
        <v>2022</v>
      </c>
      <c r="X2" s="8">
        <v>2023</v>
      </c>
      <c r="Y2" s="8">
        <v>2024</v>
      </c>
      <c r="Z2" s="8">
        <v>2025</v>
      </c>
      <c r="AA2" s="8"/>
      <c r="AB2" s="8"/>
      <c r="AC2" s="8"/>
      <c r="AD2" s="8"/>
      <c r="AE2" s="8"/>
    </row>
    <row r="3" spans="1:164" s="12" customFormat="1" x14ac:dyDescent="0.25">
      <c r="A3" s="1"/>
      <c r="B3" s="1" t="s">
        <v>87</v>
      </c>
      <c r="C3" s="12">
        <v>25000</v>
      </c>
      <c r="D3" s="12">
        <v>22000</v>
      </c>
      <c r="E3" s="12">
        <v>26150</v>
      </c>
      <c r="F3" s="12">
        <v>29870</v>
      </c>
      <c r="G3" s="12">
        <v>29980</v>
      </c>
      <c r="H3" s="12">
        <v>40740</v>
      </c>
      <c r="I3" s="12">
        <v>83500</v>
      </c>
      <c r="J3" s="12">
        <v>90700</v>
      </c>
      <c r="K3" s="12">
        <v>63000</v>
      </c>
      <c r="M3" s="20"/>
      <c r="P3" s="12">
        <f>+P6+P7</f>
        <v>50658</v>
      </c>
      <c r="Q3" s="12">
        <f>+Q6+Q7</f>
        <v>76243</v>
      </c>
      <c r="R3" s="18">
        <f>SUM(C3:F3)</f>
        <v>103020</v>
      </c>
      <c r="S3" s="15">
        <f>SUM(G3:J3)</f>
        <v>244920</v>
      </c>
      <c r="T3" s="13">
        <f>+S3+T4*S3</f>
        <v>306150</v>
      </c>
      <c r="U3" s="13">
        <f t="shared" ref="U3:Z3" si="0">+T3+U4*T3</f>
        <v>397995</v>
      </c>
      <c r="V3" s="13">
        <f t="shared" si="0"/>
        <v>457694.25</v>
      </c>
      <c r="W3" s="13">
        <f t="shared" si="0"/>
        <v>526348.38749999995</v>
      </c>
      <c r="X3" s="13">
        <f t="shared" si="0"/>
        <v>592141.93593749998</v>
      </c>
      <c r="Y3" s="13">
        <f t="shared" si="0"/>
        <v>651356.12953124999</v>
      </c>
      <c r="Z3" s="13">
        <f t="shared" si="0"/>
        <v>716491.74248437502</v>
      </c>
    </row>
    <row r="4" spans="1:164" s="12" customFormat="1" x14ac:dyDescent="0.25">
      <c r="A4" s="1"/>
      <c r="B4" s="1" t="s">
        <v>95</v>
      </c>
      <c r="D4" s="6">
        <f t="shared" ref="D4:J4" si="1">D3/C3-1</f>
        <v>-0.12</v>
      </c>
      <c r="E4" s="6">
        <f t="shared" si="1"/>
        <v>0.18863636363636371</v>
      </c>
      <c r="F4" s="6">
        <f t="shared" si="1"/>
        <v>0.14225621414913947</v>
      </c>
      <c r="G4" s="6">
        <f t="shared" si="1"/>
        <v>3.6826247070640417E-3</v>
      </c>
      <c r="H4" s="6">
        <f t="shared" si="1"/>
        <v>0.35890593729152775</v>
      </c>
      <c r="I4" s="6">
        <f t="shared" si="1"/>
        <v>1.0495827196858123</v>
      </c>
      <c r="J4" s="6">
        <f t="shared" si="1"/>
        <v>8.6227544910179699E-2</v>
      </c>
      <c r="K4" s="6">
        <f>K3/J3-1</f>
        <v>-0.30540242557883135</v>
      </c>
      <c r="M4" s="20"/>
      <c r="Q4" s="6">
        <f>Q3/P3-1</f>
        <v>0.50505349599273552</v>
      </c>
      <c r="R4" s="6">
        <f>R3/Q3-1</f>
        <v>0.35120601235523252</v>
      </c>
      <c r="S4" s="6">
        <f>S3/R3-1</f>
        <v>1.3774024461269656</v>
      </c>
      <c r="T4" s="25">
        <v>0.25</v>
      </c>
      <c r="U4" s="25">
        <v>0.3</v>
      </c>
      <c r="V4" s="25">
        <v>0.15</v>
      </c>
      <c r="W4" s="25">
        <v>0.15</v>
      </c>
      <c r="X4" s="25">
        <v>0.125</v>
      </c>
      <c r="Y4" s="25">
        <v>0.1</v>
      </c>
      <c r="Z4" s="25">
        <v>0.1</v>
      </c>
    </row>
    <row r="5" spans="1:164" s="12" customFormat="1" x14ac:dyDescent="0.25">
      <c r="A5" s="1"/>
      <c r="B5" s="10" t="s">
        <v>77</v>
      </c>
      <c r="C5" s="16" t="s">
        <v>88</v>
      </c>
      <c r="D5" s="16" t="s">
        <v>88</v>
      </c>
      <c r="E5" s="12">
        <v>220</v>
      </c>
      <c r="F5" s="12">
        <v>1550</v>
      </c>
      <c r="G5" s="12">
        <v>8180</v>
      </c>
      <c r="H5" s="12">
        <v>18440</v>
      </c>
      <c r="I5" s="12">
        <v>55840</v>
      </c>
      <c r="J5" s="12">
        <v>63359</v>
      </c>
      <c r="K5" s="12">
        <v>50928</v>
      </c>
      <c r="M5" s="20"/>
      <c r="P5" s="16" t="s">
        <v>88</v>
      </c>
      <c r="Q5" s="16" t="s">
        <v>88</v>
      </c>
      <c r="R5" s="18">
        <f t="shared" ref="R5:R7" si="2">SUM(C5:F5)</f>
        <v>1770</v>
      </c>
      <c r="S5" s="15">
        <f t="shared" ref="S5:S7" si="3">SUM(G5:J5)</f>
        <v>145819</v>
      </c>
      <c r="T5" s="18"/>
      <c r="U5" s="18"/>
      <c r="V5" s="18"/>
      <c r="W5" s="18"/>
      <c r="X5" s="18"/>
      <c r="Y5" s="18"/>
      <c r="Z5" s="18"/>
    </row>
    <row r="6" spans="1:164" s="12" customFormat="1" x14ac:dyDescent="0.25">
      <c r="A6" s="1"/>
      <c r="B6" s="10" t="s">
        <v>78</v>
      </c>
      <c r="C6" s="12">
        <v>13481</v>
      </c>
      <c r="D6" s="12">
        <v>12010</v>
      </c>
      <c r="E6" s="12">
        <v>14065</v>
      </c>
      <c r="F6" s="12">
        <v>15200</v>
      </c>
      <c r="G6" s="12">
        <v>11730</v>
      </c>
      <c r="H6" s="12">
        <v>10930</v>
      </c>
      <c r="I6" s="12">
        <v>14470</v>
      </c>
      <c r="J6" s="12">
        <v>13500</v>
      </c>
      <c r="K6" s="12">
        <v>6050</v>
      </c>
      <c r="M6" s="20"/>
      <c r="P6" s="12">
        <f>17272+11597+11532+10045</f>
        <v>50446</v>
      </c>
      <c r="Q6" s="12">
        <f>12700+16047+9764+12420</f>
        <v>50931</v>
      </c>
      <c r="R6" s="18">
        <f t="shared" si="2"/>
        <v>54756</v>
      </c>
      <c r="S6" s="15">
        <f t="shared" si="3"/>
        <v>50630</v>
      </c>
      <c r="T6" s="18"/>
      <c r="U6" s="18"/>
      <c r="V6" s="18"/>
      <c r="W6" s="18"/>
      <c r="X6" s="18"/>
      <c r="Y6" s="18"/>
      <c r="Z6" s="18"/>
    </row>
    <row r="7" spans="1:164" s="12" customFormat="1" x14ac:dyDescent="0.25">
      <c r="A7" s="1"/>
      <c r="B7" s="10" t="s">
        <v>79</v>
      </c>
      <c r="C7" s="12">
        <v>11570</v>
      </c>
      <c r="D7" s="12">
        <v>10010</v>
      </c>
      <c r="E7" s="12">
        <v>11865</v>
      </c>
      <c r="F7" s="12">
        <v>13120</v>
      </c>
      <c r="G7" s="12">
        <v>10070</v>
      </c>
      <c r="H7" s="12">
        <v>11370</v>
      </c>
      <c r="I7" s="12">
        <v>13190</v>
      </c>
      <c r="J7" s="12">
        <v>14050</v>
      </c>
      <c r="K7" s="12">
        <v>6050</v>
      </c>
      <c r="M7" s="20"/>
      <c r="P7" s="12">
        <f>206+6</f>
        <v>212</v>
      </c>
      <c r="Q7" s="12">
        <f>9500+8774+4638+2400</f>
        <v>25312</v>
      </c>
      <c r="R7" s="18">
        <f t="shared" si="2"/>
        <v>46565</v>
      </c>
      <c r="S7" s="15">
        <f t="shared" si="3"/>
        <v>48680</v>
      </c>
      <c r="T7" s="18"/>
      <c r="U7" s="18"/>
      <c r="V7" s="18"/>
      <c r="W7" s="18"/>
      <c r="X7" s="18"/>
      <c r="Y7" s="18"/>
      <c r="Z7" s="18"/>
    </row>
    <row r="8" spans="1:164" s="12" customFormat="1" x14ac:dyDescent="0.25">
      <c r="A8" s="1"/>
      <c r="B8" s="8" t="s">
        <v>97</v>
      </c>
      <c r="C8" s="15">
        <f t="shared" ref="C8:K8" si="4">+(C10/C3)*1000000</f>
        <v>91600</v>
      </c>
      <c r="D8" s="15">
        <f t="shared" si="4"/>
        <v>103863.63636363637</v>
      </c>
      <c r="E8" s="15">
        <f t="shared" si="4"/>
        <v>90325.04780114723</v>
      </c>
      <c r="F8" s="15">
        <f t="shared" si="4"/>
        <v>90559.089387345171</v>
      </c>
      <c r="G8" s="15">
        <f t="shared" si="4"/>
        <v>91227.484989993332</v>
      </c>
      <c r="H8" s="15">
        <f t="shared" si="4"/>
        <v>82425.135002454583</v>
      </c>
      <c r="I8" s="15">
        <f t="shared" si="4"/>
        <v>73029.940119760475</v>
      </c>
      <c r="J8" s="15">
        <f t="shared" si="4"/>
        <v>69713.340683572213</v>
      </c>
      <c r="K8" s="15">
        <f t="shared" si="4"/>
        <v>59111.111111111117</v>
      </c>
      <c r="M8" s="20"/>
      <c r="P8" s="15">
        <f t="shared" ref="P8:R8" si="5">+(P10/P3)*1000000</f>
        <v>73848.158237593278</v>
      </c>
      <c r="Q8" s="15">
        <f t="shared" si="5"/>
        <v>83286.334483165658</v>
      </c>
      <c r="R8" s="15">
        <f t="shared" si="5"/>
        <v>93593.476994758297</v>
      </c>
      <c r="S8" s="15">
        <f>+(S10/S3)*1000000</f>
        <v>75592.030050628789</v>
      </c>
      <c r="T8" s="18">
        <v>75000</v>
      </c>
      <c r="U8" s="18">
        <v>78000</v>
      </c>
      <c r="V8" s="18">
        <v>85000</v>
      </c>
      <c r="W8" s="18">
        <v>85000</v>
      </c>
      <c r="X8" s="18">
        <v>80000</v>
      </c>
      <c r="Y8" s="18">
        <v>80000</v>
      </c>
      <c r="Z8" s="18">
        <v>80000</v>
      </c>
    </row>
    <row r="9" spans="1:164" x14ac:dyDescent="0.25">
      <c r="B9" s="10"/>
      <c r="N9" s="9"/>
      <c r="O9" s="9"/>
      <c r="P9" s="9"/>
      <c r="Q9" s="9"/>
      <c r="R9" s="8"/>
      <c r="S9" s="8"/>
      <c r="T9" s="8"/>
      <c r="U9" s="8"/>
      <c r="V9" s="8"/>
      <c r="W9" s="8"/>
      <c r="X9" s="8"/>
      <c r="Y9" s="8"/>
      <c r="Z9" s="8"/>
    </row>
    <row r="10" spans="1:164" s="17" customFormat="1" x14ac:dyDescent="0.25">
      <c r="B10" s="11" t="s">
        <v>54</v>
      </c>
      <c r="C10" s="17">
        <f>2035+255</f>
        <v>2290</v>
      </c>
      <c r="D10" s="17">
        <f>2013+272</f>
        <v>2285</v>
      </c>
      <c r="E10" s="17">
        <f>2076+286</f>
        <v>2362</v>
      </c>
      <c r="F10" s="17">
        <f>+R10-E10-D10-C10</f>
        <v>2705</v>
      </c>
      <c r="G10" s="17">
        <f>2562+173</f>
        <v>2735</v>
      </c>
      <c r="H10" s="17">
        <f>3118+240</f>
        <v>3358</v>
      </c>
      <c r="I10" s="17">
        <f>5878+220</f>
        <v>6098</v>
      </c>
      <c r="J10" s="17">
        <f>+S10-I10-H10-G10</f>
        <v>6323</v>
      </c>
      <c r="K10" s="17">
        <f>3509+215</f>
        <v>3724</v>
      </c>
      <c r="M10" s="21"/>
      <c r="N10" s="18"/>
      <c r="O10" s="18"/>
      <c r="P10" s="18">
        <f>3432+309</f>
        <v>3741</v>
      </c>
      <c r="Q10" s="18">
        <f>5589+761</f>
        <v>6350</v>
      </c>
      <c r="R10" s="18">
        <f>8535+1107</f>
        <v>9642</v>
      </c>
      <c r="S10" s="18">
        <f>17631+883</f>
        <v>18514</v>
      </c>
      <c r="T10" s="18">
        <f>+(T8*T3)/1000000</f>
        <v>22961.25</v>
      </c>
      <c r="U10" s="18">
        <f t="shared" ref="U10:Z10" si="6">+(U8*U3)/1000000</f>
        <v>31043.61</v>
      </c>
      <c r="V10" s="18">
        <f t="shared" si="6"/>
        <v>38904.011250000003</v>
      </c>
      <c r="W10" s="18">
        <f t="shared" si="6"/>
        <v>44739.612937499995</v>
      </c>
      <c r="X10" s="18">
        <f t="shared" si="6"/>
        <v>47371.354874999997</v>
      </c>
      <c r="Y10" s="18">
        <f t="shared" si="6"/>
        <v>52108.490362500001</v>
      </c>
      <c r="Z10" s="18">
        <f t="shared" si="6"/>
        <v>57319.339398750002</v>
      </c>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row>
    <row r="11" spans="1:164" s="17" customFormat="1" x14ac:dyDescent="0.25">
      <c r="B11" s="11" t="s">
        <v>99</v>
      </c>
      <c r="C11" s="17">
        <v>213</v>
      </c>
      <c r="D11" s="17">
        <v>287</v>
      </c>
      <c r="E11" s="17">
        <v>318</v>
      </c>
      <c r="F11" s="17">
        <f t="shared" ref="F11:F12" si="7">+R11-E11-D11-C11</f>
        <v>298</v>
      </c>
      <c r="G11" s="17">
        <v>410</v>
      </c>
      <c r="H11" s="17">
        <v>374</v>
      </c>
      <c r="I11" s="17">
        <v>400</v>
      </c>
      <c r="J11" s="17">
        <f t="shared" ref="J11:J12" si="8">+S11-I11-H11-G11</f>
        <v>371</v>
      </c>
      <c r="K11" s="17">
        <v>325</v>
      </c>
      <c r="M11" s="21"/>
      <c r="N11" s="18"/>
      <c r="O11" s="18"/>
      <c r="P11" s="18">
        <v>14</v>
      </c>
      <c r="Q11" s="18">
        <v>181</v>
      </c>
      <c r="R11" s="18">
        <v>1116</v>
      </c>
      <c r="S11" s="18">
        <v>1555</v>
      </c>
      <c r="T11" s="18">
        <f>+S11+S11*0.1</f>
        <v>1710.5</v>
      </c>
      <c r="U11" s="18">
        <f t="shared" ref="U11" si="9">+T11+T11*0.1</f>
        <v>1881.55</v>
      </c>
      <c r="V11" s="18">
        <f>+U11+U11*0.15</f>
        <v>2163.7824999999998</v>
      </c>
      <c r="W11" s="18">
        <f t="shared" ref="W11:Z11" si="10">+V11+V11*0.15</f>
        <v>2488.3498749999999</v>
      </c>
      <c r="X11" s="18">
        <f t="shared" si="10"/>
        <v>2861.60235625</v>
      </c>
      <c r="Y11" s="18">
        <f t="shared" si="10"/>
        <v>3290.8427096874998</v>
      </c>
      <c r="Z11" s="18">
        <f t="shared" si="10"/>
        <v>3784.4691161406249</v>
      </c>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row>
    <row r="12" spans="1:164" s="17" customFormat="1" x14ac:dyDescent="0.25">
      <c r="B12" s="11" t="s">
        <v>96</v>
      </c>
      <c r="C12" s="17">
        <v>193</v>
      </c>
      <c r="D12" s="17">
        <v>216</v>
      </c>
      <c r="E12" s="17">
        <v>304</v>
      </c>
      <c r="F12" s="17">
        <f t="shared" si="7"/>
        <v>288</v>
      </c>
      <c r="G12" s="17">
        <v>263</v>
      </c>
      <c r="H12" s="17">
        <v>270</v>
      </c>
      <c r="I12" s="17">
        <v>326</v>
      </c>
      <c r="J12" s="17">
        <f t="shared" si="8"/>
        <v>532</v>
      </c>
      <c r="K12" s="17">
        <v>493</v>
      </c>
      <c r="M12" s="21"/>
      <c r="N12" s="18"/>
      <c r="O12" s="18"/>
      <c r="P12" s="18">
        <v>291</v>
      </c>
      <c r="Q12" s="18">
        <v>468</v>
      </c>
      <c r="R12" s="18">
        <v>1001</v>
      </c>
      <c r="S12" s="18">
        <v>1391</v>
      </c>
      <c r="T12" s="18">
        <f>+S12+S12*0.25</f>
        <v>1738.75</v>
      </c>
      <c r="U12" s="18">
        <f t="shared" ref="U12:W12" si="11">+T12+T12*0.2</f>
        <v>2086.5</v>
      </c>
      <c r="V12" s="18">
        <f t="shared" si="11"/>
        <v>2503.8000000000002</v>
      </c>
      <c r="W12" s="18">
        <f t="shared" si="11"/>
        <v>3004.5600000000004</v>
      </c>
      <c r="X12" s="18">
        <f>+W12+W12*0.2</f>
        <v>3605.4720000000007</v>
      </c>
      <c r="Y12" s="18">
        <f>+X12+X12*0.2</f>
        <v>4326.5664000000006</v>
      </c>
      <c r="Z12" s="18">
        <f>+Y12+Y12*0.2</f>
        <v>5191.8796800000009</v>
      </c>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row>
    <row r="13" spans="1:164" s="4" customFormat="1" x14ac:dyDescent="0.25">
      <c r="B13" s="5" t="s">
        <v>4</v>
      </c>
      <c r="C13" s="5">
        <f t="shared" ref="C13:K13" si="12">+C10+C11+C12</f>
        <v>2696</v>
      </c>
      <c r="D13" s="5">
        <f t="shared" si="12"/>
        <v>2788</v>
      </c>
      <c r="E13" s="5">
        <f t="shared" si="12"/>
        <v>2984</v>
      </c>
      <c r="F13" s="5">
        <f t="shared" si="12"/>
        <v>3291</v>
      </c>
      <c r="G13" s="5">
        <f t="shared" si="12"/>
        <v>3408</v>
      </c>
      <c r="H13" s="5">
        <f t="shared" si="12"/>
        <v>4002</v>
      </c>
      <c r="I13" s="5">
        <f t="shared" si="12"/>
        <v>6824</v>
      </c>
      <c r="J13" s="5">
        <f t="shared" si="12"/>
        <v>7226</v>
      </c>
      <c r="K13" s="5">
        <f t="shared" si="12"/>
        <v>4542</v>
      </c>
      <c r="L13" s="5">
        <f>K13*L34+K13</f>
        <v>5904.6</v>
      </c>
      <c r="M13" s="22"/>
      <c r="N13" s="26">
        <f>1921+92</f>
        <v>2013</v>
      </c>
      <c r="O13" s="26">
        <f>3007+191</f>
        <v>3198</v>
      </c>
      <c r="P13" s="26">
        <f>+P10+P11+P12</f>
        <v>4046</v>
      </c>
      <c r="Q13" s="26">
        <f>+Q10+Q11+Q12</f>
        <v>6999</v>
      </c>
      <c r="R13" s="26">
        <f>+R10+R11+R12</f>
        <v>11759</v>
      </c>
      <c r="S13" s="26">
        <f>+S10+S11+S12</f>
        <v>21460</v>
      </c>
      <c r="T13" s="26">
        <f t="shared" ref="T13:Z13" si="13">+T10+T11+T12</f>
        <v>26410.5</v>
      </c>
      <c r="U13" s="26">
        <f t="shared" si="13"/>
        <v>35011.660000000003</v>
      </c>
      <c r="V13" s="26">
        <f t="shared" si="13"/>
        <v>43571.593750000007</v>
      </c>
      <c r="W13" s="26">
        <f t="shared" si="13"/>
        <v>50232.522812499992</v>
      </c>
      <c r="X13" s="26">
        <f t="shared" si="13"/>
        <v>53838.429231249997</v>
      </c>
      <c r="Y13" s="26">
        <f>+Y10+Y11+Y12</f>
        <v>59725.899472187506</v>
      </c>
      <c r="Z13" s="26">
        <f t="shared" si="13"/>
        <v>66295.688194890623</v>
      </c>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row>
    <row r="14" spans="1:164" x14ac:dyDescent="0.25">
      <c r="B14" s="2" t="s">
        <v>12</v>
      </c>
      <c r="C14" s="2">
        <v>2028</v>
      </c>
      <c r="D14" s="2">
        <v>2122</v>
      </c>
      <c r="E14" s="2">
        <v>2535</v>
      </c>
      <c r="F14" s="2">
        <v>2849</v>
      </c>
      <c r="G14" s="2">
        <v>2952</v>
      </c>
      <c r="H14" s="2">
        <v>3383</v>
      </c>
      <c r="I14" s="2">
        <v>5300</v>
      </c>
      <c r="J14" s="2">
        <f>+S14-I14-H14-G14</f>
        <v>5784</v>
      </c>
      <c r="K14" s="2">
        <v>3975</v>
      </c>
      <c r="L14" s="2">
        <f>L13-L13*L28</f>
        <v>4841.7720000000008</v>
      </c>
      <c r="M14" s="23"/>
      <c r="N14" s="12">
        <f>1483+74</f>
        <v>1557</v>
      </c>
      <c r="O14" s="12">
        <f>2146+171</f>
        <v>2317</v>
      </c>
      <c r="P14" s="12">
        <f>2823+299</f>
        <v>3122</v>
      </c>
      <c r="Q14" s="12">
        <f>4268+482+178+472</f>
        <v>5400</v>
      </c>
      <c r="R14" s="12">
        <v>9536</v>
      </c>
      <c r="S14" s="12">
        <v>17419</v>
      </c>
      <c r="T14" s="12">
        <f>+T13-T28*T13</f>
        <v>21392.505000000001</v>
      </c>
      <c r="U14" s="12">
        <f t="shared" ref="U14:Z14" si="14">+U13-U28*U13</f>
        <v>28009.328000000001</v>
      </c>
      <c r="V14" s="12">
        <f t="shared" si="14"/>
        <v>34857.275000000009</v>
      </c>
      <c r="W14" s="12">
        <f t="shared" si="14"/>
        <v>40186.018249999994</v>
      </c>
      <c r="X14" s="12">
        <f t="shared" si="14"/>
        <v>43070.743384999994</v>
      </c>
      <c r="Y14" s="12">
        <f t="shared" si="14"/>
        <v>47780.719577750002</v>
      </c>
      <c r="Z14" s="12">
        <f t="shared" si="14"/>
        <v>53036.550555912501</v>
      </c>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row>
    <row r="15" spans="1:164" x14ac:dyDescent="0.25">
      <c r="B15" s="2" t="s">
        <v>14</v>
      </c>
      <c r="C15" s="2">
        <f t="shared" ref="C15:I15" si="15">+C13-C14</f>
        <v>668</v>
      </c>
      <c r="D15" s="2">
        <f t="shared" si="15"/>
        <v>666</v>
      </c>
      <c r="E15" s="2">
        <f t="shared" si="15"/>
        <v>449</v>
      </c>
      <c r="F15" s="2">
        <f t="shared" si="15"/>
        <v>442</v>
      </c>
      <c r="G15" s="2">
        <f t="shared" si="15"/>
        <v>456</v>
      </c>
      <c r="H15" s="2">
        <f t="shared" si="15"/>
        <v>619</v>
      </c>
      <c r="I15" s="2">
        <f t="shared" si="15"/>
        <v>1524</v>
      </c>
      <c r="J15" s="2">
        <f t="shared" ref="J15:L15" si="16">+J13-J14</f>
        <v>1442</v>
      </c>
      <c r="K15" s="2">
        <f t="shared" si="16"/>
        <v>567</v>
      </c>
      <c r="L15" s="2">
        <f t="shared" si="16"/>
        <v>1062.8279999999995</v>
      </c>
      <c r="M15" s="23"/>
      <c r="N15" s="12">
        <f t="shared" ref="N15:S15" si="17">+N13-N14</f>
        <v>456</v>
      </c>
      <c r="O15" s="12">
        <f t="shared" si="17"/>
        <v>881</v>
      </c>
      <c r="P15" s="12">
        <f t="shared" si="17"/>
        <v>924</v>
      </c>
      <c r="Q15" s="12">
        <f t="shared" si="17"/>
        <v>1599</v>
      </c>
      <c r="R15" s="12">
        <f t="shared" si="17"/>
        <v>2223</v>
      </c>
      <c r="S15" s="12">
        <f t="shared" si="17"/>
        <v>4041</v>
      </c>
      <c r="T15" s="12">
        <f t="shared" ref="T15:Z15" si="18">+T13-T14</f>
        <v>5017.994999999999</v>
      </c>
      <c r="U15" s="12">
        <f t="shared" si="18"/>
        <v>7002.3320000000022</v>
      </c>
      <c r="V15" s="12">
        <f t="shared" si="18"/>
        <v>8714.3187499999985</v>
      </c>
      <c r="W15" s="12">
        <f t="shared" si="18"/>
        <v>10046.504562499998</v>
      </c>
      <c r="X15" s="12">
        <f t="shared" si="18"/>
        <v>10767.685846250002</v>
      </c>
      <c r="Y15" s="12">
        <f t="shared" si="18"/>
        <v>11945.179894437504</v>
      </c>
      <c r="Z15" s="12">
        <f t="shared" si="18"/>
        <v>13259.137638978122</v>
      </c>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row>
    <row r="16" spans="1:164" x14ac:dyDescent="0.25">
      <c r="B16" s="2" t="s">
        <v>15</v>
      </c>
      <c r="C16" s="2">
        <v>603</v>
      </c>
      <c r="D16" s="2">
        <v>537</v>
      </c>
      <c r="E16" s="2">
        <v>729</v>
      </c>
      <c r="F16" s="2">
        <v>682</v>
      </c>
      <c r="G16" s="2">
        <v>686</v>
      </c>
      <c r="H16" s="2">
        <v>750</v>
      </c>
      <c r="I16" s="2">
        <v>729</v>
      </c>
      <c r="J16" s="2">
        <f>+S16-I16-H16-G16</f>
        <v>804</v>
      </c>
      <c r="K16" s="2">
        <v>340</v>
      </c>
      <c r="L16" s="2">
        <f>+K16+K16*L28</f>
        <v>401.2</v>
      </c>
      <c r="M16" s="23"/>
      <c r="N16" s="12">
        <v>286</v>
      </c>
      <c r="O16" s="12">
        <v>604</v>
      </c>
      <c r="P16" s="12">
        <v>922</v>
      </c>
      <c r="Q16" s="12">
        <v>1432</v>
      </c>
      <c r="R16" s="12">
        <v>2477</v>
      </c>
      <c r="S16" s="12">
        <f>2834+135</f>
        <v>2969</v>
      </c>
      <c r="T16" s="12">
        <f>+S16+T30*S16</f>
        <v>3265.9</v>
      </c>
      <c r="U16" s="12">
        <f t="shared" ref="U16:Z16" si="19">+T16+U30*T16</f>
        <v>3755.7849999999999</v>
      </c>
      <c r="V16" s="12">
        <f t="shared" si="19"/>
        <v>4131.3634999999995</v>
      </c>
      <c r="W16" s="12">
        <f t="shared" si="19"/>
        <v>4461.8725799999993</v>
      </c>
      <c r="X16" s="12">
        <f t="shared" si="19"/>
        <v>4774.2036605999992</v>
      </c>
      <c r="Y16" s="12">
        <f t="shared" si="19"/>
        <v>5108.3979168419992</v>
      </c>
      <c r="Z16" s="12">
        <f t="shared" si="19"/>
        <v>5414.9017918525187</v>
      </c>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row>
    <row r="17" spans="2:164" x14ac:dyDescent="0.25">
      <c r="B17" s="2" t="s">
        <v>76</v>
      </c>
      <c r="C17" s="2">
        <v>322</v>
      </c>
      <c r="D17" s="2">
        <v>369</v>
      </c>
      <c r="E17" s="2">
        <v>350</v>
      </c>
      <c r="F17" s="2">
        <v>354</v>
      </c>
      <c r="G17" s="2">
        <v>367</v>
      </c>
      <c r="H17" s="2">
        <v>386</v>
      </c>
      <c r="I17" s="2">
        <v>350</v>
      </c>
      <c r="J17" s="2">
        <f>+S17-I17-H17-G17</f>
        <v>357</v>
      </c>
      <c r="K17" s="2">
        <f>704+43</f>
        <v>747</v>
      </c>
      <c r="L17" s="2">
        <f>+K17+J17*L28</f>
        <v>811.26</v>
      </c>
      <c r="M17" s="23"/>
      <c r="N17" s="12">
        <v>232</v>
      </c>
      <c r="O17" s="12">
        <v>465</v>
      </c>
      <c r="P17" s="12">
        <v>718</v>
      </c>
      <c r="Q17" s="12">
        <v>834</v>
      </c>
      <c r="R17" s="12">
        <v>1378</v>
      </c>
      <c r="S17" s="12">
        <v>1460</v>
      </c>
      <c r="T17" s="12">
        <f>+S17+T29*S17</f>
        <v>1606.0000000000002</v>
      </c>
      <c r="U17" s="12">
        <f t="shared" ref="U17:Z17" si="20">+T17+U29*T17</f>
        <v>1766.6</v>
      </c>
      <c r="V17" s="12">
        <f t="shared" si="20"/>
        <v>1943.26</v>
      </c>
      <c r="W17" s="12">
        <f t="shared" si="20"/>
        <v>2098.7208000000001</v>
      </c>
      <c r="X17" s="12">
        <f t="shared" si="20"/>
        <v>2266.6184640000001</v>
      </c>
      <c r="Y17" s="12">
        <f t="shared" si="20"/>
        <v>2447.94794112</v>
      </c>
      <c r="Z17" s="12">
        <f t="shared" si="20"/>
        <v>2643.7837764095998</v>
      </c>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row>
    <row r="18" spans="2:164" x14ac:dyDescent="0.25">
      <c r="B18" s="2" t="s">
        <v>23</v>
      </c>
      <c r="C18" s="2">
        <f t="shared" ref="C18:I18" si="21">+C17+C16</f>
        <v>925</v>
      </c>
      <c r="D18" s="2">
        <f t="shared" si="21"/>
        <v>906</v>
      </c>
      <c r="E18" s="2">
        <f t="shared" si="21"/>
        <v>1079</v>
      </c>
      <c r="F18" s="2">
        <f t="shared" si="21"/>
        <v>1036</v>
      </c>
      <c r="G18" s="2">
        <f t="shared" si="21"/>
        <v>1053</v>
      </c>
      <c r="H18" s="2">
        <f t="shared" si="21"/>
        <v>1136</v>
      </c>
      <c r="I18" s="2">
        <f t="shared" si="21"/>
        <v>1079</v>
      </c>
      <c r="J18" s="2">
        <f t="shared" ref="J18:L18" si="22">+J17+J16</f>
        <v>1161</v>
      </c>
      <c r="K18" s="2">
        <f t="shared" si="22"/>
        <v>1087</v>
      </c>
      <c r="L18" s="2">
        <f t="shared" si="22"/>
        <v>1212.46</v>
      </c>
      <c r="M18" s="23"/>
      <c r="N18" s="12">
        <f t="shared" ref="N18:S18" si="23">+N17+N16</f>
        <v>518</v>
      </c>
      <c r="O18" s="12">
        <f t="shared" si="23"/>
        <v>1069</v>
      </c>
      <c r="P18" s="12">
        <f t="shared" si="23"/>
        <v>1640</v>
      </c>
      <c r="Q18" s="12">
        <f t="shared" si="23"/>
        <v>2266</v>
      </c>
      <c r="R18" s="12">
        <f t="shared" si="23"/>
        <v>3855</v>
      </c>
      <c r="S18" s="12">
        <f t="shared" si="23"/>
        <v>4429</v>
      </c>
      <c r="T18" s="12">
        <f t="shared" ref="T18:Z18" si="24">+T17+T16</f>
        <v>4871.9000000000005</v>
      </c>
      <c r="U18" s="12">
        <f t="shared" si="24"/>
        <v>5522.3850000000002</v>
      </c>
      <c r="V18" s="12">
        <f t="shared" si="24"/>
        <v>6074.6234999999997</v>
      </c>
      <c r="W18" s="12">
        <f t="shared" si="24"/>
        <v>6560.5933799999993</v>
      </c>
      <c r="X18" s="12">
        <f t="shared" si="24"/>
        <v>7040.8221245999994</v>
      </c>
      <c r="Y18" s="12">
        <f t="shared" si="24"/>
        <v>7556.3458579619992</v>
      </c>
      <c r="Z18" s="12">
        <f t="shared" si="24"/>
        <v>8058.685568262119</v>
      </c>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row>
    <row r="19" spans="2:164" x14ac:dyDescent="0.25">
      <c r="B19" s="2" t="s">
        <v>25</v>
      </c>
      <c r="C19" s="2">
        <f t="shared" ref="C19:I19" si="25">+C15-C18</f>
        <v>-257</v>
      </c>
      <c r="D19" s="2">
        <f t="shared" si="25"/>
        <v>-240</v>
      </c>
      <c r="E19" s="2">
        <f t="shared" si="25"/>
        <v>-630</v>
      </c>
      <c r="F19" s="2">
        <f t="shared" si="25"/>
        <v>-594</v>
      </c>
      <c r="G19" s="2">
        <f t="shared" si="25"/>
        <v>-597</v>
      </c>
      <c r="H19" s="2">
        <f t="shared" si="25"/>
        <v>-517</v>
      </c>
      <c r="I19" s="2">
        <f t="shared" si="25"/>
        <v>445</v>
      </c>
      <c r="J19" s="2">
        <f t="shared" ref="J19:L19" si="26">+J15-J18</f>
        <v>281</v>
      </c>
      <c r="K19" s="2">
        <f t="shared" si="26"/>
        <v>-520</v>
      </c>
      <c r="L19" s="2">
        <f t="shared" si="26"/>
        <v>-149.63200000000052</v>
      </c>
      <c r="M19" s="23"/>
      <c r="N19" s="12">
        <f t="shared" ref="N19:S19" si="27">+N15-N18</f>
        <v>-62</v>
      </c>
      <c r="O19" s="12">
        <f t="shared" si="27"/>
        <v>-188</v>
      </c>
      <c r="P19" s="12">
        <f t="shared" si="27"/>
        <v>-716</v>
      </c>
      <c r="Q19" s="12">
        <f t="shared" si="27"/>
        <v>-667</v>
      </c>
      <c r="R19" s="12">
        <f t="shared" si="27"/>
        <v>-1632</v>
      </c>
      <c r="S19" s="12">
        <f t="shared" si="27"/>
        <v>-388</v>
      </c>
      <c r="T19" s="12">
        <f t="shared" ref="T19:Z19" si="28">+T15-T18</f>
        <v>146.09499999999844</v>
      </c>
      <c r="U19" s="12">
        <f t="shared" si="28"/>
        <v>1479.9470000000019</v>
      </c>
      <c r="V19" s="12">
        <f t="shared" si="28"/>
        <v>2639.6952499999989</v>
      </c>
      <c r="W19" s="12">
        <f t="shared" si="28"/>
        <v>3485.9111824999991</v>
      </c>
      <c r="X19" s="12">
        <f t="shared" si="28"/>
        <v>3726.8637216500028</v>
      </c>
      <c r="Y19" s="12">
        <f t="shared" si="28"/>
        <v>4388.8340364755049</v>
      </c>
      <c r="Z19" s="12">
        <f t="shared" si="28"/>
        <v>5200.4520707160027</v>
      </c>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row>
    <row r="20" spans="2:164" x14ac:dyDescent="0.25">
      <c r="B20" s="3" t="s">
        <v>74</v>
      </c>
      <c r="C20" s="2">
        <f>3-99-18</f>
        <v>-114</v>
      </c>
      <c r="D20" s="2">
        <f>5-163+50</f>
        <v>-108</v>
      </c>
      <c r="E20" s="2">
        <f>5-117-24</f>
        <v>-136</v>
      </c>
      <c r="F20" s="2">
        <f>6-146-41</f>
        <v>-181</v>
      </c>
      <c r="G20" s="2">
        <f>5-149-37</f>
        <v>-181</v>
      </c>
      <c r="H20" s="2">
        <f>4-108-41</f>
        <v>-145</v>
      </c>
      <c r="I20" s="2">
        <f>6-175+22</f>
        <v>-147</v>
      </c>
      <c r="J20" s="2">
        <f>+S20-I20-H20-G20</f>
        <v>-144</v>
      </c>
      <c r="K20" s="2">
        <f>8-157+25</f>
        <v>-124</v>
      </c>
      <c r="L20" s="2">
        <v>-140</v>
      </c>
      <c r="M20" s="23"/>
      <c r="N20" s="12">
        <f>0.1-33+22</f>
        <v>-10.899999999999999</v>
      </c>
      <c r="O20" s="12">
        <f>1-101+2</f>
        <v>-98</v>
      </c>
      <c r="P20" s="12">
        <f>1.5-119-41</f>
        <v>-158.5</v>
      </c>
      <c r="Q20" s="12">
        <f>8-199+111</f>
        <v>-80</v>
      </c>
      <c r="R20" s="12">
        <f>19-471-125</f>
        <v>-577</v>
      </c>
      <c r="S20" s="12">
        <f>24-663+22</f>
        <v>-617</v>
      </c>
      <c r="T20" s="12">
        <v>-700</v>
      </c>
      <c r="U20" s="12">
        <v>-900</v>
      </c>
      <c r="V20" s="12">
        <v>-900</v>
      </c>
      <c r="W20" s="12">
        <v>-1000</v>
      </c>
      <c r="X20" s="12">
        <v>-900</v>
      </c>
      <c r="Y20" s="12">
        <v>-800</v>
      </c>
      <c r="Z20" s="12">
        <v>-700</v>
      </c>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row>
    <row r="21" spans="2:164" x14ac:dyDescent="0.25">
      <c r="B21" s="2" t="s">
        <v>20</v>
      </c>
      <c r="C21" s="2">
        <f t="shared" ref="C21:I21" si="29">C20+C19</f>
        <v>-371</v>
      </c>
      <c r="D21" s="2">
        <f t="shared" si="29"/>
        <v>-348</v>
      </c>
      <c r="E21" s="2">
        <f t="shared" si="29"/>
        <v>-766</v>
      </c>
      <c r="F21" s="2">
        <f t="shared" si="29"/>
        <v>-775</v>
      </c>
      <c r="G21" s="2">
        <f t="shared" si="29"/>
        <v>-778</v>
      </c>
      <c r="H21" s="2">
        <f t="shared" si="29"/>
        <v>-662</v>
      </c>
      <c r="I21" s="2">
        <f t="shared" si="29"/>
        <v>298</v>
      </c>
      <c r="J21" s="2">
        <f t="shared" ref="J21:L21" si="30">J20+J19</f>
        <v>137</v>
      </c>
      <c r="K21" s="2">
        <f t="shared" si="30"/>
        <v>-644</v>
      </c>
      <c r="L21" s="2">
        <f t="shared" si="30"/>
        <v>-289.63200000000052</v>
      </c>
      <c r="M21" s="23"/>
      <c r="N21" s="12">
        <f t="shared" ref="N21:S21" si="31">+N19+N20</f>
        <v>-72.900000000000006</v>
      </c>
      <c r="O21" s="12">
        <f t="shared" si="31"/>
        <v>-286</v>
      </c>
      <c r="P21" s="12">
        <f t="shared" si="31"/>
        <v>-874.5</v>
      </c>
      <c r="Q21" s="12">
        <f t="shared" si="31"/>
        <v>-747</v>
      </c>
      <c r="R21" s="12">
        <f t="shared" si="31"/>
        <v>-2209</v>
      </c>
      <c r="S21" s="12">
        <f t="shared" si="31"/>
        <v>-1005</v>
      </c>
      <c r="T21" s="12">
        <f t="shared" ref="T21:U21" si="32">+T19+T20</f>
        <v>-553.90500000000156</v>
      </c>
      <c r="U21" s="12">
        <f t="shared" si="32"/>
        <v>579.94700000000194</v>
      </c>
      <c r="V21" s="12">
        <f t="shared" ref="V21" si="33">+V19+V20</f>
        <v>1739.6952499999989</v>
      </c>
      <c r="W21" s="12">
        <f t="shared" ref="W21" si="34">+W19+W20</f>
        <v>2485.9111824999991</v>
      </c>
      <c r="X21" s="12">
        <f t="shared" ref="X21" si="35">+X19+X20</f>
        <v>2826.8637216500028</v>
      </c>
      <c r="Y21" s="12">
        <f t="shared" ref="Y21" si="36">+Y19+Y20</f>
        <v>3588.8340364755049</v>
      </c>
      <c r="Z21" s="12">
        <f t="shared" ref="Z21" si="37">+Z19+Z20</f>
        <v>4500.4520707160027</v>
      </c>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row>
    <row r="22" spans="2:164" x14ac:dyDescent="0.25">
      <c r="B22" s="2" t="s">
        <v>17</v>
      </c>
      <c r="C22" s="2">
        <v>25</v>
      </c>
      <c r="D22" s="2">
        <v>13</v>
      </c>
      <c r="E22" s="2">
        <v>32</v>
      </c>
      <c r="F22" s="2">
        <v>9</v>
      </c>
      <c r="G22" s="2">
        <v>5</v>
      </c>
      <c r="H22" s="2">
        <v>13</v>
      </c>
      <c r="I22" s="2">
        <v>271</v>
      </c>
      <c r="J22" s="2">
        <f>+S22-I22-H22-G22</f>
        <v>-231</v>
      </c>
      <c r="K22" s="2">
        <v>22.8</v>
      </c>
      <c r="L22" s="2">
        <f>+L21*0.1</f>
        <v>-28.963200000000054</v>
      </c>
      <c r="M22" s="23"/>
      <c r="N22" s="12">
        <v>2.5</v>
      </c>
      <c r="O22" s="12">
        <v>9.4</v>
      </c>
      <c r="P22" s="12">
        <v>13</v>
      </c>
      <c r="Q22" s="12">
        <v>27</v>
      </c>
      <c r="R22" s="12">
        <v>32</v>
      </c>
      <c r="S22" s="12">
        <v>58</v>
      </c>
      <c r="T22" s="12"/>
      <c r="U22" s="12">
        <f>+U21*U32</f>
        <v>57.994700000000194</v>
      </c>
      <c r="V22" s="12">
        <f t="shared" ref="V22:Z22" si="38">+V21*V32</f>
        <v>173.96952499999989</v>
      </c>
      <c r="W22" s="12">
        <f t="shared" si="38"/>
        <v>248.59111824999991</v>
      </c>
      <c r="X22" s="12">
        <f t="shared" si="38"/>
        <v>282.68637216500031</v>
      </c>
      <c r="Y22" s="12">
        <f t="shared" si="38"/>
        <v>358.88340364755049</v>
      </c>
      <c r="Z22" s="12">
        <f t="shared" si="38"/>
        <v>450.04520707160032</v>
      </c>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row>
    <row r="23" spans="2:164" s="4" customFormat="1" x14ac:dyDescent="0.25">
      <c r="B23" s="5" t="s">
        <v>21</v>
      </c>
      <c r="C23" s="5">
        <f t="shared" ref="C23:I23" si="39">+C21-C22</f>
        <v>-396</v>
      </c>
      <c r="D23" s="5">
        <f t="shared" si="39"/>
        <v>-361</v>
      </c>
      <c r="E23" s="5">
        <f t="shared" si="39"/>
        <v>-798</v>
      </c>
      <c r="F23" s="5">
        <f t="shared" si="39"/>
        <v>-784</v>
      </c>
      <c r="G23" s="5">
        <f t="shared" si="39"/>
        <v>-783</v>
      </c>
      <c r="H23" s="5">
        <f t="shared" si="39"/>
        <v>-675</v>
      </c>
      <c r="I23" s="5">
        <f t="shared" si="39"/>
        <v>27</v>
      </c>
      <c r="J23" s="5">
        <f t="shared" ref="J23:L23" si="40">+J21-J22</f>
        <v>368</v>
      </c>
      <c r="K23" s="5">
        <f t="shared" si="40"/>
        <v>-666.8</v>
      </c>
      <c r="L23" s="5">
        <f t="shared" si="40"/>
        <v>-260.66880000000049</v>
      </c>
      <c r="M23" s="22"/>
      <c r="N23" s="26">
        <f t="shared" ref="N23:S23" si="41">+N21-N22</f>
        <v>-75.400000000000006</v>
      </c>
      <c r="O23" s="26">
        <f t="shared" si="41"/>
        <v>-295.39999999999998</v>
      </c>
      <c r="P23" s="26">
        <f t="shared" si="41"/>
        <v>-887.5</v>
      </c>
      <c r="Q23" s="26">
        <f t="shared" si="41"/>
        <v>-774</v>
      </c>
      <c r="R23" s="26">
        <f t="shared" si="41"/>
        <v>-2241</v>
      </c>
      <c r="S23" s="26">
        <f t="shared" si="41"/>
        <v>-1063</v>
      </c>
      <c r="T23" s="26">
        <f t="shared" ref="T23:U23" si="42">+T21-T22</f>
        <v>-553.90500000000156</v>
      </c>
      <c r="U23" s="26">
        <f t="shared" si="42"/>
        <v>521.95230000000174</v>
      </c>
      <c r="V23" s="26">
        <f t="shared" ref="V23" si="43">+V21-V22</f>
        <v>1565.7257249999989</v>
      </c>
      <c r="W23" s="26">
        <f t="shared" ref="W23" si="44">+W21-W22</f>
        <v>2237.3200642499992</v>
      </c>
      <c r="X23" s="26">
        <f t="shared" ref="X23" si="45">+X21-X22</f>
        <v>2544.1773494850027</v>
      </c>
      <c r="Y23" s="26">
        <f t="shared" ref="Y23" si="46">+Y21-Y22</f>
        <v>3229.9506328279545</v>
      </c>
      <c r="Z23" s="26">
        <f t="shared" ref="Z23" si="47">+Z21-Z22</f>
        <v>4050.4068636444026</v>
      </c>
      <c r="AA23" s="26">
        <f t="shared" ref="AA23:BF23" si="48">+Z23+Z23*$AD$29</f>
        <v>4090.9109322808467</v>
      </c>
      <c r="AB23" s="26">
        <f t="shared" si="48"/>
        <v>4131.8200416036552</v>
      </c>
      <c r="AC23" s="26">
        <f t="shared" si="48"/>
        <v>4173.1382420196915</v>
      </c>
      <c r="AD23" s="26">
        <f t="shared" si="48"/>
        <v>4214.869624439888</v>
      </c>
      <c r="AE23" s="26">
        <f t="shared" si="48"/>
        <v>4257.0183206842867</v>
      </c>
      <c r="AF23" s="26">
        <f t="shared" si="48"/>
        <v>4299.5885038911292</v>
      </c>
      <c r="AG23" s="26">
        <f t="shared" si="48"/>
        <v>4342.5843889300404</v>
      </c>
      <c r="AH23" s="26">
        <f t="shared" si="48"/>
        <v>4386.0102328193407</v>
      </c>
      <c r="AI23" s="26">
        <f t="shared" si="48"/>
        <v>4429.8703351475342</v>
      </c>
      <c r="AJ23" s="26">
        <f t="shared" si="48"/>
        <v>4474.1690384990097</v>
      </c>
      <c r="AK23" s="26">
        <f t="shared" si="48"/>
        <v>4518.9107288839996</v>
      </c>
      <c r="AL23" s="26">
        <f t="shared" si="48"/>
        <v>4564.0998361728398</v>
      </c>
      <c r="AM23" s="26">
        <f t="shared" si="48"/>
        <v>4609.7408345345684</v>
      </c>
      <c r="AN23" s="26">
        <f t="shared" si="48"/>
        <v>4655.8382428799141</v>
      </c>
      <c r="AO23" s="26">
        <f t="shared" si="48"/>
        <v>4702.3966253087128</v>
      </c>
      <c r="AP23" s="26">
        <f t="shared" si="48"/>
        <v>4749.4205915618004</v>
      </c>
      <c r="AQ23" s="26">
        <f t="shared" si="48"/>
        <v>4796.9147974774187</v>
      </c>
      <c r="AR23" s="26">
        <f t="shared" si="48"/>
        <v>4844.8839454521931</v>
      </c>
      <c r="AS23" s="26">
        <f t="shared" si="48"/>
        <v>4893.3327849067155</v>
      </c>
      <c r="AT23" s="26">
        <f t="shared" si="48"/>
        <v>4942.2661127557822</v>
      </c>
      <c r="AU23" s="26">
        <f t="shared" si="48"/>
        <v>4991.6887738833402</v>
      </c>
      <c r="AV23" s="26">
        <f t="shared" si="48"/>
        <v>5041.605661622174</v>
      </c>
      <c r="AW23" s="26">
        <f t="shared" si="48"/>
        <v>5092.0217182383958</v>
      </c>
      <c r="AX23" s="26">
        <f t="shared" si="48"/>
        <v>5142.9419354207794</v>
      </c>
      <c r="AY23" s="26">
        <f t="shared" si="48"/>
        <v>5194.3713547749876</v>
      </c>
      <c r="AZ23" s="26">
        <f t="shared" si="48"/>
        <v>5246.3150683227377</v>
      </c>
      <c r="BA23" s="26">
        <f t="shared" si="48"/>
        <v>5298.7782190059652</v>
      </c>
      <c r="BB23" s="26">
        <f t="shared" si="48"/>
        <v>5351.7660011960252</v>
      </c>
      <c r="BC23" s="26">
        <f t="shared" si="48"/>
        <v>5405.2836612079855</v>
      </c>
      <c r="BD23" s="26">
        <f t="shared" si="48"/>
        <v>5459.3364978200652</v>
      </c>
      <c r="BE23" s="26">
        <f t="shared" si="48"/>
        <v>5513.9298627982662</v>
      </c>
      <c r="BF23" s="26">
        <f t="shared" si="48"/>
        <v>5569.0691614262487</v>
      </c>
      <c r="BG23" s="26">
        <f t="shared" ref="BG23:CL23" si="49">+BF23+BF23*$AD$29</f>
        <v>5624.7598530405112</v>
      </c>
      <c r="BH23" s="26">
        <f t="shared" si="49"/>
        <v>5681.0074515709166</v>
      </c>
      <c r="BI23" s="26">
        <f t="shared" si="49"/>
        <v>5737.8175260866255</v>
      </c>
      <c r="BJ23" s="26">
        <f t="shared" si="49"/>
        <v>5795.1957013474921</v>
      </c>
      <c r="BK23" s="26">
        <f t="shared" si="49"/>
        <v>5853.1476583609674</v>
      </c>
      <c r="BL23" s="26">
        <f t="shared" si="49"/>
        <v>5911.6791349445775</v>
      </c>
      <c r="BM23" s="26">
        <f t="shared" si="49"/>
        <v>5970.795926294023</v>
      </c>
      <c r="BN23" s="26">
        <f t="shared" si="49"/>
        <v>6030.5038855569637</v>
      </c>
      <c r="BO23" s="26">
        <f t="shared" si="49"/>
        <v>6090.8089244125331</v>
      </c>
      <c r="BP23" s="26">
        <f t="shared" si="49"/>
        <v>6151.7170136566583</v>
      </c>
      <c r="BQ23" s="26">
        <f t="shared" si="49"/>
        <v>6213.2341837932245</v>
      </c>
      <c r="BR23" s="26">
        <f t="shared" si="49"/>
        <v>6275.3665256311569</v>
      </c>
      <c r="BS23" s="26">
        <f t="shared" si="49"/>
        <v>6338.1201908874682</v>
      </c>
      <c r="BT23" s="26">
        <f t="shared" si="49"/>
        <v>6401.5013927963428</v>
      </c>
      <c r="BU23" s="26">
        <f t="shared" si="49"/>
        <v>6465.5164067243059</v>
      </c>
      <c r="BV23" s="26">
        <f t="shared" si="49"/>
        <v>6530.1715707915491</v>
      </c>
      <c r="BW23" s="26">
        <f t="shared" si="49"/>
        <v>6595.4732864994648</v>
      </c>
      <c r="BX23" s="26">
        <f t="shared" si="49"/>
        <v>6661.4280193644599</v>
      </c>
      <c r="BY23" s="26">
        <f t="shared" si="49"/>
        <v>6728.0422995581048</v>
      </c>
      <c r="BZ23" s="26">
        <f t="shared" si="49"/>
        <v>6795.3227225536857</v>
      </c>
      <c r="CA23" s="26">
        <f t="shared" si="49"/>
        <v>6863.2759497792222</v>
      </c>
      <c r="CB23" s="26">
        <f t="shared" si="49"/>
        <v>6931.9087092770142</v>
      </c>
      <c r="CC23" s="26">
        <f t="shared" si="49"/>
        <v>7001.2277963697843</v>
      </c>
      <c r="CD23" s="26">
        <f t="shared" si="49"/>
        <v>7071.240074333482</v>
      </c>
      <c r="CE23" s="26">
        <f t="shared" si="49"/>
        <v>7141.9524750768169</v>
      </c>
      <c r="CF23" s="26">
        <f t="shared" si="49"/>
        <v>7213.3719998275847</v>
      </c>
      <c r="CG23" s="26">
        <f t="shared" si="49"/>
        <v>7285.5057198258601</v>
      </c>
      <c r="CH23" s="26">
        <f t="shared" si="49"/>
        <v>7358.3607770241188</v>
      </c>
      <c r="CI23" s="26">
        <f t="shared" si="49"/>
        <v>7431.9443847943603</v>
      </c>
      <c r="CJ23" s="26">
        <f t="shared" si="49"/>
        <v>7506.2638286423044</v>
      </c>
      <c r="CK23" s="26">
        <f t="shared" si="49"/>
        <v>7581.3264669287273</v>
      </c>
      <c r="CL23" s="26">
        <f t="shared" si="49"/>
        <v>7657.1397315980148</v>
      </c>
      <c r="CM23" s="26">
        <f t="shared" ref="CM23:DR23" si="50">+CL23+CL23*$AD$29</f>
        <v>7733.7111289139948</v>
      </c>
      <c r="CN23" s="26">
        <f t="shared" si="50"/>
        <v>7811.0482402031348</v>
      </c>
      <c r="CO23" s="26">
        <f t="shared" si="50"/>
        <v>7889.1587226051661</v>
      </c>
      <c r="CP23" s="26">
        <f t="shared" si="50"/>
        <v>7968.0503098312174</v>
      </c>
      <c r="CQ23" s="26">
        <f t="shared" si="50"/>
        <v>8047.7308129295297</v>
      </c>
      <c r="CR23" s="26">
        <f t="shared" si="50"/>
        <v>8128.2081210588249</v>
      </c>
      <c r="CS23" s="26">
        <f t="shared" si="50"/>
        <v>8209.4902022694132</v>
      </c>
      <c r="CT23" s="26">
        <f t="shared" si="50"/>
        <v>8291.5851042921076</v>
      </c>
      <c r="CU23" s="26">
        <f t="shared" si="50"/>
        <v>8374.5009553350283</v>
      </c>
      <c r="CV23" s="26">
        <f t="shared" si="50"/>
        <v>8458.2459648883778</v>
      </c>
      <c r="CW23" s="26">
        <f t="shared" si="50"/>
        <v>8542.8284245372615</v>
      </c>
      <c r="CX23" s="26">
        <f t="shared" si="50"/>
        <v>8628.2567087826337</v>
      </c>
      <c r="CY23" s="26">
        <f t="shared" si="50"/>
        <v>8714.5392758704602</v>
      </c>
      <c r="CZ23" s="26">
        <f t="shared" si="50"/>
        <v>8801.6846686291647</v>
      </c>
      <c r="DA23" s="26">
        <f t="shared" si="50"/>
        <v>8889.7015153154571</v>
      </c>
      <c r="DB23" s="26">
        <f t="shared" si="50"/>
        <v>8978.598530468611</v>
      </c>
      <c r="DC23" s="26">
        <f t="shared" si="50"/>
        <v>9068.3845157732976</v>
      </c>
      <c r="DD23" s="26">
        <f t="shared" si="50"/>
        <v>9159.0683609310308</v>
      </c>
      <c r="DE23" s="26">
        <f t="shared" si="50"/>
        <v>9250.6590445403417</v>
      </c>
      <c r="DF23" s="26">
        <f t="shared" si="50"/>
        <v>9343.1656349857458</v>
      </c>
      <c r="DG23" s="26">
        <f t="shared" si="50"/>
        <v>9436.5972913356036</v>
      </c>
      <c r="DH23" s="26">
        <f t="shared" si="50"/>
        <v>9530.9632642489596</v>
      </c>
      <c r="DI23" s="26">
        <f t="shared" si="50"/>
        <v>9626.2728968914489</v>
      </c>
      <c r="DJ23" s="26">
        <f t="shared" si="50"/>
        <v>9722.5356258603642</v>
      </c>
      <c r="DK23" s="26">
        <f t="shared" si="50"/>
        <v>9819.7609821189671</v>
      </c>
      <c r="DL23" s="26">
        <f t="shared" si="50"/>
        <v>9917.9585919401561</v>
      </c>
      <c r="DM23" s="26">
        <f t="shared" si="50"/>
        <v>10017.138177859557</v>
      </c>
      <c r="DN23" s="26">
        <f t="shared" si="50"/>
        <v>10117.309559638152</v>
      </c>
      <c r="DO23" s="26">
        <f t="shared" si="50"/>
        <v>10218.482655234533</v>
      </c>
      <c r="DP23" s="26">
        <f t="shared" si="50"/>
        <v>10320.667481786879</v>
      </c>
      <c r="DQ23" s="26">
        <f t="shared" si="50"/>
        <v>10423.874156604748</v>
      </c>
      <c r="DR23" s="26">
        <f t="shared" si="50"/>
        <v>10528.112898170795</v>
      </c>
      <c r="DS23" s="26">
        <f t="shared" ref="DS23:EX23" si="51">+DR23+DR23*$AD$29</f>
        <v>10633.394027152503</v>
      </c>
      <c r="DT23" s="26">
        <f t="shared" si="51"/>
        <v>10739.727967424027</v>
      </c>
      <c r="DU23" s="26">
        <f t="shared" si="51"/>
        <v>10847.125247098267</v>
      </c>
      <c r="DV23" s="26">
        <f t="shared" si="51"/>
        <v>10955.59649956925</v>
      </c>
      <c r="DW23" s="26">
        <f t="shared" si="51"/>
        <v>11065.152464564942</v>
      </c>
      <c r="DX23" s="26">
        <f t="shared" si="51"/>
        <v>11175.803989210592</v>
      </c>
      <c r="DY23" s="26">
        <f t="shared" si="51"/>
        <v>11287.562029102697</v>
      </c>
      <c r="DZ23" s="26">
        <f t="shared" si="51"/>
        <v>11400.437649393723</v>
      </c>
      <c r="EA23" s="26">
        <f t="shared" si="51"/>
        <v>11514.44202588766</v>
      </c>
      <c r="EB23" s="26">
        <f t="shared" si="51"/>
        <v>11629.586446146537</v>
      </c>
      <c r="EC23" s="26">
        <f t="shared" si="51"/>
        <v>11745.882310608002</v>
      </c>
      <c r="ED23" s="26">
        <f t="shared" si="51"/>
        <v>11863.341133714082</v>
      </c>
      <c r="EE23" s="26">
        <f t="shared" si="51"/>
        <v>11981.974545051224</v>
      </c>
      <c r="EF23" s="26">
        <f t="shared" si="51"/>
        <v>12101.794290501735</v>
      </c>
      <c r="EG23" s="26">
        <f t="shared" si="51"/>
        <v>12222.812233406752</v>
      </c>
      <c r="EH23" s="26">
        <f t="shared" si="51"/>
        <v>12345.040355740819</v>
      </c>
      <c r="EI23" s="26">
        <f t="shared" si="51"/>
        <v>12468.490759298227</v>
      </c>
      <c r="EJ23" s="26">
        <f t="shared" si="51"/>
        <v>12593.175666891209</v>
      </c>
      <c r="EK23" s="26">
        <f t="shared" si="51"/>
        <v>12719.107423560121</v>
      </c>
      <c r="EL23" s="26">
        <f t="shared" si="51"/>
        <v>12846.298497795722</v>
      </c>
      <c r="EM23" s="26">
        <f t="shared" si="51"/>
        <v>12974.76148277368</v>
      </c>
      <c r="EN23" s="26">
        <f t="shared" si="51"/>
        <v>13104.509097601416</v>
      </c>
      <c r="EO23" s="26">
        <f t="shared" si="51"/>
        <v>13235.554188577431</v>
      </c>
      <c r="EP23" s="26">
        <f t="shared" si="51"/>
        <v>13367.909730463205</v>
      </c>
      <c r="EQ23" s="26">
        <f t="shared" si="51"/>
        <v>13501.588827767837</v>
      </c>
      <c r="ER23" s="26">
        <f t="shared" si="51"/>
        <v>13636.604716045515</v>
      </c>
      <c r="ES23" s="26">
        <f t="shared" si="51"/>
        <v>13772.970763205969</v>
      </c>
      <c r="ET23" s="26">
        <f t="shared" si="51"/>
        <v>13910.700470838028</v>
      </c>
      <c r="EU23" s="26">
        <f t="shared" si="51"/>
        <v>14049.807475546408</v>
      </c>
      <c r="EV23" s="26">
        <f t="shared" si="51"/>
        <v>14190.305550301871</v>
      </c>
      <c r="EW23" s="26">
        <f t="shared" si="51"/>
        <v>14332.20860580489</v>
      </c>
      <c r="EX23" s="26">
        <f t="shared" si="51"/>
        <v>14475.530691862939</v>
      </c>
      <c r="EY23" s="26">
        <f t="shared" ref="EY23:FH23" si="52">+EX23+EX23*$AD$29</f>
        <v>14620.285998781568</v>
      </c>
      <c r="EZ23" s="26">
        <f t="shared" si="52"/>
        <v>14766.488858769384</v>
      </c>
      <c r="FA23" s="26">
        <f t="shared" si="52"/>
        <v>14914.153747357077</v>
      </c>
      <c r="FB23" s="26">
        <f t="shared" si="52"/>
        <v>15063.295284830649</v>
      </c>
      <c r="FC23" s="26">
        <f t="shared" si="52"/>
        <v>15213.928237678954</v>
      </c>
      <c r="FD23" s="26">
        <f t="shared" si="52"/>
        <v>15366.067520055743</v>
      </c>
      <c r="FE23" s="26">
        <f t="shared" si="52"/>
        <v>15519.728195256301</v>
      </c>
      <c r="FF23" s="26">
        <f t="shared" si="52"/>
        <v>15674.925477208864</v>
      </c>
      <c r="FG23" s="26">
        <f t="shared" si="52"/>
        <v>15831.674731980953</v>
      </c>
      <c r="FH23" s="26">
        <f t="shared" si="52"/>
        <v>15989.991479300763</v>
      </c>
    </row>
    <row r="24" spans="2:164" x14ac:dyDescent="0.25">
      <c r="B24" s="2" t="s">
        <v>0</v>
      </c>
      <c r="C24" s="2">
        <v>166</v>
      </c>
      <c r="D24" s="2">
        <v>164</v>
      </c>
      <c r="E24" s="2">
        <v>166.8</v>
      </c>
      <c r="F24" s="2">
        <v>168</v>
      </c>
      <c r="G24" s="2">
        <v>169</v>
      </c>
      <c r="H24" s="2">
        <v>170</v>
      </c>
      <c r="I24" s="2">
        <v>172</v>
      </c>
      <c r="J24" s="2">
        <v>172</v>
      </c>
      <c r="K24" s="2">
        <v>172</v>
      </c>
      <c r="L24" s="2">
        <v>172</v>
      </c>
      <c r="M24" s="23"/>
      <c r="N24" s="12">
        <v>119</v>
      </c>
      <c r="O24" s="12">
        <v>125</v>
      </c>
      <c r="P24" s="12">
        <v>128</v>
      </c>
      <c r="Q24" s="12">
        <v>144</v>
      </c>
      <c r="R24" s="12">
        <v>165.75800000000001</v>
      </c>
      <c r="S24" s="12">
        <v>170.5</v>
      </c>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row>
    <row r="25" spans="2:164" x14ac:dyDescent="0.25">
      <c r="B25" s="2" t="s">
        <v>19</v>
      </c>
      <c r="C25" s="2">
        <f t="shared" ref="C25:I25" si="53">C23/C24</f>
        <v>-2.3855421686746987</v>
      </c>
      <c r="D25" s="2">
        <f t="shared" si="53"/>
        <v>-2.2012195121951219</v>
      </c>
      <c r="E25" s="2">
        <f t="shared" si="53"/>
        <v>-4.7841726618705032</v>
      </c>
      <c r="F25" s="2">
        <f t="shared" si="53"/>
        <v>-4.666666666666667</v>
      </c>
      <c r="G25" s="2">
        <f t="shared" si="53"/>
        <v>-4.6331360946745566</v>
      </c>
      <c r="H25" s="2">
        <f t="shared" si="53"/>
        <v>-3.9705882352941178</v>
      </c>
      <c r="I25" s="2">
        <f t="shared" si="53"/>
        <v>0.15697674418604651</v>
      </c>
      <c r="J25" s="2">
        <f t="shared" ref="J25:L25" si="54">J23/J24</f>
        <v>2.13953488372093</v>
      </c>
      <c r="K25" s="2">
        <f t="shared" si="54"/>
        <v>-3.8767441860465115</v>
      </c>
      <c r="L25" s="2">
        <f t="shared" si="54"/>
        <v>-1.5155162790697703</v>
      </c>
      <c r="M25" s="23"/>
      <c r="N25" s="12">
        <f t="shared" ref="N25:S25" si="55">+N23/N24</f>
        <v>-0.63361344537815134</v>
      </c>
      <c r="O25" s="12">
        <f t="shared" si="55"/>
        <v>-2.3632</v>
      </c>
      <c r="P25" s="12">
        <f t="shared" si="55"/>
        <v>-6.93359375</v>
      </c>
      <c r="Q25" s="12">
        <f t="shared" si="55"/>
        <v>-5.375</v>
      </c>
      <c r="R25" s="12">
        <f t="shared" si="55"/>
        <v>-13.51970945595386</v>
      </c>
      <c r="S25" s="12">
        <f t="shared" si="55"/>
        <v>-6.2346041055718473</v>
      </c>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row>
    <row r="26" spans="2:164" s="4" customFormat="1" x14ac:dyDescent="0.25">
      <c r="M26" s="24"/>
    </row>
    <row r="27" spans="2:164" ht="13.8" thickBot="1" x14ac:dyDescent="0.3"/>
    <row r="28" spans="2:164" ht="13.8" thickTop="1" x14ac:dyDescent="0.25">
      <c r="B28" s="1" t="s">
        <v>13</v>
      </c>
      <c r="C28" s="6">
        <f t="shared" ref="C28:D28" si="56">C15/C13</f>
        <v>0.24777448071216618</v>
      </c>
      <c r="D28" s="6">
        <f t="shared" si="56"/>
        <v>0.23888091822094693</v>
      </c>
      <c r="E28" s="6">
        <f>E15/E13</f>
        <v>0.15046916890080428</v>
      </c>
      <c r="F28" s="6">
        <f>F15/F13</f>
        <v>0.13430568216347616</v>
      </c>
      <c r="G28" s="6">
        <f t="shared" ref="G28:I28" si="57">G15/G13</f>
        <v>0.13380281690140844</v>
      </c>
      <c r="H28" s="6">
        <f t="shared" si="57"/>
        <v>0.15467266366816593</v>
      </c>
      <c r="I28" s="6">
        <f t="shared" si="57"/>
        <v>0.22332942555685814</v>
      </c>
      <c r="J28" s="6">
        <f t="shared" ref="J28" si="58">J15/J13</f>
        <v>0.19955715471907001</v>
      </c>
      <c r="K28" s="6">
        <f>K15/K13</f>
        <v>0.12483487450462351</v>
      </c>
      <c r="L28" s="6">
        <v>0.18</v>
      </c>
      <c r="N28" s="6">
        <f t="shared" ref="N28:S28" si="59">N15/N13</f>
        <v>0.22652757078986588</v>
      </c>
      <c r="O28" s="6">
        <f t="shared" si="59"/>
        <v>0.27548467792370229</v>
      </c>
      <c r="P28" s="6">
        <f t="shared" si="59"/>
        <v>0.22837370242214533</v>
      </c>
      <c r="Q28" s="6">
        <f t="shared" si="59"/>
        <v>0.2284612087441063</v>
      </c>
      <c r="R28" s="6">
        <f t="shared" si="59"/>
        <v>0.1890466876435071</v>
      </c>
      <c r="S28" s="6">
        <f t="shared" si="59"/>
        <v>0.18830382106244176</v>
      </c>
      <c r="T28" s="7">
        <v>0.19</v>
      </c>
      <c r="U28" s="7">
        <v>0.2</v>
      </c>
      <c r="V28" s="7">
        <v>0.2</v>
      </c>
      <c r="W28" s="7">
        <v>0.2</v>
      </c>
      <c r="X28" s="7">
        <v>0.2</v>
      </c>
      <c r="Y28" s="7">
        <v>0.2</v>
      </c>
      <c r="Z28" s="7">
        <v>0.2</v>
      </c>
      <c r="AC28" s="27" t="s">
        <v>103</v>
      </c>
      <c r="AD28" s="28">
        <v>-0.02</v>
      </c>
    </row>
    <row r="29" spans="2:164" x14ac:dyDescent="0.25">
      <c r="B29" s="1" t="s">
        <v>92</v>
      </c>
      <c r="C29" s="6"/>
      <c r="D29" s="6"/>
      <c r="E29" s="6"/>
      <c r="F29" s="6"/>
      <c r="G29" s="6"/>
      <c r="H29" s="6"/>
      <c r="I29" s="6"/>
      <c r="J29" s="6"/>
      <c r="K29" s="6"/>
      <c r="L29" s="6"/>
      <c r="N29" s="6"/>
      <c r="O29" s="6">
        <f t="shared" ref="O29:R30" si="60">O17/N17-1</f>
        <v>1.0043103448275863</v>
      </c>
      <c r="P29" s="6">
        <f t="shared" si="60"/>
        <v>0.54408602150537644</v>
      </c>
      <c r="Q29" s="6">
        <f t="shared" si="60"/>
        <v>0.16155988857938719</v>
      </c>
      <c r="R29" s="6">
        <f t="shared" si="60"/>
        <v>0.65227817745803351</v>
      </c>
      <c r="S29" s="6">
        <f>S17/R17-1</f>
        <v>5.9506531204644331E-2</v>
      </c>
      <c r="T29" s="6">
        <v>0.10000000000000009</v>
      </c>
      <c r="U29" s="6">
        <v>9.9999999999999867E-2</v>
      </c>
      <c r="V29" s="6">
        <v>0.10000000000000009</v>
      </c>
      <c r="W29" s="6">
        <v>0.08</v>
      </c>
      <c r="X29" s="6">
        <v>0.08</v>
      </c>
      <c r="Y29" s="6">
        <v>0.08</v>
      </c>
      <c r="Z29" s="6">
        <v>0.08</v>
      </c>
      <c r="AC29" s="29" t="s">
        <v>100</v>
      </c>
      <c r="AD29" s="30">
        <v>0.01</v>
      </c>
    </row>
    <row r="30" spans="2:164" x14ac:dyDescent="0.25">
      <c r="B30" s="1" t="s">
        <v>93</v>
      </c>
      <c r="C30" s="6"/>
      <c r="D30" s="6"/>
      <c r="E30" s="6"/>
      <c r="F30" s="6"/>
      <c r="G30" s="6"/>
      <c r="H30" s="6"/>
      <c r="I30" s="6"/>
      <c r="J30" s="6"/>
      <c r="K30" s="6"/>
      <c r="L30" s="6"/>
      <c r="N30" s="6"/>
      <c r="O30" s="6">
        <f t="shared" si="60"/>
        <v>1.0637065637065639</v>
      </c>
      <c r="P30" s="6">
        <f t="shared" si="60"/>
        <v>0.53414405986903657</v>
      </c>
      <c r="Q30" s="6">
        <f t="shared" si="60"/>
        <v>0.38170731707317063</v>
      </c>
      <c r="R30" s="6">
        <f t="shared" si="60"/>
        <v>0.70123565754633721</v>
      </c>
      <c r="S30" s="6">
        <f t="shared" ref="S30" si="61">S18/R18-1</f>
        <v>0.1488975356679636</v>
      </c>
      <c r="T30" s="6">
        <v>0.1</v>
      </c>
      <c r="U30" s="6">
        <v>0.15</v>
      </c>
      <c r="V30" s="6">
        <v>0.1</v>
      </c>
      <c r="W30" s="6">
        <v>0.08</v>
      </c>
      <c r="X30" s="6">
        <v>7.0000000000000007E-2</v>
      </c>
      <c r="Y30" s="6">
        <v>7.0000000000000007E-2</v>
      </c>
      <c r="Z30" s="6">
        <v>0.06</v>
      </c>
      <c r="AC30" s="29" t="s">
        <v>101</v>
      </c>
      <c r="AD30" s="30">
        <v>0.08</v>
      </c>
    </row>
    <row r="31" spans="2:164" x14ac:dyDescent="0.25">
      <c r="B31" s="1" t="s">
        <v>16</v>
      </c>
      <c r="C31" s="7">
        <f t="shared" ref="C31:D31" si="62">C19/C13</f>
        <v>-9.5326409495548964E-2</v>
      </c>
      <c r="D31" s="7">
        <f t="shared" si="62"/>
        <v>-8.608321377331421E-2</v>
      </c>
      <c r="E31" s="7">
        <f>E19/E13</f>
        <v>-0.2111260053619303</v>
      </c>
      <c r="F31" s="7">
        <f>F19/F13</f>
        <v>-0.18049225159525981</v>
      </c>
      <c r="G31" s="7">
        <f t="shared" ref="G31:I31" si="63">G19/G13</f>
        <v>-0.17517605633802816</v>
      </c>
      <c r="H31" s="7">
        <f t="shared" si="63"/>
        <v>-0.12918540729635183</v>
      </c>
      <c r="I31" s="7">
        <f t="shared" si="63"/>
        <v>6.5211019929660025E-2</v>
      </c>
      <c r="J31" s="7">
        <f t="shared" ref="J31:K31" si="64">J19/J13</f>
        <v>3.8887351231663439E-2</v>
      </c>
      <c r="K31" s="7">
        <f t="shared" si="64"/>
        <v>-0.11448701012769705</v>
      </c>
      <c r="L31" s="7">
        <f>L19/L13</f>
        <v>-2.5341598076076364E-2</v>
      </c>
      <c r="N31" s="7">
        <f t="shared" ref="N31" si="65">N19/N13</f>
        <v>-3.0799801291604572E-2</v>
      </c>
      <c r="O31" s="7">
        <f t="shared" ref="O31" si="66">O19/O13</f>
        <v>-5.8786741713570984E-2</v>
      </c>
      <c r="P31" s="7">
        <f t="shared" ref="P31" si="67">P19/P13</f>
        <v>-0.17696490360850223</v>
      </c>
      <c r="Q31" s="7">
        <f t="shared" ref="Q31" si="68">Q19/Q13</f>
        <v>-9.5299328475496506E-2</v>
      </c>
      <c r="R31" s="7">
        <f t="shared" ref="R31:Z31" si="69">R19/R13</f>
        <v>-0.13878731184624543</v>
      </c>
      <c r="S31" s="7">
        <f t="shared" si="69"/>
        <v>-1.8080149114631874E-2</v>
      </c>
      <c r="T31" s="7">
        <f t="shared" si="69"/>
        <v>5.531701406637452E-3</v>
      </c>
      <c r="U31" s="7">
        <f t="shared" si="69"/>
        <v>4.2270118012113729E-2</v>
      </c>
      <c r="V31" s="7">
        <f t="shared" si="69"/>
        <v>6.0582940003198721E-2</v>
      </c>
      <c r="W31" s="7">
        <f t="shared" si="69"/>
        <v>6.9395502899817649E-2</v>
      </c>
      <c r="X31" s="7">
        <f t="shared" si="69"/>
        <v>6.9223113951600593E-2</v>
      </c>
      <c r="Y31" s="7">
        <f>Y19/Y13</f>
        <v>7.3482929102126768E-2</v>
      </c>
      <c r="Z31" s="7">
        <f t="shared" si="69"/>
        <v>7.8443292653183422E-2</v>
      </c>
      <c r="AC31" s="29" t="s">
        <v>102</v>
      </c>
      <c r="AD31" s="31">
        <f>NPV(AD30,T23:FH23)</f>
        <v>43049.167899442436</v>
      </c>
    </row>
    <row r="32" spans="2:164" x14ac:dyDescent="0.25">
      <c r="B32" s="1" t="s">
        <v>18</v>
      </c>
      <c r="C32" s="7">
        <f t="shared" ref="C32:D32" si="70">C22/C21</f>
        <v>-6.7385444743935305E-2</v>
      </c>
      <c r="D32" s="7">
        <f t="shared" si="70"/>
        <v>-3.7356321839080463E-2</v>
      </c>
      <c r="E32" s="7">
        <f>E22/E21</f>
        <v>-4.1775456919060053E-2</v>
      </c>
      <c r="F32" s="7">
        <f>F22/F21</f>
        <v>-1.1612903225806452E-2</v>
      </c>
      <c r="G32" s="7">
        <f t="shared" ref="G32:I32" si="71">G22/G21</f>
        <v>-6.4267352185089976E-3</v>
      </c>
      <c r="H32" s="7">
        <f t="shared" si="71"/>
        <v>-1.9637462235649546E-2</v>
      </c>
      <c r="I32" s="7">
        <f t="shared" si="71"/>
        <v>0.90939597315436238</v>
      </c>
      <c r="J32" s="7">
        <f t="shared" ref="J32:L32" si="72">J22/J21</f>
        <v>-1.6861313868613139</v>
      </c>
      <c r="K32" s="7">
        <f t="shared" si="72"/>
        <v>-3.5403726708074533E-2</v>
      </c>
      <c r="L32" s="7">
        <f t="shared" si="72"/>
        <v>0.1</v>
      </c>
      <c r="N32" s="7">
        <f t="shared" ref="N32" si="73">N22/N21</f>
        <v>-3.4293552812071325E-2</v>
      </c>
      <c r="O32" s="7">
        <f t="shared" ref="O32" si="74">O22/O21</f>
        <v>-3.2867132867132866E-2</v>
      </c>
      <c r="P32" s="7">
        <f t="shared" ref="P32" si="75">P22/P21</f>
        <v>-1.4865637507146942E-2</v>
      </c>
      <c r="Q32" s="7">
        <f t="shared" ref="Q32" si="76">Q22/Q21</f>
        <v>-3.614457831325301E-2</v>
      </c>
      <c r="R32" s="7">
        <f t="shared" ref="R32:S32" si="77">R22/R21</f>
        <v>-1.4486192847442281E-2</v>
      </c>
      <c r="S32" s="7">
        <f t="shared" si="77"/>
        <v>-5.7711442786069649E-2</v>
      </c>
      <c r="T32" s="7">
        <v>0</v>
      </c>
      <c r="U32" s="7">
        <v>0.1</v>
      </c>
      <c r="V32" s="7">
        <v>0.1</v>
      </c>
      <c r="W32" s="7">
        <v>0.1</v>
      </c>
      <c r="X32" s="7">
        <v>0.1</v>
      </c>
      <c r="Y32" s="7">
        <v>0.1</v>
      </c>
      <c r="Z32" s="7">
        <v>0.1</v>
      </c>
      <c r="AC32" s="29" t="s">
        <v>1</v>
      </c>
      <c r="AD32" s="31">
        <f>+Main!C5-Main!C6</f>
        <v>-11288</v>
      </c>
    </row>
    <row r="33" spans="2:30" x14ac:dyDescent="0.25">
      <c r="B33" s="1" t="s">
        <v>22</v>
      </c>
      <c r="C33" s="7">
        <f>C23/C13</f>
        <v>-0.14688427299703263</v>
      </c>
      <c r="D33" s="7">
        <f t="shared" ref="D33:I33" si="78">D23/D13</f>
        <v>-0.12948350071736012</v>
      </c>
      <c r="E33" s="7">
        <f t="shared" si="78"/>
        <v>-0.26742627345844505</v>
      </c>
      <c r="F33" s="7">
        <f t="shared" si="78"/>
        <v>-0.23822546338498937</v>
      </c>
      <c r="G33" s="7">
        <f t="shared" si="78"/>
        <v>-0.22975352112676056</v>
      </c>
      <c r="H33" s="7">
        <f t="shared" si="78"/>
        <v>-0.16866566716641679</v>
      </c>
      <c r="I33" s="7">
        <f t="shared" si="78"/>
        <v>3.9566236811254393E-3</v>
      </c>
      <c r="J33" s="7">
        <f t="shared" ref="J33:L33" si="79">J23/J13</f>
        <v>5.0927207306947136E-2</v>
      </c>
      <c r="K33" s="7">
        <f t="shared" si="79"/>
        <v>-0.1468075737560546</v>
      </c>
      <c r="L33" s="7">
        <f t="shared" si="79"/>
        <v>-4.4146733055583864E-2</v>
      </c>
      <c r="N33" s="7">
        <f t="shared" ref="N33" si="80">N23/N13</f>
        <v>-3.7456532538499752E-2</v>
      </c>
      <c r="O33" s="7">
        <f t="shared" ref="O33" si="81">O23/O13</f>
        <v>-9.2370231394621638E-2</v>
      </c>
      <c r="P33" s="7">
        <f t="shared" ref="P33" si="82">P23/P13</f>
        <v>-0.21935244686109737</v>
      </c>
      <c r="Q33" s="7">
        <f t="shared" ref="Q33" si="83">Q23/Q13</f>
        <v>-0.11058722674667809</v>
      </c>
      <c r="R33" s="7">
        <f t="shared" ref="R33:Z33" si="84">R23/R13</f>
        <v>-0.190577430053576</v>
      </c>
      <c r="S33" s="7">
        <f t="shared" si="84"/>
        <v>-4.9534016775396088E-2</v>
      </c>
      <c r="T33" s="7">
        <f t="shared" si="84"/>
        <v>-2.097290850230028E-2</v>
      </c>
      <c r="U33" s="7">
        <f t="shared" si="84"/>
        <v>1.4907956377960991E-2</v>
      </c>
      <c r="V33" s="7">
        <f t="shared" si="84"/>
        <v>3.5934552543192173E-2</v>
      </c>
      <c r="W33" s="7">
        <f t="shared" si="84"/>
        <v>4.4539273342911988E-2</v>
      </c>
      <c r="X33" s="7">
        <f t="shared" si="84"/>
        <v>4.7255787098785924E-2</v>
      </c>
      <c r="Y33" s="7">
        <f t="shared" si="84"/>
        <v>5.4079564500021333E-2</v>
      </c>
      <c r="Z33" s="7">
        <f t="shared" si="84"/>
        <v>6.1096082926801347E-2</v>
      </c>
      <c r="AC33" s="29" t="s">
        <v>105</v>
      </c>
      <c r="AD33" s="31">
        <f>+AD31+AD32</f>
        <v>31761.167899442436</v>
      </c>
    </row>
    <row r="34" spans="2:30" x14ac:dyDescent="0.25">
      <c r="B34" s="1" t="s">
        <v>94</v>
      </c>
      <c r="D34" s="7"/>
      <c r="E34" s="7"/>
      <c r="F34" s="7"/>
      <c r="G34" s="7">
        <f t="shared" ref="G34:J34" si="85">G13/C13-1</f>
        <v>0.26409495548961415</v>
      </c>
      <c r="H34" s="7">
        <f t="shared" si="85"/>
        <v>0.43543758967001445</v>
      </c>
      <c r="I34" s="7">
        <f t="shared" si="85"/>
        <v>1.2868632707774799</v>
      </c>
      <c r="J34" s="7">
        <f t="shared" si="85"/>
        <v>1.1956852020662412</v>
      </c>
      <c r="K34" s="7">
        <f>K13/G13-1</f>
        <v>0.33274647887323949</v>
      </c>
      <c r="L34" s="7">
        <v>0.3</v>
      </c>
      <c r="O34" s="6">
        <f t="shared" ref="O34:R34" si="86">+O13/N13-1</f>
        <v>0.58867362146050661</v>
      </c>
      <c r="P34" s="6">
        <f t="shared" si="86"/>
        <v>0.2651657285803628</v>
      </c>
      <c r="Q34" s="6">
        <f t="shared" si="86"/>
        <v>0.72985664854176968</v>
      </c>
      <c r="R34" s="6">
        <f t="shared" si="86"/>
        <v>0.6800971567366767</v>
      </c>
      <c r="S34" s="6">
        <f>+S13/R13-1</f>
        <v>0.82498511778212436</v>
      </c>
      <c r="T34" s="6">
        <f t="shared" ref="T34:Z34" si="87">+T13/S13-1</f>
        <v>0.23068499534016773</v>
      </c>
      <c r="U34" s="6">
        <f t="shared" si="87"/>
        <v>0.32567198652051288</v>
      </c>
      <c r="V34" s="6">
        <f t="shared" si="87"/>
        <v>0.24448808625469343</v>
      </c>
      <c r="W34" s="6">
        <f t="shared" si="87"/>
        <v>0.15287320222249123</v>
      </c>
      <c r="X34" s="6">
        <f t="shared" si="87"/>
        <v>7.17842986347621E-2</v>
      </c>
      <c r="Y34" s="6">
        <f t="shared" si="87"/>
        <v>0.10935442071776103</v>
      </c>
      <c r="Z34" s="6">
        <f t="shared" si="87"/>
        <v>0.10999899173996464</v>
      </c>
      <c r="AC34" s="29" t="s">
        <v>55</v>
      </c>
      <c r="AD34" s="31">
        <f>+AD33/Main!C3</f>
        <v>182.82965634033178</v>
      </c>
    </row>
    <row r="35" spans="2:30" ht="13.8" thickBot="1" x14ac:dyDescent="0.3">
      <c r="AC35" s="32" t="s">
        <v>104</v>
      </c>
      <c r="AD35" s="33">
        <f>Main!C2</f>
        <v>204.5</v>
      </c>
    </row>
    <row r="36" spans="2:30" ht="13.8" thickTop="1" x14ac:dyDescent="0.25">
      <c r="B36" s="1" t="s">
        <v>90</v>
      </c>
      <c r="N36" s="12">
        <v>5859</v>
      </c>
      <c r="O36" s="12">
        <v>10161</v>
      </c>
      <c r="P36" s="12">
        <v>13058</v>
      </c>
      <c r="Q36" s="12">
        <v>17782</v>
      </c>
      <c r="R36" s="12">
        <v>37543</v>
      </c>
      <c r="S36" s="12">
        <v>48817</v>
      </c>
    </row>
    <row r="37" spans="2:30" x14ac:dyDescent="0.25">
      <c r="B37" s="1" t="s">
        <v>91</v>
      </c>
      <c r="O37" s="6">
        <f t="shared" ref="O37:R37" si="88">O36/N36-1</f>
        <v>0.73425499231950853</v>
      </c>
      <c r="P37" s="6">
        <f t="shared" si="88"/>
        <v>0.28510973329396716</v>
      </c>
      <c r="Q37" s="6">
        <f t="shared" si="88"/>
        <v>0.36177056210752023</v>
      </c>
      <c r="R37" s="6">
        <f t="shared" si="88"/>
        <v>1.1112923180744572</v>
      </c>
      <c r="S37" s="6">
        <f>S36/R36-1</f>
        <v>0.30029566097541482</v>
      </c>
    </row>
    <row r="39" spans="2:30" x14ac:dyDescent="0.25">
      <c r="B39" s="1" t="s">
        <v>27</v>
      </c>
    </row>
    <row r="40" spans="2:30" x14ac:dyDescent="0.25">
      <c r="B40" s="1" t="s">
        <v>1</v>
      </c>
      <c r="F40" s="2">
        <f>3368+155</f>
        <v>3523</v>
      </c>
      <c r="G40" s="2">
        <f>2666+120</f>
        <v>2786</v>
      </c>
      <c r="H40" s="2">
        <f>2236+146</f>
        <v>2382</v>
      </c>
      <c r="I40" s="2">
        <f>2967+158</f>
        <v>3125</v>
      </c>
      <c r="J40" s="2">
        <f>3685+192</f>
        <v>3877</v>
      </c>
      <c r="K40" s="2">
        <f>2197+130</f>
        <v>2327</v>
      </c>
      <c r="L40" s="2"/>
    </row>
    <row r="41" spans="2:30" x14ac:dyDescent="0.25">
      <c r="B41" s="1" t="s">
        <v>28</v>
      </c>
      <c r="F41" s="2">
        <v>515</v>
      </c>
      <c r="G41" s="2">
        <v>653</v>
      </c>
      <c r="H41" s="2">
        <v>569</v>
      </c>
      <c r="I41" s="2">
        <v>1155</v>
      </c>
      <c r="J41" s="2">
        <v>949</v>
      </c>
      <c r="K41" s="2">
        <v>1046</v>
      </c>
      <c r="L41" s="2"/>
    </row>
    <row r="42" spans="2:30" x14ac:dyDescent="0.25">
      <c r="B42" s="1" t="s">
        <v>29</v>
      </c>
      <c r="F42" s="2">
        <v>2263</v>
      </c>
      <c r="G42" s="2">
        <v>2565</v>
      </c>
      <c r="H42" s="2">
        <v>3325</v>
      </c>
      <c r="I42" s="2">
        <v>3314</v>
      </c>
      <c r="J42" s="2">
        <v>3113</v>
      </c>
      <c r="K42" s="2">
        <v>3836</v>
      </c>
      <c r="L42" s="2"/>
      <c r="S42" s="6">
        <f>+K5/J5-1</f>
        <v>-0.19619943496582959</v>
      </c>
    </row>
    <row r="43" spans="2:30" x14ac:dyDescent="0.25">
      <c r="B43" s="1" t="s">
        <v>2</v>
      </c>
      <c r="F43" s="2">
        <v>268</v>
      </c>
      <c r="G43" s="2">
        <v>379</v>
      </c>
      <c r="H43" s="2">
        <v>422</v>
      </c>
      <c r="I43" s="2">
        <v>325</v>
      </c>
      <c r="J43" s="2">
        <v>365</v>
      </c>
      <c r="K43" s="2">
        <v>464</v>
      </c>
      <c r="L43" s="2"/>
      <c r="S43" s="6">
        <f>+K13/J13-1</f>
        <v>-0.37143647938001656</v>
      </c>
    </row>
    <row r="44" spans="2:30" s="4" customFormat="1" x14ac:dyDescent="0.25">
      <c r="B44" s="4" t="s">
        <v>36</v>
      </c>
      <c r="F44" s="5">
        <v>6570</v>
      </c>
      <c r="G44" s="5">
        <v>6383</v>
      </c>
      <c r="H44" s="5">
        <v>6700</v>
      </c>
      <c r="I44" s="5">
        <v>7920</v>
      </c>
      <c r="J44" s="5">
        <v>8306</v>
      </c>
      <c r="K44" s="5">
        <v>7678</v>
      </c>
      <c r="L44" s="5"/>
      <c r="M44" s="24"/>
      <c r="S44" s="6">
        <f>K14/J14-1</f>
        <v>-0.31275933609958506</v>
      </c>
      <c r="AC44" s="1"/>
      <c r="AD44" s="1"/>
    </row>
    <row r="45" spans="2:30" x14ac:dyDescent="0.25">
      <c r="B45" s="1" t="s">
        <v>31</v>
      </c>
      <c r="F45" s="2">
        <v>4117</v>
      </c>
      <c r="G45" s="2">
        <v>2315</v>
      </c>
      <c r="H45" s="2">
        <v>2282</v>
      </c>
      <c r="I45" s="2">
        <v>2186</v>
      </c>
      <c r="J45" s="2">
        <v>2089</v>
      </c>
      <c r="K45" s="2">
        <v>1973</v>
      </c>
      <c r="L45" s="2"/>
    </row>
    <row r="46" spans="2:30" x14ac:dyDescent="0.25">
      <c r="B46" s="1" t="s">
        <v>32</v>
      </c>
      <c r="F46" s="2">
        <v>6347</v>
      </c>
      <c r="G46" s="2">
        <v>6346</v>
      </c>
      <c r="H46" s="2">
        <v>6340</v>
      </c>
      <c r="I46" s="2">
        <v>6301</v>
      </c>
      <c r="J46" s="2">
        <v>6271</v>
      </c>
      <c r="K46" s="2">
        <v>6242</v>
      </c>
      <c r="L46" s="2"/>
      <c r="AC46" s="4"/>
      <c r="AD46" s="4"/>
    </row>
    <row r="47" spans="2:30" x14ac:dyDescent="0.25">
      <c r="B47" s="1" t="s">
        <v>33</v>
      </c>
      <c r="F47" s="2">
        <v>10027</v>
      </c>
      <c r="G47" s="2">
        <v>10519</v>
      </c>
      <c r="H47" s="2">
        <v>10969</v>
      </c>
      <c r="I47" s="2">
        <v>11246</v>
      </c>
      <c r="J47" s="2">
        <v>11330</v>
      </c>
      <c r="K47" s="2">
        <v>9850</v>
      </c>
      <c r="L47" s="2"/>
    </row>
    <row r="48" spans="2:30" x14ac:dyDescent="0.25">
      <c r="B48" s="1" t="s">
        <v>34</v>
      </c>
      <c r="F48" s="2">
        <v>0</v>
      </c>
      <c r="G48" s="2">
        <v>0</v>
      </c>
      <c r="H48" s="2">
        <v>0</v>
      </c>
      <c r="I48" s="2">
        <v>0</v>
      </c>
      <c r="J48" s="2">
        <v>0</v>
      </c>
      <c r="K48" s="2">
        <v>1253</v>
      </c>
      <c r="L48" s="2"/>
    </row>
    <row r="49" spans="2:30" x14ac:dyDescent="0.25">
      <c r="B49" s="1" t="s">
        <v>35</v>
      </c>
      <c r="F49" s="2">
        <v>273</v>
      </c>
      <c r="G49" s="2">
        <v>415</v>
      </c>
      <c r="H49" s="2">
        <v>419</v>
      </c>
      <c r="I49" s="2">
        <v>432</v>
      </c>
      <c r="J49" s="2">
        <v>572</v>
      </c>
      <c r="K49" s="2">
        <v>801</v>
      </c>
      <c r="L49" s="2"/>
    </row>
    <row r="50" spans="2:30" s="4" customFormat="1" x14ac:dyDescent="0.25">
      <c r="B50" s="4" t="s">
        <v>30</v>
      </c>
      <c r="F50" s="5">
        <v>28655</v>
      </c>
      <c r="G50" s="5">
        <v>27271</v>
      </c>
      <c r="H50" s="5">
        <v>27910</v>
      </c>
      <c r="I50" s="5">
        <v>29263</v>
      </c>
      <c r="J50" s="5">
        <v>29739</v>
      </c>
      <c r="K50" s="5">
        <v>28913</v>
      </c>
      <c r="L50" s="5"/>
      <c r="M50" s="24"/>
      <c r="AC50" s="1"/>
      <c r="AD50" s="1"/>
    </row>
    <row r="51" spans="2:30" x14ac:dyDescent="0.25">
      <c r="B51" s="1" t="s">
        <v>37</v>
      </c>
      <c r="F51" s="2">
        <v>2390</v>
      </c>
      <c r="G51" s="2">
        <v>2603</v>
      </c>
      <c r="H51" s="2">
        <v>3030</v>
      </c>
      <c r="I51" s="2">
        <v>3597</v>
      </c>
      <c r="J51" s="2">
        <v>3404</v>
      </c>
      <c r="K51" s="2">
        <v>3249</v>
      </c>
      <c r="L51" s="2"/>
    </row>
    <row r="52" spans="2:30" x14ac:dyDescent="0.25">
      <c r="B52" s="1" t="s">
        <v>38</v>
      </c>
      <c r="F52" s="2">
        <v>1731</v>
      </c>
      <c r="G52" s="2">
        <v>1898</v>
      </c>
      <c r="H52" s="2">
        <v>1815</v>
      </c>
      <c r="I52" s="2">
        <v>1990</v>
      </c>
      <c r="J52" s="2">
        <v>2094</v>
      </c>
      <c r="K52" s="2">
        <v>2277</v>
      </c>
      <c r="L52" s="2"/>
      <c r="AC52" s="4"/>
      <c r="AD52" s="4"/>
    </row>
    <row r="53" spans="2:30" x14ac:dyDescent="0.25">
      <c r="B53" s="1" t="s">
        <v>39</v>
      </c>
      <c r="F53" s="2">
        <v>1015</v>
      </c>
      <c r="G53" s="2">
        <v>536</v>
      </c>
      <c r="H53" s="2">
        <v>576</v>
      </c>
      <c r="I53" s="2">
        <v>570</v>
      </c>
      <c r="J53" s="2">
        <v>630</v>
      </c>
      <c r="K53" s="2">
        <v>762</v>
      </c>
      <c r="L53" s="2"/>
    </row>
    <row r="54" spans="2:30" x14ac:dyDescent="0.25">
      <c r="B54" s="1" t="s">
        <v>40</v>
      </c>
      <c r="F54" s="2">
        <v>787</v>
      </c>
      <c r="G54" s="2">
        <v>629</v>
      </c>
      <c r="H54" s="2">
        <v>674</v>
      </c>
      <c r="I54" s="2">
        <v>604</v>
      </c>
      <c r="J54" s="2">
        <v>503</v>
      </c>
      <c r="K54" s="2">
        <v>480</v>
      </c>
      <c r="L54" s="2"/>
    </row>
    <row r="55" spans="2:30" x14ac:dyDescent="0.25">
      <c r="B55" s="1" t="s">
        <v>41</v>
      </c>
      <c r="F55" s="2">
        <v>853</v>
      </c>
      <c r="G55" s="2">
        <v>984</v>
      </c>
      <c r="H55" s="2">
        <v>942</v>
      </c>
      <c r="I55" s="2">
        <v>905</v>
      </c>
      <c r="J55" s="2">
        <v>793</v>
      </c>
      <c r="K55" s="2">
        <v>768</v>
      </c>
      <c r="L55" s="2"/>
      <c r="Q55" s="12"/>
      <c r="T55" s="12"/>
      <c r="U55" s="12"/>
      <c r="V55" s="12"/>
      <c r="W55" s="12"/>
      <c r="X55" s="12"/>
      <c r="Y55" s="12"/>
      <c r="Z55" s="12"/>
    </row>
    <row r="56" spans="2:30" x14ac:dyDescent="0.25">
      <c r="B56" s="1" t="s">
        <v>42</v>
      </c>
      <c r="F56" s="2">
        <v>797</v>
      </c>
      <c r="G56" s="2">
        <v>1915</v>
      </c>
      <c r="H56" s="2">
        <v>2021</v>
      </c>
      <c r="I56" s="2">
        <v>2106</v>
      </c>
      <c r="J56" s="2">
        <v>2568</v>
      </c>
      <c r="K56" s="2">
        <v>1706</v>
      </c>
      <c r="L56" s="2"/>
      <c r="Q56" s="2"/>
    </row>
    <row r="57" spans="2:30" x14ac:dyDescent="0.25">
      <c r="B57" s="1" t="s">
        <v>43</v>
      </c>
      <c r="F57" s="2">
        <v>7675</v>
      </c>
      <c r="G57" s="2">
        <v>8650</v>
      </c>
      <c r="H57" s="2">
        <v>9141</v>
      </c>
      <c r="I57" s="2">
        <v>9775</v>
      </c>
      <c r="J57" s="2">
        <v>9992</v>
      </c>
      <c r="K57" s="2">
        <v>9243</v>
      </c>
      <c r="L57" s="2"/>
    </row>
    <row r="58" spans="2:30" x14ac:dyDescent="0.25">
      <c r="B58" s="1" t="s">
        <v>44</v>
      </c>
      <c r="F58" s="2">
        <v>9416</v>
      </c>
      <c r="G58" s="2">
        <v>8761</v>
      </c>
      <c r="H58" s="2">
        <v>9511</v>
      </c>
      <c r="I58" s="2">
        <v>9670</v>
      </c>
      <c r="J58" s="2">
        <v>9403</v>
      </c>
      <c r="K58" s="2">
        <v>9788</v>
      </c>
      <c r="L58" s="2"/>
    </row>
    <row r="59" spans="2:30" x14ac:dyDescent="0.25">
      <c r="B59" s="1" t="s">
        <v>45</v>
      </c>
      <c r="F59" s="2">
        <v>2443</v>
      </c>
      <c r="G59" s="2">
        <v>757</v>
      </c>
      <c r="H59" s="2">
        <v>5607</v>
      </c>
      <c r="I59" s="2">
        <v>2555</v>
      </c>
      <c r="J59" s="2">
        <v>2710</v>
      </c>
      <c r="K59" s="2">
        <v>2475</v>
      </c>
      <c r="L59" s="2"/>
    </row>
    <row r="60" spans="2:30" s="4" customFormat="1" x14ac:dyDescent="0.25">
      <c r="B60" s="4" t="s">
        <v>47</v>
      </c>
      <c r="F60" s="5">
        <v>23023</v>
      </c>
      <c r="G60" s="5">
        <v>21551</v>
      </c>
      <c r="H60" s="5">
        <v>22643</v>
      </c>
      <c r="I60" s="5">
        <v>23409</v>
      </c>
      <c r="J60" s="5">
        <v>23426</v>
      </c>
      <c r="K60" s="5">
        <v>22874</v>
      </c>
      <c r="L60" s="5"/>
      <c r="M60" s="24"/>
      <c r="AC60" s="1"/>
      <c r="AD60" s="1"/>
    </row>
    <row r="61" spans="2:30" x14ac:dyDescent="0.25">
      <c r="B61" s="1" t="s">
        <v>48</v>
      </c>
      <c r="F61" s="2">
        <v>9178</v>
      </c>
      <c r="G61" s="2">
        <v>9419</v>
      </c>
      <c r="H61" s="2">
        <v>9657</v>
      </c>
      <c r="I61" s="2">
        <v>9958</v>
      </c>
      <c r="J61" s="2">
        <v>10249</v>
      </c>
      <c r="K61" s="2">
        <v>10564</v>
      </c>
      <c r="L61" s="2"/>
    </row>
    <row r="62" spans="2:30" x14ac:dyDescent="0.25">
      <c r="B62" s="1" t="s">
        <v>49</v>
      </c>
      <c r="F62" s="2">
        <v>33</v>
      </c>
      <c r="G62" s="2">
        <v>82</v>
      </c>
      <c r="H62" s="2">
        <v>18</v>
      </c>
      <c r="I62" s="2">
        <v>8</v>
      </c>
      <c r="J62" s="2">
        <v>-8</v>
      </c>
      <c r="K62" s="2">
        <v>-35</v>
      </c>
      <c r="L62" s="2"/>
      <c r="AC62" s="4"/>
      <c r="AD62" s="4"/>
    </row>
    <row r="63" spans="2:30" x14ac:dyDescent="0.25">
      <c r="B63" s="1" t="s">
        <v>50</v>
      </c>
      <c r="F63" s="2">
        <v>-4974</v>
      </c>
      <c r="G63" s="2">
        <v>-5051</v>
      </c>
      <c r="H63" s="2">
        <v>-5769</v>
      </c>
      <c r="I63" s="2">
        <v>-5457</v>
      </c>
      <c r="J63" s="2">
        <v>-5317</v>
      </c>
      <c r="K63" s="2">
        <v>-5923</v>
      </c>
      <c r="L63" s="2"/>
    </row>
    <row r="64" spans="2:30" s="4" customFormat="1" x14ac:dyDescent="0.25">
      <c r="B64" s="4" t="s">
        <v>3</v>
      </c>
      <c r="F64" s="5">
        <v>4237</v>
      </c>
      <c r="G64" s="5">
        <v>4451</v>
      </c>
      <c r="H64" s="5">
        <v>3906</v>
      </c>
      <c r="I64" s="5">
        <v>4508</v>
      </c>
      <c r="J64" s="5">
        <v>4923</v>
      </c>
      <c r="K64" s="5">
        <v>4606</v>
      </c>
      <c r="L64" s="5"/>
      <c r="M64" s="24"/>
      <c r="AC64" s="1"/>
      <c r="AD64" s="1"/>
    </row>
    <row r="65" spans="2:30" x14ac:dyDescent="0.25">
      <c r="B65" s="1" t="s">
        <v>46</v>
      </c>
      <c r="F65" s="2">
        <f>997+397</f>
        <v>1394</v>
      </c>
      <c r="G65" s="2">
        <f>863+406</f>
        <v>1269</v>
      </c>
      <c r="H65" s="2">
        <f>821+539</f>
        <v>1360</v>
      </c>
      <c r="I65" s="2">
        <f>793+551</f>
        <v>1344</v>
      </c>
      <c r="J65" s="2">
        <f>834+556</f>
        <v>1390</v>
      </c>
      <c r="K65" s="2">
        <f>862+570</f>
        <v>1432</v>
      </c>
      <c r="L65" s="2"/>
    </row>
    <row r="66" spans="2:30" x14ac:dyDescent="0.25">
      <c r="AC66" s="4"/>
      <c r="AD66" s="4"/>
    </row>
    <row r="67" spans="2:30" x14ac:dyDescent="0.25">
      <c r="B67" s="1" t="s">
        <v>26</v>
      </c>
      <c r="G67" s="12">
        <f>G23</f>
        <v>-783</v>
      </c>
      <c r="H67" s="12">
        <f>H23</f>
        <v>-675</v>
      </c>
      <c r="I67" s="12">
        <f>I23</f>
        <v>27</v>
      </c>
      <c r="J67" s="12">
        <f>J23</f>
        <v>368</v>
      </c>
      <c r="K67" s="12">
        <f>K23</f>
        <v>-666.8</v>
      </c>
      <c r="Q67" s="12">
        <f t="shared" ref="Q67:R67" si="89">Q23</f>
        <v>-774</v>
      </c>
      <c r="R67" s="12">
        <f t="shared" si="89"/>
        <v>-2241</v>
      </c>
      <c r="S67" s="12">
        <f>S23</f>
        <v>-1063</v>
      </c>
    </row>
    <row r="68" spans="2:30" s="4" customFormat="1" x14ac:dyDescent="0.25">
      <c r="B68" s="4" t="s">
        <v>65</v>
      </c>
      <c r="G68" s="26">
        <v>-398</v>
      </c>
      <c r="H68" s="26"/>
      <c r="I68" s="26">
        <v>863</v>
      </c>
      <c r="J68" s="26"/>
      <c r="K68" s="26">
        <v>-640</v>
      </c>
      <c r="L68" s="5"/>
      <c r="M68" s="24"/>
      <c r="Q68" s="26">
        <v>-123.82899999999999</v>
      </c>
      <c r="R68" s="26">
        <v>-60.654000000000003</v>
      </c>
      <c r="S68" s="26">
        <v>2097.8020000000001</v>
      </c>
    </row>
    <row r="69" spans="2:30" x14ac:dyDescent="0.25">
      <c r="B69" s="1" t="s">
        <v>57</v>
      </c>
      <c r="G69" s="12">
        <v>416</v>
      </c>
      <c r="H69" s="12"/>
      <c r="I69" s="12">
        <v>1404</v>
      </c>
      <c r="J69" s="12"/>
      <c r="K69" s="12">
        <v>468</v>
      </c>
      <c r="Q69" s="12">
        <v>947.09900000000005</v>
      </c>
      <c r="R69" s="12">
        <v>1636.0029999999999</v>
      </c>
      <c r="S69" s="12">
        <v>1901</v>
      </c>
    </row>
    <row r="70" spans="2:30" x14ac:dyDescent="0.25">
      <c r="B70" s="1" t="s">
        <v>58</v>
      </c>
      <c r="G70" s="12">
        <v>142</v>
      </c>
      <c r="H70" s="12"/>
      <c r="I70" s="12">
        <v>544</v>
      </c>
      <c r="J70" s="12"/>
      <c r="K70" s="12">
        <v>208</v>
      </c>
      <c r="Q70" s="12">
        <v>334.22500000000002</v>
      </c>
      <c r="R70" s="12">
        <v>466.76</v>
      </c>
      <c r="S70" s="12">
        <v>749.024</v>
      </c>
    </row>
    <row r="71" spans="2:30" x14ac:dyDescent="0.25">
      <c r="B71" s="1" t="s">
        <v>59</v>
      </c>
      <c r="G71" s="12">
        <v>19</v>
      </c>
      <c r="H71" s="12"/>
      <c r="I71" s="12">
        <v>30</v>
      </c>
      <c r="J71" s="12"/>
      <c r="K71" s="12">
        <v>81</v>
      </c>
      <c r="Q71" s="12">
        <v>65.52</v>
      </c>
      <c r="R71" s="12">
        <v>131.66499999999999</v>
      </c>
      <c r="S71" s="12">
        <v>85.272000000000006</v>
      </c>
    </row>
    <row r="72" spans="2:30" x14ac:dyDescent="0.25">
      <c r="B72" s="1" t="s">
        <v>60</v>
      </c>
      <c r="G72" s="12">
        <v>48</v>
      </c>
      <c r="H72" s="12"/>
      <c r="I72" s="12">
        <v>-7</v>
      </c>
      <c r="J72" s="12"/>
      <c r="K72" s="12">
        <v>-39</v>
      </c>
      <c r="Q72" s="12">
        <v>-29.183</v>
      </c>
      <c r="R72" s="12">
        <v>52.308999999999997</v>
      </c>
      <c r="S72" s="12">
        <v>-1.5109999999999999</v>
      </c>
    </row>
    <row r="73" spans="2:30" x14ac:dyDescent="0.25">
      <c r="B73" s="1" t="s">
        <v>61</v>
      </c>
      <c r="G73" s="12">
        <v>-4</v>
      </c>
      <c r="H73" s="12"/>
      <c r="I73" s="12">
        <v>22</v>
      </c>
      <c r="J73" s="12"/>
      <c r="K73" s="12">
        <v>116</v>
      </c>
      <c r="Q73" s="12">
        <v>-15.179</v>
      </c>
      <c r="R73" s="12">
        <v>135.23699999999999</v>
      </c>
      <c r="S73" s="12">
        <v>48.506999999999998</v>
      </c>
    </row>
    <row r="74" spans="2:30" x14ac:dyDescent="0.25">
      <c r="B74" s="1" t="s">
        <v>62</v>
      </c>
      <c r="G74" s="12">
        <v>-170</v>
      </c>
      <c r="H74" s="12"/>
      <c r="I74" s="12">
        <v>-686</v>
      </c>
      <c r="J74" s="12"/>
      <c r="K74" s="12">
        <v>-100</v>
      </c>
      <c r="Q74" s="12">
        <v>-216.565</v>
      </c>
      <c r="R74" s="12">
        <v>-24.635000000000002</v>
      </c>
      <c r="S74" s="12">
        <v>-496.73200000000003</v>
      </c>
    </row>
    <row r="75" spans="2:30" x14ac:dyDescent="0.25">
      <c r="B75" s="1" t="s">
        <v>63</v>
      </c>
      <c r="G75" s="12">
        <v>322</v>
      </c>
      <c r="H75" s="12"/>
      <c r="I75" s="12">
        <v>-1111</v>
      </c>
      <c r="J75" s="12"/>
      <c r="K75" s="12">
        <v>-809</v>
      </c>
      <c r="Q75" s="12">
        <v>-632.86699999999996</v>
      </c>
      <c r="R75" s="12">
        <v>-178.85</v>
      </c>
      <c r="S75" s="12">
        <v>-1023.264</v>
      </c>
    </row>
    <row r="76" spans="2:30" x14ac:dyDescent="0.25">
      <c r="B76" s="1" t="s">
        <v>2</v>
      </c>
      <c r="G76" s="12">
        <v>50</v>
      </c>
      <c r="H76" s="12"/>
      <c r="I76" s="12">
        <v>-32</v>
      </c>
      <c r="J76" s="12"/>
      <c r="K76" s="12">
        <v>-46</v>
      </c>
      <c r="Q76" s="12">
        <v>56.805999999999997</v>
      </c>
      <c r="R76" s="12">
        <v>-72.084000000000003</v>
      </c>
      <c r="S76" s="12">
        <v>-82.125</v>
      </c>
    </row>
    <row r="77" spans="2:30" x14ac:dyDescent="0.25">
      <c r="B77" s="1" t="s">
        <v>64</v>
      </c>
      <c r="G77" s="12">
        <v>318</v>
      </c>
      <c r="H77" s="12"/>
      <c r="I77" s="12">
        <v>1628</v>
      </c>
      <c r="J77" s="12"/>
      <c r="K77" s="12">
        <v>28</v>
      </c>
      <c r="Q77" s="12">
        <v>750.64</v>
      </c>
      <c r="R77" s="12">
        <v>388.20600000000002</v>
      </c>
      <c r="S77" s="12">
        <v>1722.85</v>
      </c>
    </row>
    <row r="78" spans="2:30" x14ac:dyDescent="0.25">
      <c r="B78" s="1" t="s">
        <v>39</v>
      </c>
      <c r="G78" s="12">
        <v>46</v>
      </c>
      <c r="H78" s="12"/>
      <c r="I78" s="12">
        <v>284</v>
      </c>
      <c r="J78" s="12"/>
      <c r="K78" s="12">
        <v>318</v>
      </c>
      <c r="Q78" s="12">
        <v>362.96199999999999</v>
      </c>
      <c r="R78" s="12">
        <v>468.90199999999999</v>
      </c>
      <c r="S78" s="12">
        <v>406.661</v>
      </c>
    </row>
    <row r="79" spans="2:30" ht="3" customHeight="1" x14ac:dyDescent="0.25">
      <c r="G79" s="12"/>
      <c r="H79" s="12"/>
      <c r="I79" s="12"/>
      <c r="J79" s="12"/>
      <c r="K79" s="12"/>
      <c r="Q79" s="12"/>
      <c r="R79" s="12"/>
      <c r="S79" s="12"/>
    </row>
    <row r="80" spans="2:30" x14ac:dyDescent="0.25">
      <c r="B80" s="1" t="s">
        <v>41</v>
      </c>
      <c r="G80" s="12">
        <v>67</v>
      </c>
      <c r="H80" s="12"/>
      <c r="I80" s="12">
        <v>9</v>
      </c>
      <c r="J80" s="12"/>
      <c r="K80" s="12">
        <v>-25</v>
      </c>
      <c r="Q80" s="12">
        <v>388.36099999999999</v>
      </c>
      <c r="R80" s="12">
        <v>170.02699999999999</v>
      </c>
      <c r="S80" s="12">
        <v>-96.685000000000002</v>
      </c>
    </row>
    <row r="81" spans="2:30" x14ac:dyDescent="0.25">
      <c r="B81" s="1" t="s">
        <v>66</v>
      </c>
      <c r="G81" s="12"/>
      <c r="H81" s="12"/>
      <c r="I81" s="12"/>
      <c r="J81" s="12"/>
      <c r="K81" s="12"/>
      <c r="Q81" s="12"/>
      <c r="R81" s="12"/>
      <c r="S81" s="12"/>
    </row>
    <row r="82" spans="2:30" s="4" customFormat="1" x14ac:dyDescent="0.25">
      <c r="B82" s="4" t="s">
        <v>67</v>
      </c>
      <c r="G82" s="26">
        <f>-656-73</f>
        <v>-729</v>
      </c>
      <c r="H82" s="26"/>
      <c r="I82" s="26">
        <f>-1776-190-7</f>
        <v>-1973</v>
      </c>
      <c r="J82" s="26"/>
      <c r="K82" s="26">
        <f>-280-25-0.7</f>
        <v>-305.7</v>
      </c>
      <c r="M82" s="24"/>
      <c r="Q82" s="26">
        <f>-1280.802-159.669</f>
        <v>-1440.471</v>
      </c>
      <c r="R82" s="26">
        <f>-3414.814-666.54</f>
        <v>-4081.3539999999998</v>
      </c>
      <c r="S82" s="26">
        <f>-2100-218.792</f>
        <v>-2318.7919999999999</v>
      </c>
      <c r="AC82" s="1"/>
      <c r="AD82" s="1"/>
    </row>
    <row r="83" spans="2:30" ht="2.4" customHeight="1" x14ac:dyDescent="0.25">
      <c r="G83" s="12"/>
      <c r="H83" s="12"/>
      <c r="I83" s="12"/>
      <c r="J83" s="12"/>
      <c r="K83" s="12"/>
      <c r="Q83" s="12"/>
      <c r="R83" s="12"/>
      <c r="S83" s="12"/>
    </row>
    <row r="84" spans="2:30" x14ac:dyDescent="0.25">
      <c r="B84" s="1" t="s">
        <v>68</v>
      </c>
      <c r="G84" s="12">
        <v>371</v>
      </c>
      <c r="H84" s="12"/>
      <c r="I84" s="12">
        <v>686</v>
      </c>
      <c r="J84" s="12"/>
      <c r="K84" s="12">
        <v>-653</v>
      </c>
      <c r="Q84" s="12">
        <v>3743.9760000000001</v>
      </c>
      <c r="R84" s="12">
        <v>4414.8639999999996</v>
      </c>
      <c r="S84" s="12">
        <v>573.755</v>
      </c>
      <c r="AC84" s="4"/>
      <c r="AD84" s="4"/>
    </row>
    <row r="85" spans="2:30" x14ac:dyDescent="0.25">
      <c r="B85" s="1" t="s">
        <v>116</v>
      </c>
      <c r="G85" s="12"/>
      <c r="H85" s="12"/>
      <c r="I85" s="12"/>
      <c r="J85" s="12"/>
      <c r="K85" s="12"/>
      <c r="Q85" s="12">
        <v>1701.7734</v>
      </c>
      <c r="R85" s="12">
        <v>400.17500000000001</v>
      </c>
      <c r="S85" s="12"/>
      <c r="AC85" s="4"/>
      <c r="AD85" s="4"/>
    </row>
    <row r="86" spans="2:30" x14ac:dyDescent="0.25">
      <c r="B86" s="1" t="s">
        <v>69</v>
      </c>
      <c r="G86" s="12">
        <v>1775</v>
      </c>
      <c r="H86" s="12"/>
      <c r="I86" s="12">
        <v>3947</v>
      </c>
      <c r="J86" s="12"/>
      <c r="K86" s="12">
        <v>1494</v>
      </c>
      <c r="Q86" s="12">
        <v>2852.9639999999999</v>
      </c>
      <c r="R86" s="12">
        <v>7138.0550000000003</v>
      </c>
      <c r="S86" s="12">
        <v>6176.1729999999998</v>
      </c>
    </row>
    <row r="87" spans="2:30" x14ac:dyDescent="0.25">
      <c r="B87" s="1" t="s">
        <v>70</v>
      </c>
      <c r="G87" s="12">
        <v>-1389</v>
      </c>
      <c r="H87" s="12"/>
      <c r="I87" s="12">
        <v>-3111</v>
      </c>
      <c r="J87" s="12"/>
      <c r="K87" s="12">
        <v>-1970</v>
      </c>
      <c r="Q87" s="12">
        <v>-1857.5940000000001</v>
      </c>
      <c r="R87" s="12">
        <f>-3995.484-165</f>
        <v>-4160.4840000000004</v>
      </c>
      <c r="S87" s="12">
        <f>-5247.057-100</f>
        <v>-5347.0569999999998</v>
      </c>
    </row>
    <row r="88" spans="2:30" x14ac:dyDescent="0.25">
      <c r="B88" s="1" t="s">
        <v>73</v>
      </c>
      <c r="G88" s="12">
        <f>-87-19</f>
        <v>-106</v>
      </c>
      <c r="H88" s="12"/>
      <c r="I88" s="12">
        <v>-343</v>
      </c>
      <c r="J88" s="12"/>
      <c r="K88" s="12">
        <f>-134-67</f>
        <v>-201</v>
      </c>
      <c r="Q88" s="12">
        <v>769.70899999999995</v>
      </c>
      <c r="R88" s="12">
        <v>511.32100000000003</v>
      </c>
      <c r="S88" s="12">
        <v>-559.16700000000003</v>
      </c>
    </row>
    <row r="89" spans="2:30" ht="2.4" customHeight="1" x14ac:dyDescent="0.25">
      <c r="G89" s="12"/>
      <c r="H89" s="12"/>
      <c r="I89" s="12"/>
      <c r="J89" s="12"/>
      <c r="K89" s="12"/>
      <c r="Q89" s="12"/>
      <c r="R89" s="12"/>
      <c r="S89" s="12"/>
    </row>
    <row r="90" spans="2:30" x14ac:dyDescent="0.25">
      <c r="B90" s="9" t="s">
        <v>117</v>
      </c>
      <c r="G90" s="12">
        <v>-745</v>
      </c>
      <c r="H90" s="12"/>
      <c r="I90" s="12">
        <v>-442</v>
      </c>
      <c r="J90" s="12"/>
      <c r="K90" s="12">
        <v>-1596</v>
      </c>
      <c r="Q90" s="12">
        <v>2532.509</v>
      </c>
      <c r="R90" s="12">
        <v>198.059</v>
      </c>
      <c r="S90" s="12">
        <v>311</v>
      </c>
    </row>
    <row r="91" spans="2:30" x14ac:dyDescent="0.25">
      <c r="G91" s="12"/>
      <c r="H91" s="12"/>
      <c r="I91" s="12"/>
      <c r="J91" s="12"/>
      <c r="K91" s="12"/>
    </row>
    <row r="92" spans="2:30" x14ac:dyDescent="0.25">
      <c r="B92" s="1" t="s">
        <v>111</v>
      </c>
      <c r="G92" s="12">
        <f>+G68+G82</f>
        <v>-1127</v>
      </c>
      <c r="H92" s="12"/>
      <c r="I92" s="12">
        <f>+I68+I82</f>
        <v>-1110</v>
      </c>
      <c r="J92" s="12"/>
      <c r="K92" s="12">
        <f>+K68+K82</f>
        <v>-945.7</v>
      </c>
      <c r="Q92" s="12">
        <f t="shared" ref="Q92:R92" si="90">+Q68+Q82</f>
        <v>-1564.3</v>
      </c>
      <c r="R92" s="12">
        <f t="shared" si="90"/>
        <v>-4142.0079999999998</v>
      </c>
      <c r="S92" s="12">
        <f>+S68+S82</f>
        <v>-220.98999999999978</v>
      </c>
    </row>
    <row r="93" spans="2:30" s="4" customFormat="1" x14ac:dyDescent="0.25">
      <c r="B93" s="4" t="s">
        <v>112</v>
      </c>
      <c r="G93" s="26">
        <f>+G92-G70</f>
        <v>-1269</v>
      </c>
      <c r="H93" s="26"/>
      <c r="I93" s="26">
        <f>+I92-I70</f>
        <v>-1654</v>
      </c>
      <c r="J93" s="26"/>
      <c r="K93" s="26">
        <f>+K92-K70</f>
        <v>-1153.7</v>
      </c>
      <c r="M93" s="24"/>
      <c r="Q93" s="26">
        <f t="shared" ref="Q93:R93" si="91">+Q92-Q70</f>
        <v>-1898.5250000000001</v>
      </c>
      <c r="R93" s="26">
        <f t="shared" si="91"/>
        <v>-4608.768</v>
      </c>
      <c r="S93" s="26">
        <f>+S92-S70</f>
        <v>-970.01399999999978</v>
      </c>
    </row>
  </sheetData>
  <pageMargins left="0.7" right="0.7" top="0.75" bottom="0.75" header="0.3" footer="0.3"/>
  <pageSetup paperSize="9" orientation="portrait" r:id="rId1"/>
  <ignoredErrors>
    <ignoredError sqref="R5:S7 R3:S3" formulaRange="1"/>
  </ignoredError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1E66-B771-455A-B8A7-BFA75F6F2F54}">
  <dimension ref="B1:G29"/>
  <sheetViews>
    <sheetView workbookViewId="0">
      <selection activeCell="D22" sqref="D22"/>
    </sheetView>
  </sheetViews>
  <sheetFormatPr defaultRowHeight="14.4" x14ac:dyDescent="0.3"/>
  <cols>
    <col min="1" max="1" width="1.77734375" customWidth="1"/>
    <col min="2" max="2" width="32.44140625" customWidth="1"/>
    <col min="3" max="3" width="11.109375" bestFit="1" customWidth="1"/>
    <col min="4" max="5" width="12.109375" bestFit="1" customWidth="1"/>
    <col min="6" max="6" width="8.88671875" customWidth="1"/>
    <col min="7" max="7" width="0.77734375" customWidth="1"/>
  </cols>
  <sheetData>
    <row r="1" spans="2:7" ht="6" customHeight="1" x14ac:dyDescent="0.3"/>
    <row r="2" spans="2:7" x14ac:dyDescent="0.3">
      <c r="B2" t="s">
        <v>153</v>
      </c>
      <c r="C2" t="s">
        <v>118</v>
      </c>
      <c r="D2" s="36" t="s">
        <v>119</v>
      </c>
      <c r="E2" t="s">
        <v>120</v>
      </c>
    </row>
    <row r="3" spans="2:7" x14ac:dyDescent="0.3">
      <c r="B3" t="s">
        <v>122</v>
      </c>
      <c r="C3" s="38">
        <v>1380000</v>
      </c>
      <c r="D3" s="37">
        <v>1.2500000000000001E-2</v>
      </c>
      <c r="E3" s="35">
        <v>44256</v>
      </c>
      <c r="G3" s="34">
        <f>D3</f>
        <v>1.2500000000000001E-2</v>
      </c>
    </row>
    <row r="4" spans="2:7" x14ac:dyDescent="0.3">
      <c r="B4" t="s">
        <v>121</v>
      </c>
      <c r="C4" s="38">
        <v>977500</v>
      </c>
      <c r="D4" s="37">
        <v>2.375E-2</v>
      </c>
      <c r="E4" s="35">
        <v>44621</v>
      </c>
      <c r="G4" s="34">
        <f>D4</f>
        <v>2.375E-2</v>
      </c>
    </row>
    <row r="5" spans="2:7" x14ac:dyDescent="0.3">
      <c r="B5" t="s">
        <v>123</v>
      </c>
      <c r="C5" s="38">
        <v>1800000</v>
      </c>
      <c r="D5" s="37">
        <v>5.2999999999999999E-2</v>
      </c>
      <c r="E5" s="35">
        <v>45870</v>
      </c>
      <c r="G5" s="34">
        <f>D5</f>
        <v>5.2999999999999999E-2</v>
      </c>
    </row>
    <row r="6" spans="2:7" x14ac:dyDescent="0.3">
      <c r="B6" t="s">
        <v>124</v>
      </c>
      <c r="C6" s="38">
        <v>1856000</v>
      </c>
      <c r="D6" s="36" t="s">
        <v>125</v>
      </c>
      <c r="E6" s="35">
        <v>44531</v>
      </c>
      <c r="G6" s="41">
        <v>0.04</v>
      </c>
    </row>
    <row r="7" spans="2:7" x14ac:dyDescent="0.3">
      <c r="B7" t="s">
        <v>126</v>
      </c>
      <c r="C7" s="38">
        <v>75498</v>
      </c>
      <c r="D7" s="36" t="s">
        <v>127</v>
      </c>
      <c r="E7" s="35">
        <v>44531</v>
      </c>
      <c r="G7" s="34">
        <v>3.2500000000000001E-2</v>
      </c>
    </row>
    <row r="8" spans="2:7" x14ac:dyDescent="0.3">
      <c r="B8" t="s">
        <v>121</v>
      </c>
      <c r="C8" s="38">
        <v>565992</v>
      </c>
      <c r="D8" s="37">
        <v>1.6250000000000001E-2</v>
      </c>
      <c r="E8" s="35">
        <v>43770</v>
      </c>
      <c r="G8" s="34">
        <f>D8</f>
        <v>1.6250000000000001E-2</v>
      </c>
    </row>
    <row r="9" spans="2:7" x14ac:dyDescent="0.3">
      <c r="B9" t="s">
        <v>128</v>
      </c>
      <c r="C9" s="38">
        <v>103000</v>
      </c>
      <c r="D9" s="37">
        <v>0</v>
      </c>
      <c r="E9" s="35">
        <v>44166</v>
      </c>
      <c r="G9" s="34">
        <f>D9</f>
        <v>0</v>
      </c>
    </row>
    <row r="10" spans="2:7" x14ac:dyDescent="0.3">
      <c r="B10" t="s">
        <v>129</v>
      </c>
      <c r="C10" s="38">
        <v>24313</v>
      </c>
      <c r="D10" s="36" t="s">
        <v>130</v>
      </c>
      <c r="E10" s="35">
        <v>47849</v>
      </c>
      <c r="G10" s="34">
        <v>4.3999999999999997E-2</v>
      </c>
    </row>
    <row r="11" spans="2:7" x14ac:dyDescent="0.3">
      <c r="C11" s="38"/>
      <c r="D11" s="36"/>
    </row>
    <row r="12" spans="2:7" x14ac:dyDescent="0.3">
      <c r="B12" t="s">
        <v>131</v>
      </c>
      <c r="C12" s="38">
        <v>174243</v>
      </c>
      <c r="D12" s="36" t="s">
        <v>132</v>
      </c>
      <c r="E12" s="35">
        <v>44075</v>
      </c>
      <c r="G12" s="34">
        <v>4.0500000000000001E-2</v>
      </c>
    </row>
    <row r="13" spans="2:7" x14ac:dyDescent="0.3">
      <c r="B13" t="s">
        <v>133</v>
      </c>
      <c r="C13" s="38">
        <v>64894</v>
      </c>
      <c r="D13" s="36" t="s">
        <v>134</v>
      </c>
      <c r="E13" s="35">
        <v>43770</v>
      </c>
      <c r="G13" s="34">
        <v>4.7500000000000001E-2</v>
      </c>
    </row>
    <row r="14" spans="2:7" x14ac:dyDescent="0.3">
      <c r="B14" t="s">
        <v>135</v>
      </c>
      <c r="C14" s="38">
        <v>164798</v>
      </c>
      <c r="D14" s="37">
        <v>6.0999999999999999E-2</v>
      </c>
      <c r="E14" s="35">
        <v>43556</v>
      </c>
      <c r="G14" s="34">
        <f>D14</f>
        <v>6.0999999999999999E-2</v>
      </c>
    </row>
    <row r="15" spans="2:7" x14ac:dyDescent="0.3">
      <c r="B15" t="s">
        <v>136</v>
      </c>
      <c r="C15" s="38">
        <v>166805</v>
      </c>
      <c r="D15" s="37">
        <v>6.3E-2</v>
      </c>
      <c r="E15" s="35">
        <v>44197</v>
      </c>
      <c r="G15" s="34">
        <f>D15</f>
        <v>6.3E-2</v>
      </c>
    </row>
    <row r="16" spans="2:7" x14ac:dyDescent="0.3">
      <c r="B16" t="s">
        <v>137</v>
      </c>
      <c r="C16" s="38">
        <v>11172</v>
      </c>
      <c r="D16" s="37">
        <v>3.9E-2</v>
      </c>
      <c r="E16" s="35">
        <v>43891</v>
      </c>
      <c r="G16" s="34">
        <f>D16</f>
        <v>3.9E-2</v>
      </c>
    </row>
    <row r="17" spans="2:7" x14ac:dyDescent="0.3">
      <c r="B17" t="s">
        <v>138</v>
      </c>
      <c r="C17" s="38">
        <v>462931</v>
      </c>
      <c r="D17" s="36" t="s">
        <v>139</v>
      </c>
      <c r="E17" s="35">
        <v>49310</v>
      </c>
      <c r="G17" s="34">
        <v>5.5500000000000001E-2</v>
      </c>
    </row>
    <row r="18" spans="2:7" x14ac:dyDescent="0.3">
      <c r="B18" t="s">
        <v>140</v>
      </c>
      <c r="C18" s="38">
        <v>1202253</v>
      </c>
      <c r="D18" s="36" t="s">
        <v>141</v>
      </c>
      <c r="E18" s="35">
        <v>54089</v>
      </c>
      <c r="G18" s="34">
        <v>5.8500000000000003E-2</v>
      </c>
    </row>
    <row r="19" spans="2:7" x14ac:dyDescent="0.3">
      <c r="B19" t="s">
        <v>142</v>
      </c>
      <c r="C19" s="38">
        <v>196924</v>
      </c>
      <c r="D19" s="36" t="s">
        <v>143</v>
      </c>
      <c r="E19" s="35">
        <v>54667</v>
      </c>
      <c r="G19" s="34">
        <v>6.1499999999999999E-2</v>
      </c>
    </row>
    <row r="20" spans="2:7" x14ac:dyDescent="0.3">
      <c r="B20" t="s">
        <v>147</v>
      </c>
      <c r="C20" s="38">
        <v>1062750</v>
      </c>
      <c r="D20" s="36" t="s">
        <v>144</v>
      </c>
      <c r="E20" s="35">
        <v>44713</v>
      </c>
      <c r="G20" s="34">
        <v>5.0999999999999997E-2</v>
      </c>
    </row>
    <row r="21" spans="2:7" x14ac:dyDescent="0.3">
      <c r="B21" t="s">
        <v>145</v>
      </c>
      <c r="C21" s="38">
        <v>36438</v>
      </c>
      <c r="D21" s="36" t="s">
        <v>146</v>
      </c>
      <c r="E21" s="35">
        <v>44378</v>
      </c>
      <c r="G21" s="34">
        <v>6.3E-2</v>
      </c>
    </row>
    <row r="22" spans="2:7" s="39" customFormat="1" x14ac:dyDescent="0.3">
      <c r="B22" s="39" t="s">
        <v>156</v>
      </c>
      <c r="C22" s="40">
        <f>SUM(C3:C21)</f>
        <v>10325511</v>
      </c>
      <c r="D22" s="42">
        <f>AVERAGE(G3:G21)</f>
        <v>4.2361111111111106E-2</v>
      </c>
    </row>
    <row r="25" spans="2:7" x14ac:dyDescent="0.3">
      <c r="B25" t="s">
        <v>148</v>
      </c>
    </row>
    <row r="26" spans="2:7" x14ac:dyDescent="0.3">
      <c r="B26" t="s">
        <v>149</v>
      </c>
    </row>
    <row r="27" spans="2:7" x14ac:dyDescent="0.3">
      <c r="B27" t="s">
        <v>150</v>
      </c>
    </row>
    <row r="28" spans="2:7" x14ac:dyDescent="0.3">
      <c r="B28" t="s">
        <v>151</v>
      </c>
    </row>
    <row r="29" spans="2:7" x14ac:dyDescent="0.3">
      <c r="B29" t="s">
        <v>152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63FE4-1326-4694-958C-3E479202178D}">
  <dimension ref="B2:G14"/>
  <sheetViews>
    <sheetView workbookViewId="0">
      <selection activeCell="C10" sqref="C10"/>
    </sheetView>
  </sheetViews>
  <sheetFormatPr defaultRowHeight="14.4" x14ac:dyDescent="0.3"/>
  <cols>
    <col min="2" max="2" width="24.88671875" bestFit="1" customWidth="1"/>
    <col min="5" max="5" width="15.33203125" bestFit="1" customWidth="1"/>
    <col min="6" max="6" width="13.109375" bestFit="1" customWidth="1"/>
  </cols>
  <sheetData>
    <row r="2" spans="2:7" x14ac:dyDescent="0.3">
      <c r="B2" t="s">
        <v>106</v>
      </c>
      <c r="E2" s="14" t="s">
        <v>80</v>
      </c>
      <c r="F2" s="14" t="s">
        <v>81</v>
      </c>
      <c r="G2" s="12">
        <v>343439</v>
      </c>
    </row>
    <row r="3" spans="2:7" x14ac:dyDescent="0.3">
      <c r="B3" t="s">
        <v>107</v>
      </c>
      <c r="E3" s="1"/>
      <c r="F3" s="14" t="s">
        <v>82</v>
      </c>
      <c r="G3" s="12">
        <v>325760</v>
      </c>
    </row>
    <row r="4" spans="2:7" x14ac:dyDescent="0.3">
      <c r="B4" t="s">
        <v>108</v>
      </c>
      <c r="E4" s="1"/>
      <c r="F4" s="14" t="s">
        <v>83</v>
      </c>
      <c r="G4" s="12">
        <v>303732</v>
      </c>
    </row>
    <row r="5" spans="2:7" x14ac:dyDescent="0.3">
      <c r="E5" s="1"/>
      <c r="F5" s="14" t="s">
        <v>84</v>
      </c>
      <c r="G5" s="12">
        <v>291071</v>
      </c>
    </row>
    <row r="6" spans="2:7" x14ac:dyDescent="0.3">
      <c r="E6" s="1"/>
      <c r="F6" s="14" t="s">
        <v>85</v>
      </c>
      <c r="G6" s="12">
        <v>139730</v>
      </c>
    </row>
    <row r="7" spans="2:7" x14ac:dyDescent="0.3">
      <c r="E7" s="1"/>
      <c r="F7" s="1"/>
      <c r="G7" s="1"/>
    </row>
    <row r="9" spans="2:7" x14ac:dyDescent="0.3">
      <c r="B9" t="s">
        <v>148</v>
      </c>
      <c r="C9" t="s">
        <v>155</v>
      </c>
    </row>
    <row r="10" spans="2:7" x14ac:dyDescent="0.3">
      <c r="B10" t="s">
        <v>149</v>
      </c>
      <c r="C10" s="38">
        <v>2329.569</v>
      </c>
    </row>
    <row r="11" spans="2:7" x14ac:dyDescent="0.3">
      <c r="B11" t="s">
        <v>150</v>
      </c>
      <c r="C11" s="38">
        <v>779.41300000000001</v>
      </c>
    </row>
    <row r="12" spans="2:7" x14ac:dyDescent="0.3">
      <c r="B12" t="s">
        <v>151</v>
      </c>
      <c r="C12" s="38">
        <v>416.06</v>
      </c>
    </row>
    <row r="13" spans="2:7" x14ac:dyDescent="0.3">
      <c r="B13" t="s">
        <v>154</v>
      </c>
      <c r="C13" s="38">
        <v>113.351</v>
      </c>
    </row>
    <row r="14" spans="2:7" x14ac:dyDescent="0.3">
      <c r="B14" t="s">
        <v>152</v>
      </c>
      <c r="C14" s="38">
        <v>903.07100000000003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4</vt:i4>
      </vt:variant>
    </vt:vector>
  </HeadingPairs>
  <TitlesOfParts>
    <vt:vector size="4" baseType="lpstr">
      <vt:lpstr>Main</vt:lpstr>
      <vt:lpstr>Model</vt:lpstr>
      <vt:lpstr>Debt</vt:lpstr>
      <vt:lpstr>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Kuchar</dc:creator>
  <cp:lastModifiedBy>Vaclav Kuchar</cp:lastModifiedBy>
  <cp:lastPrinted>2019-05-27T05:44:46Z</cp:lastPrinted>
  <dcterms:created xsi:type="dcterms:W3CDTF">2019-01-01T13:13:53Z</dcterms:created>
  <dcterms:modified xsi:type="dcterms:W3CDTF">2019-06-12T16:02:56Z</dcterms:modified>
</cp:coreProperties>
</file>