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Projects\SUAI_homework\3_semester\Теорвер\"/>
    </mc:Choice>
  </mc:AlternateContent>
  <xr:revisionPtr revIDLastSave="0" documentId="13_ncr:1_{288375F0-C123-4E0F-B621-C7D640C5E839}" xr6:coauthVersionLast="47" xr6:coauthVersionMax="47" xr10:uidLastSave="{00000000-0000-0000-0000-000000000000}"/>
  <bookViews>
    <workbookView xWindow="-4575" yWindow="2985" windowWidth="13875" windowHeight="16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M27" i="1"/>
  <c r="M26" i="1"/>
  <c r="Q3" i="1"/>
  <c r="Q10" i="1"/>
  <c r="Q9" i="1"/>
  <c r="Q8" i="1"/>
  <c r="Q7" i="1"/>
  <c r="Q6" i="1"/>
  <c r="Q5" i="1"/>
  <c r="Q4" i="1"/>
  <c r="C2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T27" i="1" l="1"/>
  <c r="T28" i="1" s="1"/>
  <c r="Q28" i="1"/>
  <c r="T26" i="1" s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3" i="1"/>
  <c r="I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G4" i="1"/>
  <c r="E22" i="1"/>
  <c r="E21" i="1"/>
  <c r="F21" i="1" s="1"/>
  <c r="E20" i="1"/>
  <c r="F20" i="1" s="1"/>
  <c r="E19" i="1"/>
  <c r="F19" i="1" s="1"/>
  <c r="E18" i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E7" i="1"/>
  <c r="F7" i="1" s="1"/>
  <c r="E6" i="1"/>
  <c r="F6" i="1" s="1"/>
  <c r="E5" i="1"/>
  <c r="F5" i="1" s="1"/>
  <c r="E4" i="1"/>
  <c r="F4" i="1" s="1"/>
  <c r="E3" i="1"/>
  <c r="F3" i="1" s="1"/>
  <c r="C23" i="1"/>
  <c r="L3" i="1"/>
  <c r="N3" i="1" l="1"/>
  <c r="L34" i="1"/>
  <c r="N34" i="1" l="1"/>
  <c r="L35" i="1" s="1"/>
  <c r="R3" i="1"/>
  <c r="L4" i="1"/>
  <c r="O3" i="1"/>
  <c r="N4" i="1"/>
  <c r="R4" i="1" s="1"/>
  <c r="N35" i="1" l="1"/>
  <c r="P3" i="1"/>
  <c r="V4" i="1"/>
  <c r="O33" i="1"/>
  <c r="V3" i="1"/>
  <c r="U3" i="1"/>
  <c r="S3" i="1"/>
  <c r="L5" i="1"/>
  <c r="O4" i="1"/>
  <c r="P4" i="1" s="1"/>
  <c r="U4" i="1" s="1"/>
  <c r="L36" i="1" l="1"/>
  <c r="N36" i="1" s="1"/>
  <c r="S4" i="1"/>
  <c r="N5" i="1"/>
  <c r="O5" i="1" s="1"/>
  <c r="P5" i="1" s="1"/>
  <c r="L37" i="1" l="1"/>
  <c r="N37" i="1" s="1"/>
  <c r="L38" i="1" s="1"/>
  <c r="L6" i="1"/>
  <c r="O34" i="1" l="1"/>
  <c r="R5" i="1"/>
  <c r="S5" i="1"/>
  <c r="V5" i="1"/>
  <c r="U5" i="1"/>
  <c r="N6" i="1"/>
  <c r="O6" i="1" s="1"/>
  <c r="P6" i="1" s="1"/>
  <c r="L7" i="1" l="1"/>
  <c r="N7" i="1" s="1"/>
  <c r="O7" i="1" l="1"/>
  <c r="P7" i="1" s="1"/>
  <c r="L8" i="1"/>
  <c r="N8" i="1" s="1"/>
  <c r="R7" i="1"/>
  <c r="S6" i="1"/>
  <c r="R6" i="1"/>
  <c r="O35" i="1"/>
  <c r="U6" i="1"/>
  <c r="V6" i="1"/>
  <c r="U7" i="1" l="1"/>
  <c r="O36" i="1"/>
  <c r="R8" i="1"/>
  <c r="S7" i="1"/>
  <c r="V7" i="1"/>
  <c r="L9" i="1"/>
  <c r="O8" i="1"/>
  <c r="P8" i="1" s="1"/>
  <c r="V8" i="1" l="1"/>
  <c r="O37" i="1"/>
  <c r="N9" i="1"/>
  <c r="L10" i="1" s="1"/>
  <c r="S8" i="1"/>
  <c r="U8" i="1"/>
  <c r="O9" i="1"/>
  <c r="P9" i="1" s="1"/>
  <c r="N10" i="1" l="1"/>
  <c r="O10" i="1" s="1"/>
  <c r="P10" i="1" s="1"/>
  <c r="U9" i="1" l="1"/>
  <c r="R9" i="1"/>
  <c r="S9" i="1"/>
  <c r="V9" i="1"/>
  <c r="R10" i="1"/>
  <c r="R11" i="1" l="1"/>
  <c r="U10" i="1"/>
  <c r="O38" i="1"/>
  <c r="V10" i="1"/>
  <c r="S10" i="1"/>
  <c r="Q11" i="1"/>
  <c r="R30" i="1" l="1"/>
  <c r="T30" i="1"/>
  <c r="O39" i="1"/>
  <c r="S11" i="1"/>
  <c r="M28" i="1" s="1"/>
  <c r="U11" i="1"/>
  <c r="Q26" i="1" l="1"/>
  <c r="N30" i="1" s="1"/>
  <c r="Q27" i="1" l="1"/>
  <c r="N29" i="1" s="1"/>
  <c r="R29" i="1" s="1"/>
  <c r="Q40" i="1"/>
  <c r="Q41" i="1" s="1"/>
  <c r="W7" i="1" l="1"/>
  <c r="W6" i="1"/>
  <c r="T29" i="1"/>
  <c r="W3" i="1"/>
  <c r="X3" i="1" s="1"/>
  <c r="Y3" i="1" s="1"/>
  <c r="X7" i="1"/>
  <c r="Y7" i="1" s="1"/>
  <c r="X6" i="1"/>
  <c r="Y6" i="1" s="1"/>
  <c r="W10" i="1"/>
  <c r="X10" i="1" s="1"/>
  <c r="W9" i="1"/>
  <c r="W8" i="1"/>
  <c r="W5" i="1"/>
  <c r="W4" i="1"/>
  <c r="X4" i="1" s="1"/>
  <c r="Y4" i="1" s="1"/>
  <c r="P35" i="1" l="1"/>
  <c r="Q35" i="1" s="1"/>
  <c r="P36" i="1"/>
  <c r="Q36" i="1" s="1"/>
  <c r="X9" i="1"/>
  <c r="Y9" i="1" s="1"/>
  <c r="X5" i="1"/>
  <c r="Y5" i="1" s="1"/>
  <c r="P34" i="1" s="1"/>
  <c r="X8" i="1"/>
  <c r="Y8" i="1" s="1"/>
  <c r="P33" i="1"/>
  <c r="Q33" i="1" s="1"/>
  <c r="Y10" i="1"/>
  <c r="P38" i="1" l="1"/>
  <c r="Q38" i="1" s="1"/>
  <c r="P37" i="1"/>
  <c r="Q37" i="1" s="1"/>
  <c r="Q34" i="1"/>
  <c r="Y11" i="1"/>
  <c r="Q39" i="1" l="1"/>
  <c r="Q31" i="1" s="1"/>
  <c r="P39" i="1"/>
</calcChain>
</file>

<file path=xl/sharedStrings.xml><?xml version="1.0" encoding="utf-8"?>
<sst xmlns="http://schemas.openxmlformats.org/spreadsheetml/2006/main" count="64" uniqueCount="42">
  <si>
    <t>Массив данных</t>
  </si>
  <si>
    <t>Столбец 1</t>
  </si>
  <si>
    <t>Столбец 2</t>
  </si>
  <si>
    <t>Столбец 3</t>
  </si>
  <si>
    <t>Массив данных с рангами</t>
  </si>
  <si>
    <t>Размах выборки:</t>
  </si>
  <si>
    <t>Длина интервала:</t>
  </si>
  <si>
    <t>-</t>
  </si>
  <si>
    <t>Интервальный вариационный ряд</t>
  </si>
  <si>
    <t>Интервал</t>
  </si>
  <si>
    <t>Сумма:</t>
  </si>
  <si>
    <t>Мода:</t>
  </si>
  <si>
    <t>Накопление частот</t>
  </si>
  <si>
    <t>Медиана:</t>
  </si>
  <si>
    <t>Средняя:</t>
  </si>
  <si>
    <t>Дисперсия:</t>
  </si>
  <si>
    <t>СКО:</t>
  </si>
  <si>
    <t>n</t>
  </si>
  <si>
    <t>x</t>
  </si>
  <si>
    <t>x*n</t>
  </si>
  <si>
    <t>(x^2)*n</t>
  </si>
  <si>
    <t>z</t>
  </si>
  <si>
    <t>f(z)</t>
  </si>
  <si>
    <t>n'</t>
  </si>
  <si>
    <t>x^2</t>
  </si>
  <si>
    <t>Ряд после объединения интервалов</t>
  </si>
  <si>
    <t>Степень свободы k:</t>
  </si>
  <si>
    <t>xи-квадрат</t>
  </si>
  <si>
    <t>Ф(t):</t>
  </si>
  <si>
    <t>Надёжность:</t>
  </si>
  <si>
    <t>Уровень значимости:</t>
  </si>
  <si>
    <t>t:</t>
  </si>
  <si>
    <t xml:space="preserve">Точность оценки: </t>
  </si>
  <si>
    <t xml:space="preserve">Доверительный интервал с известной дисперсией: </t>
  </si>
  <si>
    <r>
      <t xml:space="preserve">&lt;   </t>
    </r>
    <r>
      <rPr>
        <sz val="12"/>
        <color theme="1"/>
        <rFont val="Calibri"/>
        <family val="2"/>
      </rPr>
      <t xml:space="preserve">α   </t>
    </r>
    <r>
      <rPr>
        <sz val="12"/>
        <color theme="1"/>
        <rFont val="Calibri"/>
        <family val="2"/>
        <scheme val="minor"/>
      </rPr>
      <t>&lt;</t>
    </r>
  </si>
  <si>
    <t xml:space="preserve">Доверительный интервал с неизвестной дисперсией: </t>
  </si>
  <si>
    <t>w</t>
  </si>
  <si>
    <t>(-∞)</t>
  </si>
  <si>
    <t>(+∞)</t>
  </si>
  <si>
    <t>Исправленная дисперсия</t>
  </si>
  <si>
    <t>Исправленная дисперсия:</t>
  </si>
  <si>
    <t>хи-квадрат: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</si>
</sst>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  <charset val="204"/>
      <scheme val="maj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mbria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DDBF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2" borderId="26" xfId="0" applyFill="1" applyBorder="1"/>
    <xf numFmtId="0" fontId="0" fillId="2" borderId="19" xfId="0" applyFill="1" applyBorder="1" applyAlignment="1">
      <alignment horizontal="left"/>
    </xf>
    <xf numFmtId="2" fontId="0" fillId="0" borderId="10" xfId="0" applyNumberFormat="1" applyBorder="1" applyAlignment="1">
      <alignment horizontal="right" indent="1"/>
    </xf>
    <xf numFmtId="0" fontId="0" fillId="3" borderId="4" xfId="0" applyFill="1" applyBorder="1" applyAlignment="1">
      <alignment horizontal="left"/>
    </xf>
    <xf numFmtId="164" fontId="0" fillId="0" borderId="37" xfId="0" applyNumberFormat="1" applyBorder="1" applyAlignment="1">
      <alignment horizontal="right" indent="1"/>
    </xf>
    <xf numFmtId="0" fontId="0" fillId="2" borderId="30" xfId="0" applyFill="1" applyBorder="1"/>
    <xf numFmtId="0" fontId="0" fillId="2" borderId="38" xfId="0" applyFill="1" applyBorder="1" applyAlignment="1">
      <alignment horizontal="left"/>
    </xf>
    <xf numFmtId="2" fontId="0" fillId="0" borderId="39" xfId="0" applyNumberFormat="1" applyBorder="1" applyAlignment="1">
      <alignment horizontal="right" indent="1"/>
    </xf>
    <xf numFmtId="165" fontId="0" fillId="0" borderId="39" xfId="0" applyNumberFormat="1" applyBorder="1" applyAlignment="1">
      <alignment horizontal="right" indent="1"/>
    </xf>
    <xf numFmtId="165" fontId="0" fillId="0" borderId="10" xfId="0" applyNumberFormat="1" applyBorder="1" applyAlignment="1">
      <alignment horizontal="right" indent="1"/>
    </xf>
    <xf numFmtId="165" fontId="0" fillId="0" borderId="37" xfId="0" applyNumberFormat="1" applyBorder="1" applyAlignment="1">
      <alignment horizontal="right" indent="1"/>
    </xf>
    <xf numFmtId="164" fontId="0" fillId="0" borderId="40" xfId="0" applyNumberFormat="1" applyBorder="1" applyAlignment="1">
      <alignment horizontal="right" indent="1"/>
    </xf>
    <xf numFmtId="0" fontId="0" fillId="0" borderId="20" xfId="0" applyBorder="1" applyAlignment="1">
      <alignment horizontal="right" indent="1"/>
    </xf>
    <xf numFmtId="0" fontId="0" fillId="2" borderId="31" xfId="0" applyFill="1" applyBorder="1"/>
    <xf numFmtId="0" fontId="0" fillId="2" borderId="34" xfId="0" applyFill="1" applyBorder="1" applyAlignment="1">
      <alignment horizontal="left"/>
    </xf>
    <xf numFmtId="2" fontId="0" fillId="0" borderId="21" xfId="0" applyNumberFormat="1" applyBorder="1" applyAlignment="1">
      <alignment horizontal="right" indent="1"/>
    </xf>
    <xf numFmtId="2" fontId="0" fillId="0" borderId="41" xfId="0" applyNumberFormat="1" applyBorder="1" applyAlignment="1">
      <alignment horizontal="right" indent="1"/>
    </xf>
    <xf numFmtId="164" fontId="0" fillId="0" borderId="17" xfId="0" applyNumberFormat="1" applyBorder="1" applyAlignment="1">
      <alignment horizontal="right" indent="1"/>
    </xf>
    <xf numFmtId="165" fontId="0" fillId="0" borderId="41" xfId="0" applyNumberFormat="1" applyBorder="1" applyAlignment="1">
      <alignment horizontal="right" indent="1"/>
    </xf>
    <xf numFmtId="165" fontId="0" fillId="0" borderId="17" xfId="0" applyNumberFormat="1" applyBorder="1" applyAlignment="1">
      <alignment horizontal="right" indent="1"/>
    </xf>
    <xf numFmtId="2" fontId="0" fillId="0" borderId="37" xfId="0" applyNumberFormat="1" applyBorder="1" applyAlignment="1">
      <alignment horizontal="right" indent="1"/>
    </xf>
    <xf numFmtId="2" fontId="0" fillId="0" borderId="15" xfId="0" applyNumberFormat="1" applyBorder="1" applyAlignment="1">
      <alignment horizontal="right" indent="1"/>
    </xf>
    <xf numFmtId="2" fontId="0" fillId="0" borderId="18" xfId="0" applyNumberFormat="1" applyBorder="1" applyAlignment="1">
      <alignment horizontal="right" indent="1"/>
    </xf>
    <xf numFmtId="0" fontId="0" fillId="2" borderId="36" xfId="0" applyFill="1" applyBorder="1" applyAlignment="1">
      <alignment horizontal="left"/>
    </xf>
    <xf numFmtId="0" fontId="0" fillId="2" borderId="27" xfId="0" applyFill="1" applyBorder="1" applyAlignment="1">
      <alignment horizontal="left"/>
    </xf>
    <xf numFmtId="0" fontId="0" fillId="0" borderId="14" xfId="0" applyBorder="1" applyAlignment="1">
      <alignment horizontal="right" indent="1"/>
    </xf>
    <xf numFmtId="0" fontId="0" fillId="0" borderId="16" xfId="0" applyBorder="1" applyAlignment="1">
      <alignment horizontal="right" indent="1"/>
    </xf>
    <xf numFmtId="2" fontId="0" fillId="0" borderId="17" xfId="0" applyNumberFormat="1" applyBorder="1" applyAlignment="1">
      <alignment horizontal="right" indent="1"/>
    </xf>
    <xf numFmtId="0" fontId="0" fillId="3" borderId="43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2" borderId="3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0" borderId="3" xfId="0" applyBorder="1"/>
    <xf numFmtId="0" fontId="4" fillId="2" borderId="30" xfId="0" applyFont="1" applyFill="1" applyBorder="1" applyAlignment="1">
      <alignment horizontal="right"/>
    </xf>
    <xf numFmtId="0" fontId="4" fillId="2" borderId="32" xfId="0" applyFont="1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2" fontId="0" fillId="8" borderId="49" xfId="0" applyNumberFormat="1" applyFill="1" applyBorder="1" applyAlignment="1">
      <alignment horizontal="right" indent="1"/>
    </xf>
    <xf numFmtId="0" fontId="0" fillId="2" borderId="26" xfId="0" applyFill="1" applyBorder="1" applyAlignment="1">
      <alignment horizontal="right"/>
    </xf>
    <xf numFmtId="0" fontId="0" fillId="2" borderId="24" xfId="0" applyFill="1" applyBorder="1" applyAlignment="1">
      <alignment horizontal="right"/>
    </xf>
    <xf numFmtId="0" fontId="0" fillId="8" borderId="36" xfId="0" applyFill="1" applyBorder="1" applyAlignment="1">
      <alignment horizontal="right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0" fontId="0" fillId="2" borderId="31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0" fillId="2" borderId="44" xfId="0" applyFill="1" applyBorder="1" applyAlignment="1">
      <alignment horizontal="right"/>
    </xf>
    <xf numFmtId="0" fontId="0" fillId="2" borderId="45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37" xfId="0" applyFill="1" applyBorder="1" applyAlignment="1">
      <alignment horizontal="right" indent="1"/>
    </xf>
    <xf numFmtId="0" fontId="0" fillId="0" borderId="2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0" borderId="6" xfId="0" applyFill="1" applyBorder="1" applyAlignment="1">
      <alignment horizontal="right"/>
    </xf>
    <xf numFmtId="0" fontId="0" fillId="10" borderId="7" xfId="0" applyFill="1" applyBorder="1" applyAlignment="1">
      <alignment horizontal="right"/>
    </xf>
    <xf numFmtId="0" fontId="0" fillId="10" borderId="35" xfId="0" applyFill="1" applyBorder="1" applyAlignment="1">
      <alignment horizontal="right" indent="1"/>
    </xf>
    <xf numFmtId="2" fontId="0" fillId="10" borderId="41" xfId="0" applyNumberFormat="1" applyFill="1" applyBorder="1" applyAlignment="1">
      <alignment horizontal="right" indent="1"/>
    </xf>
    <xf numFmtId="0" fontId="0" fillId="0" borderId="10" xfId="0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1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164" fontId="0" fillId="10" borderId="46" xfId="0" applyNumberFormat="1" applyFill="1" applyBorder="1" applyAlignment="1">
      <alignment horizontal="center"/>
    </xf>
    <xf numFmtId="164" fontId="0" fillId="10" borderId="9" xfId="0" applyNumberFormat="1" applyFill="1" applyBorder="1" applyAlignment="1">
      <alignment horizontal="center"/>
    </xf>
    <xf numFmtId="164" fontId="0" fillId="10" borderId="3" xfId="0" applyNumberFormat="1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41" xfId="0" applyFill="1" applyBorder="1" applyAlignment="1">
      <alignment horizontal="right" indent="1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9" xfId="0" applyFill="1" applyBorder="1" applyAlignment="1">
      <alignment horizontal="right" indent="1"/>
    </xf>
    <xf numFmtId="2" fontId="0" fillId="10" borderId="12" xfId="0" applyNumberFormat="1" applyFill="1" applyBorder="1" applyAlignment="1">
      <alignment horizontal="right" indent="1"/>
    </xf>
    <xf numFmtId="2" fontId="0" fillId="10" borderId="4" xfId="0" applyNumberFormat="1" applyFill="1" applyBorder="1" applyAlignment="1">
      <alignment horizontal="right" indent="1"/>
    </xf>
    <xf numFmtId="164" fontId="0" fillId="2" borderId="25" xfId="0" applyNumberFormat="1" applyFill="1" applyBorder="1" applyAlignment="1">
      <alignment horizontal="left"/>
    </xf>
    <xf numFmtId="164" fontId="0" fillId="2" borderId="33" xfId="0" applyNumberFormat="1" applyFill="1" applyBorder="1" applyAlignment="1">
      <alignment horizontal="left"/>
    </xf>
    <xf numFmtId="164" fontId="0" fillId="2" borderId="38" xfId="0" applyNumberFormat="1" applyFill="1" applyBorder="1" applyAlignment="1">
      <alignment horizontal="left"/>
    </xf>
    <xf numFmtId="0" fontId="0" fillId="2" borderId="47" xfId="0" applyFill="1" applyBorder="1" applyAlignment="1">
      <alignment horizontal="right"/>
    </xf>
    <xf numFmtId="164" fontId="0" fillId="2" borderId="43" xfId="0" applyNumberFormat="1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164" fontId="0" fillId="2" borderId="27" xfId="0" applyNumberFormat="1" applyFill="1" applyBorder="1" applyAlignment="1">
      <alignment horizontal="left"/>
    </xf>
    <xf numFmtId="164" fontId="0" fillId="2" borderId="19" xfId="0" applyNumberFormat="1" applyFill="1" applyBorder="1" applyAlignment="1">
      <alignment horizontal="left"/>
    </xf>
    <xf numFmtId="164" fontId="0" fillId="2" borderId="28" xfId="0" applyNumberFormat="1" applyFill="1" applyBorder="1" applyAlignment="1">
      <alignment horizontal="left"/>
    </xf>
    <xf numFmtId="0" fontId="0" fillId="2" borderId="48" xfId="0" applyFill="1" applyBorder="1" applyAlignment="1">
      <alignment horizontal="right"/>
    </xf>
    <xf numFmtId="164" fontId="0" fillId="2" borderId="23" xfId="0" applyNumberFormat="1" applyFill="1" applyBorder="1" applyAlignment="1">
      <alignment horizontal="left"/>
    </xf>
    <xf numFmtId="1" fontId="0" fillId="2" borderId="19" xfId="0" applyNumberFormat="1" applyFill="1" applyBorder="1" applyAlignment="1">
      <alignment horizontal="left"/>
    </xf>
    <xf numFmtId="2" fontId="0" fillId="2" borderId="22" xfId="0" applyNumberFormat="1" applyFill="1" applyBorder="1" applyAlignment="1">
      <alignment horizontal="left"/>
    </xf>
    <xf numFmtId="0" fontId="0" fillId="2" borderId="5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164" fontId="0" fillId="2" borderId="52" xfId="0" applyNumberFormat="1" applyFill="1" applyBorder="1" applyAlignment="1">
      <alignment horizontal="left"/>
    </xf>
    <xf numFmtId="164" fontId="0" fillId="2" borderId="27" xfId="0" applyNumberFormat="1" applyFill="1" applyBorder="1" applyAlignment="1">
      <alignment horizontal="left"/>
    </xf>
    <xf numFmtId="164" fontId="2" fillId="2" borderId="27" xfId="0" applyNumberFormat="1" applyFont="1" applyFill="1" applyBorder="1" applyAlignment="1">
      <alignment horizontal="center"/>
    </xf>
    <xf numFmtId="164" fontId="0" fillId="2" borderId="23" xfId="0" applyNumberFormat="1" applyFill="1" applyBorder="1" applyAlignment="1">
      <alignment horizontal="left" indent="1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164" fontId="0" fillId="2" borderId="19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164" fontId="0" fillId="2" borderId="3" xfId="0" applyNumberForma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left" indent="1"/>
    </xf>
  </cellXfs>
  <cellStyles count="1">
    <cellStyle name="Обычный" xfId="0" builtinId="0"/>
  </cellStyles>
  <dxfs count="1">
    <dxf>
      <fill>
        <patternFill>
          <bgColor rgb="FF92D05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DD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40-419F-B787-6E0B2EB9202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40-419F-B787-6E0B2EB9202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440-419F-B787-6E0B2EB9202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440-419F-B787-6E0B2EB9202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440-419F-B787-6E0B2EB9202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440-419F-B787-6E0B2EB9202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440-419F-B787-6E0B2EB9202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440-419F-B787-6E0B2EB920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Sheet1!$O$3:$O$10</c:f>
              <c:numCache>
                <c:formatCode>0.00</c:formatCode>
                <c:ptCount val="8"/>
                <c:pt idx="0">
                  <c:v>538.25</c:v>
                </c:pt>
                <c:pt idx="1">
                  <c:v>544.75</c:v>
                </c:pt>
                <c:pt idx="2">
                  <c:v>551.25</c:v>
                </c:pt>
                <c:pt idx="3">
                  <c:v>557.75</c:v>
                </c:pt>
                <c:pt idx="4">
                  <c:v>564.25</c:v>
                </c:pt>
                <c:pt idx="5">
                  <c:v>570.75</c:v>
                </c:pt>
                <c:pt idx="6">
                  <c:v>577.25</c:v>
                </c:pt>
                <c:pt idx="7">
                  <c:v>583.75</c:v>
                </c:pt>
              </c:numCache>
            </c:numRef>
          </c:cat>
          <c:val>
            <c:numRef>
              <c:f>Sheet1!$Q$3:$Q$10</c:f>
              <c:numCache>
                <c:formatCode>General</c:formatCode>
                <c:ptCount val="8"/>
                <c:pt idx="0">
                  <c:v>3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F-493A-8E6F-120662EF08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932079"/>
        <c:axId val="396913359"/>
      </c:barChart>
      <c:catAx>
        <c:axId val="39693207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913359"/>
        <c:crosses val="autoZero"/>
        <c:auto val="1"/>
        <c:lblAlgn val="ctr"/>
        <c:lblOffset val="100"/>
        <c:noMultiLvlLbl val="0"/>
      </c:catAx>
      <c:valAx>
        <c:axId val="3969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93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Sheet1!$O$3:$O$10</c:f>
              <c:numCache>
                <c:formatCode>0.00</c:formatCode>
                <c:ptCount val="8"/>
                <c:pt idx="0">
                  <c:v>538.25</c:v>
                </c:pt>
                <c:pt idx="1">
                  <c:v>544.75</c:v>
                </c:pt>
                <c:pt idx="2">
                  <c:v>551.25</c:v>
                </c:pt>
                <c:pt idx="3">
                  <c:v>557.75</c:v>
                </c:pt>
                <c:pt idx="4">
                  <c:v>564.25</c:v>
                </c:pt>
                <c:pt idx="5">
                  <c:v>570.75</c:v>
                </c:pt>
                <c:pt idx="6">
                  <c:v>577.25</c:v>
                </c:pt>
                <c:pt idx="7">
                  <c:v>583.75</c:v>
                </c:pt>
              </c:numCache>
            </c:numRef>
          </c:cat>
          <c:val>
            <c:numRef>
              <c:f>Sheet1!$Q$3:$Q$10</c:f>
              <c:numCache>
                <c:formatCode>General</c:formatCode>
                <c:ptCount val="8"/>
                <c:pt idx="0">
                  <c:v>3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2B5-4458-B66E-51D4F3AB34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932079"/>
        <c:axId val="396913359"/>
      </c:lineChart>
      <c:catAx>
        <c:axId val="396932079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913359"/>
        <c:crosses val="autoZero"/>
        <c:auto val="1"/>
        <c:lblAlgn val="ctr"/>
        <c:lblOffset val="100"/>
        <c:noMultiLvlLbl val="0"/>
      </c:catAx>
      <c:valAx>
        <c:axId val="3969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93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сопоставления теоретических и эмпирических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Эмпирические частоты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Sheet1!$O$3:$O$10</c:f>
              <c:numCache>
                <c:formatCode>0.00</c:formatCode>
                <c:ptCount val="8"/>
                <c:pt idx="0">
                  <c:v>538.25</c:v>
                </c:pt>
                <c:pt idx="1">
                  <c:v>544.75</c:v>
                </c:pt>
                <c:pt idx="2">
                  <c:v>551.25</c:v>
                </c:pt>
                <c:pt idx="3">
                  <c:v>557.75</c:v>
                </c:pt>
                <c:pt idx="4">
                  <c:v>564.25</c:v>
                </c:pt>
                <c:pt idx="5">
                  <c:v>570.75</c:v>
                </c:pt>
                <c:pt idx="6">
                  <c:v>577.25</c:v>
                </c:pt>
                <c:pt idx="7">
                  <c:v>583.75</c:v>
                </c:pt>
              </c:numCache>
            </c:numRef>
          </c:cat>
          <c:val>
            <c:numRef>
              <c:f>Sheet1!$Q$3:$Q$10</c:f>
              <c:numCache>
                <c:formatCode>General</c:formatCode>
                <c:ptCount val="8"/>
                <c:pt idx="0">
                  <c:v>3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5AA-476B-95D2-43B91A7589AD}"/>
            </c:ext>
          </c:extLst>
        </c:ser>
        <c:ser>
          <c:idx val="1"/>
          <c:order val="1"/>
          <c:tx>
            <c:v>Теоретические частоты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Sheet1!$O$3:$O$10</c:f>
              <c:numCache>
                <c:formatCode>0.00</c:formatCode>
                <c:ptCount val="8"/>
                <c:pt idx="0">
                  <c:v>538.25</c:v>
                </c:pt>
                <c:pt idx="1">
                  <c:v>544.75</c:v>
                </c:pt>
                <c:pt idx="2">
                  <c:v>551.25</c:v>
                </c:pt>
                <c:pt idx="3">
                  <c:v>557.75</c:v>
                </c:pt>
                <c:pt idx="4">
                  <c:v>564.25</c:v>
                </c:pt>
                <c:pt idx="5">
                  <c:v>570.75</c:v>
                </c:pt>
                <c:pt idx="6">
                  <c:v>577.25</c:v>
                </c:pt>
                <c:pt idx="7">
                  <c:v>583.75</c:v>
                </c:pt>
              </c:numCache>
            </c:numRef>
          </c:cat>
          <c:val>
            <c:numRef>
              <c:f>Sheet1!$Y$3:$Y$10</c:f>
              <c:numCache>
                <c:formatCode>0.00</c:formatCode>
                <c:ptCount val="8"/>
                <c:pt idx="0">
                  <c:v>3.3850546194568016</c:v>
                </c:pt>
                <c:pt idx="1">
                  <c:v>7.7717311753676981</c:v>
                </c:pt>
                <c:pt idx="2">
                  <c:v>12.52775424951235</c:v>
                </c:pt>
                <c:pt idx="3">
                  <c:v>14.178557450780689</c:v>
                </c:pt>
                <c:pt idx="4">
                  <c:v>11.266635270795099</c:v>
                </c:pt>
                <c:pt idx="5">
                  <c:v>6.2857888704346472</c:v>
                </c:pt>
                <c:pt idx="6">
                  <c:v>2.4622305203105759</c:v>
                </c:pt>
                <c:pt idx="7">
                  <c:v>0.6771751258119233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5AA-476B-95D2-43B91A7589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932079"/>
        <c:axId val="396913359"/>
      </c:lineChart>
      <c:catAx>
        <c:axId val="39693207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913359"/>
        <c:crosses val="autoZero"/>
        <c:auto val="1"/>
        <c:lblAlgn val="ctr"/>
        <c:lblOffset val="100"/>
        <c:noMultiLvlLbl val="0"/>
      </c:catAx>
      <c:valAx>
        <c:axId val="3969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93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11</xdr:row>
      <xdr:rowOff>8283</xdr:rowOff>
    </xdr:from>
    <xdr:to>
      <xdr:col>25</xdr:col>
      <xdr:colOff>4142</xdr:colOff>
      <xdr:row>36</xdr:row>
      <xdr:rowOff>185141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6BA3F56-5754-2DAD-01C4-91AA5E605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</xdr:colOff>
      <xdr:row>11</xdr:row>
      <xdr:rowOff>8283</xdr:rowOff>
    </xdr:from>
    <xdr:to>
      <xdr:col>19</xdr:col>
      <xdr:colOff>712304</xdr:colOff>
      <xdr:row>24</xdr:row>
      <xdr:rowOff>182218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2636F42-58B9-4898-A0A7-9D1712D8C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16566</xdr:colOff>
      <xdr:row>0</xdr:row>
      <xdr:rowOff>0</xdr:rowOff>
    </xdr:from>
    <xdr:to>
      <xdr:col>44</xdr:col>
      <xdr:colOff>538371</xdr:colOff>
      <xdr:row>17</xdr:row>
      <xdr:rowOff>82827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3FE1F72-92C5-4DD5-A0C6-9EDB53CDE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1"/>
  <sheetViews>
    <sheetView tabSelected="1" topLeftCell="J1" zoomScale="85" zoomScaleNormal="85" workbookViewId="0">
      <selection activeCell="Q31" sqref="Q31:T31"/>
    </sheetView>
  </sheetViews>
  <sheetFormatPr defaultRowHeight="15" x14ac:dyDescent="0.25"/>
  <cols>
    <col min="1" max="3" width="10.140625" bestFit="1" customWidth="1"/>
    <col min="11" max="11" width="9.140625" customWidth="1"/>
    <col min="12" max="12" width="24.28515625" customWidth="1"/>
    <col min="13" max="13" width="3.85546875" customWidth="1"/>
    <col min="14" max="14" width="13.140625" customWidth="1"/>
    <col min="15" max="15" width="16.140625" customWidth="1"/>
    <col min="16" max="16" width="20.85546875" customWidth="1"/>
    <col min="17" max="17" width="13.5703125" customWidth="1"/>
    <col min="18" max="18" width="15.140625" customWidth="1"/>
    <col min="19" max="19" width="9" customWidth="1"/>
    <col min="20" max="20" width="10.85546875" customWidth="1"/>
    <col min="21" max="21" width="15.28515625" bestFit="1" customWidth="1"/>
    <col min="22" max="22" width="18.7109375" bestFit="1" customWidth="1"/>
    <col min="23" max="23" width="11" customWidth="1"/>
    <col min="24" max="24" width="11.28515625" customWidth="1"/>
    <col min="25" max="25" width="11" customWidth="1"/>
    <col min="26" max="27" width="6.7109375" bestFit="1" customWidth="1"/>
    <col min="28" max="28" width="1.7109375" bestFit="1" customWidth="1"/>
    <col min="29" max="30" width="7.85546875" bestFit="1" customWidth="1"/>
    <col min="31" max="31" width="1.7109375" bestFit="1" customWidth="1"/>
    <col min="32" max="33" width="5.5703125" bestFit="1" customWidth="1"/>
    <col min="34" max="34" width="1.7109375" bestFit="1" customWidth="1"/>
    <col min="35" max="36" width="7.85546875" bestFit="1" customWidth="1"/>
    <col min="37" max="37" width="1.7109375" bestFit="1" customWidth="1"/>
    <col min="38" max="39" width="6.7109375" bestFit="1" customWidth="1"/>
    <col min="40" max="40" width="1.7109375" bestFit="1" customWidth="1"/>
    <col min="41" max="42" width="7.85546875" bestFit="1" customWidth="1"/>
    <col min="43" max="43" width="1.7109375" bestFit="1" customWidth="1"/>
    <col min="44" max="44" width="6.42578125" customWidth="1"/>
  </cols>
  <sheetData>
    <row r="1" spans="1:25" ht="15.75" thickBot="1" x14ac:dyDescent="0.3">
      <c r="A1" s="51" t="s">
        <v>0</v>
      </c>
      <c r="B1" s="52"/>
      <c r="C1" s="53"/>
      <c r="E1" s="51" t="s">
        <v>4</v>
      </c>
      <c r="F1" s="52"/>
      <c r="G1" s="52"/>
      <c r="H1" s="52"/>
      <c r="I1" s="52"/>
      <c r="J1" s="53"/>
      <c r="L1" s="45" t="s">
        <v>8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ht="15.75" thickBot="1" x14ac:dyDescent="0.3">
      <c r="A2" s="38" t="s">
        <v>1</v>
      </c>
      <c r="B2" s="38" t="s">
        <v>2</v>
      </c>
      <c r="C2" s="38" t="s">
        <v>3</v>
      </c>
      <c r="E2" s="69" t="s">
        <v>1</v>
      </c>
      <c r="F2" s="70"/>
      <c r="G2" s="69" t="s">
        <v>2</v>
      </c>
      <c r="H2" s="70"/>
      <c r="I2" s="69" t="s">
        <v>3</v>
      </c>
      <c r="J2" s="70"/>
      <c r="L2" s="47" t="s">
        <v>9</v>
      </c>
      <c r="M2" s="48"/>
      <c r="N2" s="49"/>
      <c r="O2" s="39" t="s">
        <v>18</v>
      </c>
      <c r="P2" s="39" t="s">
        <v>24</v>
      </c>
      <c r="Q2" s="39" t="s">
        <v>17</v>
      </c>
      <c r="R2" s="40" t="s">
        <v>36</v>
      </c>
      <c r="S2" s="50" t="s">
        <v>19</v>
      </c>
      <c r="T2" s="49"/>
      <c r="U2" s="39" t="s">
        <v>20</v>
      </c>
      <c r="V2" s="39" t="s">
        <v>12</v>
      </c>
      <c r="W2" s="39" t="s">
        <v>21</v>
      </c>
      <c r="X2" s="39" t="s">
        <v>22</v>
      </c>
      <c r="Y2" s="39" t="s">
        <v>23</v>
      </c>
    </row>
    <row r="3" spans="1:25" x14ac:dyDescent="0.25">
      <c r="A3" s="73">
        <v>555</v>
      </c>
      <c r="B3" s="74">
        <v>559</v>
      </c>
      <c r="C3" s="75">
        <v>567</v>
      </c>
      <c r="E3" s="71">
        <f t="shared" ref="E3:E22" si="0">A3</f>
        <v>555</v>
      </c>
      <c r="F3" s="72">
        <f>_xlfn.RANK.EQ(E3,$A$3:$C$22)</f>
        <v>32</v>
      </c>
      <c r="G3" s="71">
        <f t="shared" ref="G3:G22" si="1">B3</f>
        <v>559</v>
      </c>
      <c r="H3" s="72">
        <f>_xlfn.RANK.EQ(G3,$A$3:$C$22)</f>
        <v>28</v>
      </c>
      <c r="I3" s="71">
        <f t="shared" ref="I3:I22" si="2">C3</f>
        <v>567</v>
      </c>
      <c r="J3" s="72">
        <f>_xlfn.RANK.EQ(I3,$A$3:$C$22)</f>
        <v>11</v>
      </c>
      <c r="L3" s="6">
        <f>MIN(A3:C22)</f>
        <v>535</v>
      </c>
      <c r="M3" s="32" t="s">
        <v>7</v>
      </c>
      <c r="N3" s="7">
        <f t="shared" ref="N3:N10" si="3">L3+$C$24</f>
        <v>541.5</v>
      </c>
      <c r="O3" s="8">
        <f>(N3+L3)/2</f>
        <v>538.25</v>
      </c>
      <c r="P3" s="12">
        <f>O3*O3</f>
        <v>289713.0625</v>
      </c>
      <c r="Q3" s="86">
        <f>COUNTIFS($A$3:$C$22,"&gt;="&amp;L3,$A$3:$C$22,"&lt;="&amp;N3)</f>
        <v>3</v>
      </c>
      <c r="R3" s="87">
        <f t="shared" ref="R3:R10" si="4">Q3/60</f>
        <v>0.05</v>
      </c>
      <c r="S3" s="88">
        <f t="shared" ref="S3:S10" si="5">O3*Q3</f>
        <v>1614.75</v>
      </c>
      <c r="T3" s="88"/>
      <c r="U3" s="87">
        <f t="shared" ref="U3:U10" si="6">P3*Q3</f>
        <v>869139.1875</v>
      </c>
      <c r="V3" s="89">
        <f>SUM(Q$3:Q3)</f>
        <v>3</v>
      </c>
      <c r="W3" s="9">
        <f>(O3-$M$28)/$Q$27</f>
        <v>-1.6948979453323836</v>
      </c>
      <c r="X3" s="9">
        <f>_xlfn.NORM.DIST(W3,0,1,0)</f>
        <v>9.4867124517438492E-2</v>
      </c>
      <c r="Y3" s="8">
        <f>$C$24*$Q$11*X3/$Q$27</f>
        <v>3.3850546194568016</v>
      </c>
    </row>
    <row r="4" spans="1:25" x14ac:dyDescent="0.25">
      <c r="A4" s="76">
        <v>572</v>
      </c>
      <c r="B4" s="77">
        <v>574</v>
      </c>
      <c r="C4" s="78">
        <v>542</v>
      </c>
      <c r="E4" s="71">
        <f t="shared" si="0"/>
        <v>572</v>
      </c>
      <c r="F4" s="72">
        <f t="shared" ref="F4:F21" si="7">_xlfn.RANK.EQ(E4,$A$3:$C$22)</f>
        <v>5</v>
      </c>
      <c r="G4" s="71">
        <f t="shared" si="1"/>
        <v>574</v>
      </c>
      <c r="H4" s="72">
        <f t="shared" ref="H4:H22" si="8">_xlfn.RANK.EQ(G4,$A$3:$C$22)</f>
        <v>4</v>
      </c>
      <c r="I4" s="71">
        <f t="shared" si="2"/>
        <v>542</v>
      </c>
      <c r="J4" s="72">
        <f t="shared" ref="J4:J22" si="9">_xlfn.RANK.EQ(I4,$A$3:$C$22)</f>
        <v>57</v>
      </c>
      <c r="L4" s="1">
        <f>N3</f>
        <v>541.5</v>
      </c>
      <c r="M4" s="33" t="s">
        <v>7</v>
      </c>
      <c r="N4" s="2">
        <f t="shared" si="3"/>
        <v>548</v>
      </c>
      <c r="O4" s="3">
        <f t="shared" ref="O4:O10" si="10">(N4+L4)/2</f>
        <v>544.75</v>
      </c>
      <c r="P4" s="5">
        <f t="shared" ref="P4:P10" si="11">O4*O4</f>
        <v>296752.5625</v>
      </c>
      <c r="Q4" s="86">
        <f>COUNTIFS($A$3:$C$22,"&gt;"&amp;L4,$A$3:$C$22,"&lt;="&amp;N4)</f>
        <v>13</v>
      </c>
      <c r="R4" s="90">
        <f t="shared" si="4"/>
        <v>0.21666666666666667</v>
      </c>
      <c r="S4" s="91">
        <f t="shared" si="5"/>
        <v>7081.75</v>
      </c>
      <c r="T4" s="91"/>
      <c r="U4" s="92">
        <f t="shared" si="6"/>
        <v>3857783.3125</v>
      </c>
      <c r="V4" s="93">
        <f>SUM(Q$3:Q4)</f>
        <v>16</v>
      </c>
      <c r="W4" s="10">
        <f t="shared" ref="W4:W10" si="12">(O4-$M$28)/$Q$27</f>
        <v>-1.1001969118824237</v>
      </c>
      <c r="X4" s="11">
        <f>_xlfn.NORM.DIST(W4,0,1,0)</f>
        <v>0.21780499046954147</v>
      </c>
      <c r="Y4" s="3">
        <f t="shared" ref="Y4:Y10" si="13">$C$24*$Q$11*X4/$Q$27</f>
        <v>7.7717311753676981</v>
      </c>
    </row>
    <row r="5" spans="1:25" x14ac:dyDescent="0.25">
      <c r="A5" s="76">
        <v>543</v>
      </c>
      <c r="B5" s="77">
        <v>565</v>
      </c>
      <c r="C5" s="78">
        <v>568</v>
      </c>
      <c r="E5" s="71">
        <f t="shared" si="0"/>
        <v>543</v>
      </c>
      <c r="F5" s="72">
        <f t="shared" si="7"/>
        <v>54</v>
      </c>
      <c r="G5" s="71">
        <f t="shared" si="1"/>
        <v>565</v>
      </c>
      <c r="H5" s="72">
        <f t="shared" si="8"/>
        <v>15</v>
      </c>
      <c r="I5" s="71">
        <f t="shared" si="2"/>
        <v>568</v>
      </c>
      <c r="J5" s="72">
        <f t="shared" si="9"/>
        <v>9</v>
      </c>
      <c r="L5" s="1">
        <f t="shared" ref="L5:L10" si="14">N4</f>
        <v>548</v>
      </c>
      <c r="M5" s="33" t="s">
        <v>7</v>
      </c>
      <c r="N5" s="2">
        <f t="shared" si="3"/>
        <v>554.5</v>
      </c>
      <c r="O5" s="3">
        <f t="shared" si="10"/>
        <v>551.25</v>
      </c>
      <c r="P5" s="5">
        <f t="shared" si="11"/>
        <v>303876.5625</v>
      </c>
      <c r="Q5" s="86">
        <f>COUNTIFS($A$3:$C$22,"&gt;"&amp;L5,$A$3:$C$22,"&lt;="&amp;N5)</f>
        <v>11</v>
      </c>
      <c r="R5" s="90">
        <f t="shared" si="4"/>
        <v>0.18333333333333332</v>
      </c>
      <c r="S5" s="91">
        <f t="shared" si="5"/>
        <v>6063.75</v>
      </c>
      <c r="T5" s="91"/>
      <c r="U5" s="92">
        <f t="shared" si="6"/>
        <v>3342642.1875</v>
      </c>
      <c r="V5" s="93">
        <f>SUM(Q$3:Q5)</f>
        <v>27</v>
      </c>
      <c r="W5" s="10">
        <f t="shared" si="12"/>
        <v>-0.5054958784324638</v>
      </c>
      <c r="X5" s="11">
        <f t="shared" ref="X5:X10" si="15">_xlfn.NORM.DIST(W5,0,1,0)</f>
        <v>0.35109389830261317</v>
      </c>
      <c r="Y5" s="3">
        <f t="shared" si="13"/>
        <v>12.52775424951235</v>
      </c>
    </row>
    <row r="6" spans="1:25" x14ac:dyDescent="0.25">
      <c r="A6" s="76">
        <v>546</v>
      </c>
      <c r="B6" s="77">
        <v>582</v>
      </c>
      <c r="C6" s="78">
        <v>568</v>
      </c>
      <c r="E6" s="71">
        <f t="shared" si="0"/>
        <v>546</v>
      </c>
      <c r="F6" s="72">
        <f t="shared" si="7"/>
        <v>50</v>
      </c>
      <c r="G6" s="71">
        <f t="shared" si="1"/>
        <v>582</v>
      </c>
      <c r="H6" s="72">
        <f t="shared" si="8"/>
        <v>2</v>
      </c>
      <c r="I6" s="71">
        <f t="shared" si="2"/>
        <v>568</v>
      </c>
      <c r="J6" s="72">
        <f t="shared" si="9"/>
        <v>9</v>
      </c>
      <c r="L6" s="1">
        <f t="shared" si="14"/>
        <v>554.5</v>
      </c>
      <c r="M6" s="33" t="s">
        <v>7</v>
      </c>
      <c r="N6" s="2">
        <f t="shared" si="3"/>
        <v>561</v>
      </c>
      <c r="O6" s="3">
        <f t="shared" si="10"/>
        <v>557.75</v>
      </c>
      <c r="P6" s="5">
        <f t="shared" si="11"/>
        <v>311085.0625</v>
      </c>
      <c r="Q6" s="86">
        <f>COUNTIFS($A$3:$C$22,"&gt;"&amp;L6,$A$3:$C$22,"&lt;="&amp;N6)</f>
        <v>11</v>
      </c>
      <c r="R6" s="90">
        <f t="shared" si="4"/>
        <v>0.18333333333333332</v>
      </c>
      <c r="S6" s="91">
        <f t="shared" si="5"/>
        <v>6135.25</v>
      </c>
      <c r="T6" s="91"/>
      <c r="U6" s="92">
        <f t="shared" si="6"/>
        <v>3421935.6875</v>
      </c>
      <c r="V6" s="93">
        <f>SUM(Q$3:Q6)</f>
        <v>38</v>
      </c>
      <c r="W6" s="10">
        <f t="shared" si="12"/>
        <v>8.9205155017496054E-2</v>
      </c>
      <c r="X6" s="11">
        <f t="shared" si="15"/>
        <v>0.39735813048024349</v>
      </c>
      <c r="Y6" s="3">
        <f t="shared" si="13"/>
        <v>14.178557450780689</v>
      </c>
    </row>
    <row r="7" spans="1:25" x14ac:dyDescent="0.25">
      <c r="A7" s="76">
        <v>562</v>
      </c>
      <c r="B7" s="77">
        <v>558</v>
      </c>
      <c r="C7" s="78">
        <v>545</v>
      </c>
      <c r="E7" s="71">
        <f t="shared" si="0"/>
        <v>562</v>
      </c>
      <c r="F7" s="72">
        <f t="shared" si="7"/>
        <v>18</v>
      </c>
      <c r="G7" s="71">
        <f t="shared" si="1"/>
        <v>558</v>
      </c>
      <c r="H7" s="72">
        <f t="shared" si="8"/>
        <v>29</v>
      </c>
      <c r="I7" s="71">
        <f t="shared" si="2"/>
        <v>545</v>
      </c>
      <c r="J7" s="72">
        <f t="shared" si="9"/>
        <v>51</v>
      </c>
      <c r="L7" s="1">
        <f t="shared" si="14"/>
        <v>561</v>
      </c>
      <c r="M7" s="33" t="s">
        <v>7</v>
      </c>
      <c r="N7" s="2">
        <f t="shared" si="3"/>
        <v>567.5</v>
      </c>
      <c r="O7" s="3">
        <f t="shared" si="10"/>
        <v>564.25</v>
      </c>
      <c r="P7" s="5">
        <f t="shared" si="11"/>
        <v>318378.0625</v>
      </c>
      <c r="Q7" s="86">
        <f>COUNTIFS($A$3:$C$22,"&gt;"&amp;L7,$A$3:$C$22,"&lt;="&amp;N7)</f>
        <v>12</v>
      </c>
      <c r="R7" s="90">
        <f t="shared" si="4"/>
        <v>0.2</v>
      </c>
      <c r="S7" s="91">
        <f t="shared" si="5"/>
        <v>6771</v>
      </c>
      <c r="T7" s="91"/>
      <c r="U7" s="92">
        <f t="shared" si="6"/>
        <v>3820536.75</v>
      </c>
      <c r="V7" s="93">
        <f>SUM(Q$3:Q7)</f>
        <v>50</v>
      </c>
      <c r="W7" s="10">
        <f t="shared" si="12"/>
        <v>0.68390618846745588</v>
      </c>
      <c r="X7" s="11">
        <f t="shared" si="15"/>
        <v>0.31575067799012302</v>
      </c>
      <c r="Y7" s="3">
        <f t="shared" si="13"/>
        <v>11.266635270795099</v>
      </c>
    </row>
    <row r="8" spans="1:25" x14ac:dyDescent="0.25">
      <c r="A8" s="76">
        <v>566</v>
      </c>
      <c r="B8" s="77">
        <v>576</v>
      </c>
      <c r="C8" s="78">
        <v>560</v>
      </c>
      <c r="E8" s="71">
        <f t="shared" si="0"/>
        <v>566</v>
      </c>
      <c r="F8" s="72">
        <v>26</v>
      </c>
      <c r="G8" s="71">
        <f t="shared" si="1"/>
        <v>576</v>
      </c>
      <c r="H8" s="72">
        <f t="shared" si="8"/>
        <v>3</v>
      </c>
      <c r="I8" s="71">
        <f t="shared" si="2"/>
        <v>560</v>
      </c>
      <c r="J8" s="72">
        <f t="shared" si="9"/>
        <v>24</v>
      </c>
      <c r="L8" s="1">
        <f t="shared" si="14"/>
        <v>567.5</v>
      </c>
      <c r="M8" s="33" t="s">
        <v>7</v>
      </c>
      <c r="N8" s="2">
        <f t="shared" si="3"/>
        <v>574</v>
      </c>
      <c r="O8" s="3">
        <f t="shared" si="10"/>
        <v>570.75</v>
      </c>
      <c r="P8" s="5">
        <f t="shared" si="11"/>
        <v>325755.5625</v>
      </c>
      <c r="Q8" s="86">
        <f>COUNTIFS($A$3:$C$22,"&gt;"&amp;L8,$A$3:$C$22,"&lt;="&amp;N8)</f>
        <v>7</v>
      </c>
      <c r="R8" s="90">
        <f t="shared" si="4"/>
        <v>0.11666666666666667</v>
      </c>
      <c r="S8" s="91">
        <f t="shared" si="5"/>
        <v>3995.25</v>
      </c>
      <c r="T8" s="91"/>
      <c r="U8" s="92">
        <f t="shared" si="6"/>
        <v>2280288.9375</v>
      </c>
      <c r="V8" s="93">
        <f>SUM(Q$3:Q8)</f>
        <v>57</v>
      </c>
      <c r="W8" s="10">
        <f t="shared" si="12"/>
        <v>1.2786072219174158</v>
      </c>
      <c r="X8" s="11">
        <f t="shared" si="15"/>
        <v>0.17616103209511672</v>
      </c>
      <c r="Y8" s="3">
        <f t="shared" si="13"/>
        <v>6.2857888704346472</v>
      </c>
    </row>
    <row r="9" spans="1:25" x14ac:dyDescent="0.25">
      <c r="A9" s="76">
        <v>548</v>
      </c>
      <c r="B9" s="77">
        <v>562</v>
      </c>
      <c r="C9" s="78">
        <v>556</v>
      </c>
      <c r="E9" s="71">
        <f t="shared" si="0"/>
        <v>548</v>
      </c>
      <c r="F9" s="72">
        <f t="shared" si="7"/>
        <v>45</v>
      </c>
      <c r="G9" s="71">
        <f t="shared" si="1"/>
        <v>562</v>
      </c>
      <c r="H9" s="72">
        <f t="shared" si="8"/>
        <v>18</v>
      </c>
      <c r="I9" s="71">
        <f t="shared" si="2"/>
        <v>556</v>
      </c>
      <c r="J9" s="72">
        <f t="shared" si="9"/>
        <v>31</v>
      </c>
      <c r="L9" s="1">
        <f t="shared" si="14"/>
        <v>574</v>
      </c>
      <c r="M9" s="33" t="s">
        <v>7</v>
      </c>
      <c r="N9" s="2">
        <f t="shared" si="3"/>
        <v>580.5</v>
      </c>
      <c r="O9" s="3">
        <f t="shared" si="10"/>
        <v>577.25</v>
      </c>
      <c r="P9" s="5">
        <f t="shared" si="11"/>
        <v>333217.5625</v>
      </c>
      <c r="Q9" s="86">
        <f>COUNTIFS($A$3:$C$22,"&gt;"&amp;L9,$A$3:$C$22,"&lt;="&amp;N9)</f>
        <v>1</v>
      </c>
      <c r="R9" s="90">
        <f t="shared" si="4"/>
        <v>1.6666666666666666E-2</v>
      </c>
      <c r="S9" s="91">
        <f t="shared" si="5"/>
        <v>577.25</v>
      </c>
      <c r="T9" s="91"/>
      <c r="U9" s="92">
        <f t="shared" si="6"/>
        <v>333217.5625</v>
      </c>
      <c r="V9" s="93">
        <f>SUM(Q$3:Q9)</f>
        <v>58</v>
      </c>
      <c r="W9" s="10">
        <f t="shared" si="12"/>
        <v>1.8733082553673757</v>
      </c>
      <c r="X9" s="11">
        <f t="shared" si="15"/>
        <v>6.9004715025373517E-2</v>
      </c>
      <c r="Y9" s="3">
        <f t="shared" si="13"/>
        <v>2.4622305203105759</v>
      </c>
    </row>
    <row r="10" spans="1:25" ht="15.75" thickBot="1" x14ac:dyDescent="0.3">
      <c r="A10" s="76">
        <v>563</v>
      </c>
      <c r="B10" s="77">
        <v>552</v>
      </c>
      <c r="C10" s="78">
        <v>562</v>
      </c>
      <c r="E10" s="71">
        <f t="shared" si="0"/>
        <v>563</v>
      </c>
      <c r="F10" s="72">
        <f t="shared" si="7"/>
        <v>17</v>
      </c>
      <c r="G10" s="71">
        <f t="shared" si="1"/>
        <v>552</v>
      </c>
      <c r="H10" s="72">
        <f t="shared" si="8"/>
        <v>36</v>
      </c>
      <c r="I10" s="71">
        <f t="shared" si="2"/>
        <v>562</v>
      </c>
      <c r="J10" s="72">
        <f t="shared" si="9"/>
        <v>18</v>
      </c>
      <c r="L10" s="14">
        <f t="shared" si="14"/>
        <v>580.5</v>
      </c>
      <c r="M10" s="34" t="s">
        <v>7</v>
      </c>
      <c r="N10" s="15">
        <f t="shared" si="3"/>
        <v>587</v>
      </c>
      <c r="O10" s="17">
        <f t="shared" si="10"/>
        <v>583.75</v>
      </c>
      <c r="P10" s="18">
        <f t="shared" si="11"/>
        <v>340764.0625</v>
      </c>
      <c r="Q10" s="94">
        <f>COUNTIFS($A$3:$C$22,"&gt;"&amp;L10,$A$3:$C$22,"&lt;="&amp;N10)</f>
        <v>2</v>
      </c>
      <c r="R10" s="95">
        <f t="shared" si="4"/>
        <v>3.3333333333333333E-2</v>
      </c>
      <c r="S10" s="96">
        <f t="shared" si="5"/>
        <v>1167.5</v>
      </c>
      <c r="T10" s="96"/>
      <c r="U10" s="97">
        <f t="shared" si="6"/>
        <v>681528.125</v>
      </c>
      <c r="V10" s="80">
        <f>SUM(Q$3:Q10)</f>
        <v>60</v>
      </c>
      <c r="W10" s="19">
        <f t="shared" si="12"/>
        <v>2.4680092888173353</v>
      </c>
      <c r="X10" s="20">
        <f t="shared" si="15"/>
        <v>1.8978026709306286E-2</v>
      </c>
      <c r="Y10" s="17">
        <f t="shared" si="13"/>
        <v>0.6771751258119233</v>
      </c>
    </row>
    <row r="11" spans="1:25" ht="15.75" thickBot="1" x14ac:dyDescent="0.3">
      <c r="A11" s="76">
        <v>569</v>
      </c>
      <c r="B11" s="77">
        <v>557</v>
      </c>
      <c r="C11" s="78">
        <v>555</v>
      </c>
      <c r="E11" s="71">
        <f t="shared" si="0"/>
        <v>569</v>
      </c>
      <c r="F11" s="72">
        <f t="shared" si="7"/>
        <v>8</v>
      </c>
      <c r="G11" s="71">
        <f t="shared" si="1"/>
        <v>557</v>
      </c>
      <c r="H11" s="72">
        <f t="shared" si="8"/>
        <v>30</v>
      </c>
      <c r="I11" s="71">
        <f t="shared" si="2"/>
        <v>555</v>
      </c>
      <c r="J11" s="72">
        <f t="shared" si="9"/>
        <v>32</v>
      </c>
      <c r="L11" s="82" t="s">
        <v>10</v>
      </c>
      <c r="M11" s="83"/>
      <c r="N11" s="83"/>
      <c r="O11" s="83"/>
      <c r="P11" s="83"/>
      <c r="Q11" s="98">
        <f>SUM(Q3:Q10)</f>
        <v>60</v>
      </c>
      <c r="R11" s="99">
        <f>SUM(R3:R10)</f>
        <v>1</v>
      </c>
      <c r="S11" s="100">
        <f>SUM(S3:S10)</f>
        <v>33406.5</v>
      </c>
      <c r="T11" s="101"/>
      <c r="U11" s="102">
        <f>SUM(U3:U10)</f>
        <v>18607071.75</v>
      </c>
      <c r="V11" s="103"/>
      <c r="W11" s="104"/>
      <c r="X11" s="84"/>
      <c r="Y11" s="85">
        <f>SUM(Y3:Y10)</f>
        <v>58.554927282469777</v>
      </c>
    </row>
    <row r="12" spans="1:25" ht="15.75" thickBot="1" x14ac:dyDescent="0.3">
      <c r="A12" s="76">
        <v>549</v>
      </c>
      <c r="B12" s="77">
        <v>562</v>
      </c>
      <c r="C12" s="78">
        <v>552</v>
      </c>
      <c r="E12" s="71">
        <f t="shared" si="0"/>
        <v>549</v>
      </c>
      <c r="F12" s="72">
        <f t="shared" si="7"/>
        <v>42</v>
      </c>
      <c r="G12" s="71">
        <f t="shared" si="1"/>
        <v>562</v>
      </c>
      <c r="H12" s="72">
        <f t="shared" si="8"/>
        <v>18</v>
      </c>
      <c r="I12" s="71">
        <f t="shared" si="2"/>
        <v>552</v>
      </c>
      <c r="J12" s="72">
        <f t="shared" si="9"/>
        <v>36</v>
      </c>
      <c r="V12" s="84"/>
      <c r="W12" s="84"/>
      <c r="X12" s="84"/>
    </row>
    <row r="13" spans="1:25" x14ac:dyDescent="0.25">
      <c r="A13" s="76">
        <v>567</v>
      </c>
      <c r="B13" s="77">
        <v>566</v>
      </c>
      <c r="C13" s="78">
        <v>547</v>
      </c>
      <c r="E13" s="71">
        <f t="shared" si="0"/>
        <v>567</v>
      </c>
      <c r="F13" s="72">
        <f t="shared" si="7"/>
        <v>11</v>
      </c>
      <c r="G13" s="71">
        <f t="shared" si="1"/>
        <v>566</v>
      </c>
      <c r="H13" s="72">
        <f t="shared" si="8"/>
        <v>13</v>
      </c>
      <c r="I13" s="71">
        <f t="shared" si="2"/>
        <v>547</v>
      </c>
      <c r="J13" s="72">
        <f t="shared" si="9"/>
        <v>48</v>
      </c>
    </row>
    <row r="14" spans="1:25" x14ac:dyDescent="0.25">
      <c r="A14" s="76">
        <v>550</v>
      </c>
      <c r="B14" s="77">
        <v>552</v>
      </c>
      <c r="C14" s="78">
        <v>571</v>
      </c>
      <c r="E14" s="71">
        <f t="shared" si="0"/>
        <v>550</v>
      </c>
      <c r="F14" s="72">
        <f t="shared" si="7"/>
        <v>41</v>
      </c>
      <c r="G14" s="71">
        <f t="shared" si="1"/>
        <v>552</v>
      </c>
      <c r="H14" s="72">
        <f t="shared" si="8"/>
        <v>36</v>
      </c>
      <c r="I14" s="71">
        <f t="shared" si="2"/>
        <v>571</v>
      </c>
      <c r="J14" s="72">
        <f t="shared" si="9"/>
        <v>7</v>
      </c>
    </row>
    <row r="15" spans="1:25" x14ac:dyDescent="0.25">
      <c r="A15" s="76">
        <v>560</v>
      </c>
      <c r="B15" s="77">
        <v>549</v>
      </c>
      <c r="C15" s="78">
        <v>544</v>
      </c>
      <c r="E15" s="71">
        <f t="shared" si="0"/>
        <v>560</v>
      </c>
      <c r="F15" s="72">
        <f t="shared" si="7"/>
        <v>24</v>
      </c>
      <c r="G15" s="71">
        <f t="shared" si="1"/>
        <v>549</v>
      </c>
      <c r="H15" s="72">
        <f t="shared" si="8"/>
        <v>42</v>
      </c>
      <c r="I15" s="71">
        <f t="shared" si="2"/>
        <v>544</v>
      </c>
      <c r="J15" s="72">
        <f t="shared" si="9"/>
        <v>52</v>
      </c>
    </row>
    <row r="16" spans="1:25" x14ac:dyDescent="0.25">
      <c r="A16" s="76">
        <v>553</v>
      </c>
      <c r="B16" s="77">
        <v>572</v>
      </c>
      <c r="C16" s="78">
        <v>544</v>
      </c>
      <c r="E16" s="71">
        <f t="shared" si="0"/>
        <v>553</v>
      </c>
      <c r="F16" s="72">
        <f t="shared" si="7"/>
        <v>35</v>
      </c>
      <c r="G16" s="71">
        <f t="shared" si="1"/>
        <v>572</v>
      </c>
      <c r="H16" s="72">
        <f t="shared" si="8"/>
        <v>5</v>
      </c>
      <c r="I16" s="71">
        <f t="shared" si="2"/>
        <v>544</v>
      </c>
      <c r="J16" s="72">
        <f t="shared" si="9"/>
        <v>52</v>
      </c>
    </row>
    <row r="17" spans="1:21" x14ac:dyDescent="0.25">
      <c r="A17" s="76">
        <v>564</v>
      </c>
      <c r="B17" s="77">
        <v>538</v>
      </c>
      <c r="C17" s="78">
        <v>552</v>
      </c>
      <c r="E17" s="71">
        <f t="shared" si="0"/>
        <v>564</v>
      </c>
      <c r="F17" s="72">
        <f t="shared" si="7"/>
        <v>16</v>
      </c>
      <c r="G17" s="71">
        <f t="shared" si="1"/>
        <v>538</v>
      </c>
      <c r="H17" s="72">
        <f t="shared" si="8"/>
        <v>58</v>
      </c>
      <c r="I17" s="71">
        <f t="shared" si="2"/>
        <v>552</v>
      </c>
      <c r="J17" s="72">
        <f t="shared" si="9"/>
        <v>36</v>
      </c>
    </row>
    <row r="18" spans="1:21" x14ac:dyDescent="0.25">
      <c r="A18" s="76">
        <v>548</v>
      </c>
      <c r="B18" s="77">
        <v>549</v>
      </c>
      <c r="C18" s="78">
        <v>543</v>
      </c>
      <c r="E18" s="71">
        <f t="shared" si="0"/>
        <v>548</v>
      </c>
      <c r="F18" s="72">
        <v>23</v>
      </c>
      <c r="G18" s="71">
        <f t="shared" si="1"/>
        <v>549</v>
      </c>
      <c r="H18" s="72">
        <f t="shared" si="8"/>
        <v>42</v>
      </c>
      <c r="I18" s="71">
        <f t="shared" si="2"/>
        <v>543</v>
      </c>
      <c r="J18" s="72">
        <f t="shared" si="9"/>
        <v>54</v>
      </c>
    </row>
    <row r="19" spans="1:21" x14ac:dyDescent="0.25">
      <c r="A19" s="76">
        <v>543</v>
      </c>
      <c r="B19" s="77">
        <v>538</v>
      </c>
      <c r="C19" s="78">
        <v>552</v>
      </c>
      <c r="E19" s="71">
        <f t="shared" si="0"/>
        <v>543</v>
      </c>
      <c r="F19" s="72">
        <f t="shared" si="7"/>
        <v>54</v>
      </c>
      <c r="G19" s="71">
        <f t="shared" si="1"/>
        <v>538</v>
      </c>
      <c r="H19" s="72">
        <f t="shared" si="8"/>
        <v>58</v>
      </c>
      <c r="I19" s="71">
        <f t="shared" si="2"/>
        <v>552</v>
      </c>
      <c r="J19" s="72">
        <f t="shared" si="9"/>
        <v>36</v>
      </c>
    </row>
    <row r="20" spans="1:21" x14ac:dyDescent="0.25">
      <c r="A20" s="76">
        <v>561</v>
      </c>
      <c r="B20" s="77">
        <v>547</v>
      </c>
      <c r="C20" s="78">
        <v>587</v>
      </c>
      <c r="E20" s="71">
        <f t="shared" si="0"/>
        <v>561</v>
      </c>
      <c r="F20" s="72">
        <f t="shared" si="7"/>
        <v>23</v>
      </c>
      <c r="G20" s="71">
        <f t="shared" si="1"/>
        <v>547</v>
      </c>
      <c r="H20" s="72">
        <f t="shared" si="8"/>
        <v>48</v>
      </c>
      <c r="I20" s="71">
        <f t="shared" si="2"/>
        <v>587</v>
      </c>
      <c r="J20" s="72">
        <f t="shared" si="9"/>
        <v>1</v>
      </c>
    </row>
    <row r="21" spans="1:21" x14ac:dyDescent="0.25">
      <c r="A21" s="76">
        <v>562</v>
      </c>
      <c r="B21" s="77">
        <v>554</v>
      </c>
      <c r="C21" s="78">
        <v>548</v>
      </c>
      <c r="E21" s="71">
        <f t="shared" si="0"/>
        <v>562</v>
      </c>
      <c r="F21" s="72">
        <f t="shared" si="7"/>
        <v>18</v>
      </c>
      <c r="G21" s="71">
        <f t="shared" si="1"/>
        <v>554</v>
      </c>
      <c r="H21" s="72">
        <f t="shared" si="8"/>
        <v>34</v>
      </c>
      <c r="I21" s="71">
        <f t="shared" si="2"/>
        <v>548</v>
      </c>
      <c r="J21" s="72">
        <f t="shared" si="9"/>
        <v>45</v>
      </c>
    </row>
    <row r="22" spans="1:21" ht="15.75" thickBot="1" x14ac:dyDescent="0.3">
      <c r="A22" s="79">
        <v>560</v>
      </c>
      <c r="B22" s="80">
        <v>560</v>
      </c>
      <c r="C22" s="81">
        <v>535</v>
      </c>
      <c r="E22" s="71">
        <f t="shared" si="0"/>
        <v>560</v>
      </c>
      <c r="F22" s="72">
        <v>52</v>
      </c>
      <c r="G22" s="71">
        <f t="shared" si="1"/>
        <v>560</v>
      </c>
      <c r="H22" s="72">
        <f t="shared" si="8"/>
        <v>24</v>
      </c>
      <c r="I22" s="71">
        <f t="shared" si="2"/>
        <v>535</v>
      </c>
      <c r="J22" s="72">
        <f t="shared" si="9"/>
        <v>60</v>
      </c>
    </row>
    <row r="23" spans="1:21" x14ac:dyDescent="0.25">
      <c r="A23" s="58" t="s">
        <v>5</v>
      </c>
      <c r="B23" s="59"/>
      <c r="C23" s="29">
        <f>MAX(A3:C22)-MIN(A3:C22)</f>
        <v>52</v>
      </c>
    </row>
    <row r="24" spans="1:21" x14ac:dyDescent="0.25">
      <c r="A24" s="60" t="s">
        <v>6</v>
      </c>
      <c r="B24" s="61"/>
      <c r="C24" s="31">
        <f>52/8</f>
        <v>6.5</v>
      </c>
    </row>
    <row r="25" spans="1:21" ht="15.75" thickBot="1" x14ac:dyDescent="0.3">
      <c r="A25" s="54" t="s">
        <v>30</v>
      </c>
      <c r="B25" s="55"/>
      <c r="C25" s="30">
        <v>0.05</v>
      </c>
      <c r="T25" s="35"/>
      <c r="U25" s="35"/>
    </row>
    <row r="26" spans="1:21" ht="15.75" thickBot="1" x14ac:dyDescent="0.3">
      <c r="A26" s="56" t="s">
        <v>29</v>
      </c>
      <c r="B26" s="57"/>
      <c r="C26" s="4">
        <v>0.8</v>
      </c>
      <c r="L26" s="43" t="s">
        <v>11</v>
      </c>
      <c r="M26" s="113">
        <f>L4+(Q4-Q3)/((Q4-Q3)*(Q4-Q5))*$C$24</f>
        <v>544.75</v>
      </c>
      <c r="N26" s="114"/>
      <c r="O26" s="59" t="s">
        <v>15</v>
      </c>
      <c r="P26" s="59"/>
      <c r="Q26" s="115">
        <f>U11/Q11-POWER((S11)/Q11,2)</f>
        <v>119.46187500003725</v>
      </c>
      <c r="R26" s="116" t="s">
        <v>41</v>
      </c>
      <c r="S26" s="59"/>
      <c r="T26" s="117">
        <f>_xlfn.CHISQ.INV.RT($C$25,Q28)</f>
        <v>7.8147279032511792</v>
      </c>
    </row>
    <row r="27" spans="1:21" x14ac:dyDescent="0.25">
      <c r="L27" s="118" t="s">
        <v>13</v>
      </c>
      <c r="M27" s="119">
        <f>L4+((0.5*Q11-V3)/Q4)*C24</f>
        <v>555</v>
      </c>
      <c r="N27" s="120"/>
      <c r="O27" s="55" t="s">
        <v>16</v>
      </c>
      <c r="P27" s="55"/>
      <c r="Q27" s="121">
        <f>SQRT(Q26)</f>
        <v>10.929861618521858</v>
      </c>
      <c r="R27" s="122" t="s">
        <v>28</v>
      </c>
      <c r="S27" s="55"/>
      <c r="T27" s="123">
        <f>$C$26/2</f>
        <v>0.4</v>
      </c>
    </row>
    <row r="28" spans="1:21" x14ac:dyDescent="0.25">
      <c r="L28" s="42" t="s">
        <v>14</v>
      </c>
      <c r="M28" s="119">
        <f>S11/Q11</f>
        <v>556.77499999999998</v>
      </c>
      <c r="N28" s="120"/>
      <c r="O28" s="55" t="s">
        <v>26</v>
      </c>
      <c r="P28" s="55"/>
      <c r="Q28" s="124">
        <f>6-2-1</f>
        <v>3</v>
      </c>
      <c r="R28" s="122" t="s">
        <v>31</v>
      </c>
      <c r="S28" s="55"/>
      <c r="T28" s="125">
        <f>NORMSINV($T$27+0.5)</f>
        <v>1.2815515655446006</v>
      </c>
    </row>
    <row r="29" spans="1:21" ht="15.75" x14ac:dyDescent="0.25">
      <c r="L29" s="126" t="s">
        <v>32</v>
      </c>
      <c r="M29" s="127"/>
      <c r="N29" s="128">
        <f>T28*Q27/SQRT(Q11)</f>
        <v>1.8083193259943826</v>
      </c>
      <c r="O29" s="122" t="s">
        <v>33</v>
      </c>
      <c r="P29" s="55"/>
      <c r="Q29" s="55"/>
      <c r="R29" s="129">
        <f>$M$28-$N$29</f>
        <v>554.9666806740056</v>
      </c>
      <c r="S29" s="130" t="s">
        <v>34</v>
      </c>
      <c r="T29" s="131">
        <f>M$28+N$29</f>
        <v>558.58331932599435</v>
      </c>
    </row>
    <row r="30" spans="1:21" ht="16.5" thickBot="1" x14ac:dyDescent="0.3">
      <c r="L30" s="132" t="s">
        <v>40</v>
      </c>
      <c r="M30" s="133"/>
      <c r="N30" s="134">
        <f>(O39/(O39-1))*Q26</f>
        <v>121.48665254241077</v>
      </c>
      <c r="O30" s="135" t="s">
        <v>35</v>
      </c>
      <c r="P30" s="135"/>
      <c r="Q30" s="135"/>
      <c r="R30" s="136">
        <f>AVERAGE(A3:C22)-_xlfn.CONFIDENCE.T(0.03,_xlfn.STDEV.S(A3:C22),Q11)</f>
        <v>553.64263407893714</v>
      </c>
      <c r="S30" s="137" t="s">
        <v>34</v>
      </c>
      <c r="T30" s="138">
        <f>AVERAGE(A3:C22)+_xlfn.CONFIDENCE.T(0.03,_xlfn.STDEV.S(A3:C22),Q11)</f>
        <v>560.05736592106291</v>
      </c>
    </row>
    <row r="31" spans="1:21" ht="19.5" thickBot="1" x14ac:dyDescent="0.35">
      <c r="L31" s="62" t="s">
        <v>25</v>
      </c>
      <c r="M31" s="63"/>
      <c r="N31" s="63"/>
      <c r="O31" s="64"/>
      <c r="P31" s="65"/>
      <c r="Q31" s="66" t="str">
        <f>IF(Q39&gt;T26,"Гипотеза отвергнута","Гипотеза не отвергнута")</f>
        <v>Гипотеза не отвергнута</v>
      </c>
      <c r="R31" s="67"/>
      <c r="S31" s="67"/>
      <c r="T31" s="68"/>
    </row>
    <row r="32" spans="1:21" ht="15.75" thickBot="1" x14ac:dyDescent="0.3">
      <c r="L32" s="105" t="s">
        <v>9</v>
      </c>
      <c r="M32" s="106"/>
      <c r="N32" s="107"/>
      <c r="O32" s="108" t="s">
        <v>17</v>
      </c>
      <c r="P32" s="108" t="s">
        <v>23</v>
      </c>
      <c r="Q32" s="109" t="s">
        <v>27</v>
      </c>
    </row>
    <row r="33" spans="12:17" x14ac:dyDescent="0.25">
      <c r="L33" s="36" t="s">
        <v>37</v>
      </c>
      <c r="M33" s="32" t="s">
        <v>7</v>
      </c>
      <c r="N33" s="24">
        <f>$L$3+6.5*2</f>
        <v>548</v>
      </c>
      <c r="O33" s="13">
        <f>Q3+Q4</f>
        <v>16</v>
      </c>
      <c r="P33" s="8">
        <f>Y3+Y4</f>
        <v>11.156785794824501</v>
      </c>
      <c r="Q33" s="16">
        <f>POWER(O33-P33,2)/P33</f>
        <v>2.1024625074450238</v>
      </c>
    </row>
    <row r="34" spans="12:17" x14ac:dyDescent="0.25">
      <c r="L34" s="1">
        <f t="shared" ref="L34:L38" si="16">N33</f>
        <v>548</v>
      </c>
      <c r="M34" s="33" t="s">
        <v>7</v>
      </c>
      <c r="N34" s="25">
        <f>L34+6.5</f>
        <v>554.5</v>
      </c>
      <c r="O34" s="26">
        <f>Q5</f>
        <v>11</v>
      </c>
      <c r="P34" s="21">
        <f>Y5</f>
        <v>12.52775424951235</v>
      </c>
      <c r="Q34" s="22">
        <f t="shared" ref="Q34:Q38" si="17">POWER(O34-P34,2)/P34</f>
        <v>0.1863089744910903</v>
      </c>
    </row>
    <row r="35" spans="12:17" x14ac:dyDescent="0.25">
      <c r="L35" s="1">
        <f t="shared" si="16"/>
        <v>554.5</v>
      </c>
      <c r="M35" s="33" t="s">
        <v>7</v>
      </c>
      <c r="N35" s="25">
        <f t="shared" ref="N35:N37" si="18">L35+6.5</f>
        <v>561</v>
      </c>
      <c r="O35" s="26">
        <f>Q6</f>
        <v>11</v>
      </c>
      <c r="P35" s="21">
        <f>Y6</f>
        <v>14.178557450780689</v>
      </c>
      <c r="Q35" s="22">
        <f t="shared" si="17"/>
        <v>0.71257090172859117</v>
      </c>
    </row>
    <row r="36" spans="12:17" x14ac:dyDescent="0.25">
      <c r="L36" s="1">
        <f t="shared" si="16"/>
        <v>561</v>
      </c>
      <c r="M36" s="33" t="s">
        <v>7</v>
      </c>
      <c r="N36" s="25">
        <f t="shared" si="18"/>
        <v>567.5</v>
      </c>
      <c r="O36" s="26">
        <f>Q7</f>
        <v>12</v>
      </c>
      <c r="P36" s="21">
        <f>Y7</f>
        <v>11.266635270795099</v>
      </c>
      <c r="Q36" s="22">
        <f t="shared" si="17"/>
        <v>4.7735975569911444E-2</v>
      </c>
    </row>
    <row r="37" spans="12:17" x14ac:dyDescent="0.25">
      <c r="L37" s="1">
        <f t="shared" si="16"/>
        <v>567.5</v>
      </c>
      <c r="M37" s="33" t="s">
        <v>7</v>
      </c>
      <c r="N37" s="25">
        <f t="shared" si="18"/>
        <v>574</v>
      </c>
      <c r="O37" s="26">
        <f>Q8</f>
        <v>7</v>
      </c>
      <c r="P37" s="21">
        <f>Y8</f>
        <v>6.2857888704346472</v>
      </c>
      <c r="Q37" s="22">
        <f t="shared" si="17"/>
        <v>8.1150918064440997E-2</v>
      </c>
    </row>
    <row r="38" spans="12:17" ht="15.75" thickBot="1" x14ac:dyDescent="0.3">
      <c r="L38" s="1">
        <f t="shared" si="16"/>
        <v>574</v>
      </c>
      <c r="M38" s="34" t="s">
        <v>7</v>
      </c>
      <c r="N38" s="37" t="s">
        <v>38</v>
      </c>
      <c r="O38" s="27">
        <f>Q9+Q10</f>
        <v>3</v>
      </c>
      <c r="P38" s="28">
        <f>Y9+Y10</f>
        <v>3.1394056461224991</v>
      </c>
      <c r="Q38" s="23">
        <f t="shared" si="17"/>
        <v>6.1903227430435493E-3</v>
      </c>
    </row>
    <row r="39" spans="12:17" ht="15.75" thickBot="1" x14ac:dyDescent="0.3">
      <c r="L39" s="82" t="s">
        <v>10</v>
      </c>
      <c r="M39" s="83"/>
      <c r="N39" s="83"/>
      <c r="O39" s="110">
        <f>SUM(O33:O38)</f>
        <v>60</v>
      </c>
      <c r="P39" s="111">
        <f>SUM(P33:P38)</f>
        <v>58.554927282469777</v>
      </c>
      <c r="Q39" s="112">
        <f>SUM(Q33:Q38)</f>
        <v>3.1364196000421014</v>
      </c>
    </row>
    <row r="40" spans="12:17" ht="15.75" thickBot="1" x14ac:dyDescent="0.3">
      <c r="O40" s="44" t="s">
        <v>39</v>
      </c>
      <c r="P40" s="44"/>
      <c r="Q40" s="41">
        <f>(O39/(O39-1))*Q26</f>
        <v>121.48665254241077</v>
      </c>
    </row>
    <row r="41" spans="12:17" x14ac:dyDescent="0.25">
      <c r="O41" s="44" t="s">
        <v>39</v>
      </c>
      <c r="P41" s="44"/>
      <c r="Q41">
        <f>SQRT(Q40)</f>
        <v>11.022098372923859</v>
      </c>
    </row>
  </sheetData>
  <mergeCells count="41">
    <mergeCell ref="L30:M30"/>
    <mergeCell ref="A25:B25"/>
    <mergeCell ref="A26:B26"/>
    <mergeCell ref="A23:B23"/>
    <mergeCell ref="A24:B24"/>
    <mergeCell ref="O26:P26"/>
    <mergeCell ref="E1:J1"/>
    <mergeCell ref="G2:H2"/>
    <mergeCell ref="I2:J2"/>
    <mergeCell ref="E2:F2"/>
    <mergeCell ref="A1:C1"/>
    <mergeCell ref="L1:Y1"/>
    <mergeCell ref="M27:N27"/>
    <mergeCell ref="L2:N2"/>
    <mergeCell ref="M26:N26"/>
    <mergeCell ref="S2:T2"/>
    <mergeCell ref="S4:T4"/>
    <mergeCell ref="S3:T3"/>
    <mergeCell ref="S5:T5"/>
    <mergeCell ref="S6:T6"/>
    <mergeCell ref="S7:T7"/>
    <mergeCell ref="S8:T8"/>
    <mergeCell ref="S9:T9"/>
    <mergeCell ref="S10:T10"/>
    <mergeCell ref="O27:P27"/>
    <mergeCell ref="S11:T11"/>
    <mergeCell ref="R26:S26"/>
    <mergeCell ref="R27:S27"/>
    <mergeCell ref="R28:S28"/>
    <mergeCell ref="O41:P41"/>
    <mergeCell ref="L11:P11"/>
    <mergeCell ref="O28:P28"/>
    <mergeCell ref="M28:N28"/>
    <mergeCell ref="O40:P40"/>
    <mergeCell ref="L32:N32"/>
    <mergeCell ref="L39:N39"/>
    <mergeCell ref="L31:P31"/>
    <mergeCell ref="L29:M29"/>
    <mergeCell ref="O29:Q29"/>
    <mergeCell ref="O30:Q30"/>
    <mergeCell ref="Q31:T31"/>
  </mergeCells>
  <conditionalFormatting sqref="Q31">
    <cfRule type="containsText" dxfId="0" priority="1" operator="containsText" text="не">
      <formula>NOT(ISERROR(SEARCH("не",Q31)))</formula>
    </cfRule>
  </conditionalFormatting>
  <pageMargins left="0.7" right="0.7" top="0.75" bottom="0.75" header="0.3" footer="0.3"/>
  <pageSetup paperSize="9" orientation="portrait" r:id="rId1"/>
  <ignoredErrors>
    <ignoredError sqref="G4 G6:G21 I4 I6:I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Радель Закиров</dc:creator>
  <cp:lastModifiedBy>Vlad</cp:lastModifiedBy>
  <dcterms:created xsi:type="dcterms:W3CDTF">2015-06-05T18:17:20Z</dcterms:created>
  <dcterms:modified xsi:type="dcterms:W3CDTF">2022-12-24T00:32:13Z</dcterms:modified>
</cp:coreProperties>
</file>