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irement Projections with own" sheetId="1" r:id="rId4"/>
    <sheet state="visible" name="Residential Property" sheetId="2" r:id="rId5"/>
    <sheet state="visible" name="Investment Property (Interest O" sheetId="3" r:id="rId6"/>
    <sheet state="visible" name="SuperFunds" sheetId="4" r:id="rId7"/>
  </sheets>
  <definedNames/>
  <calcPr/>
</workbook>
</file>

<file path=xl/sharedStrings.xml><?xml version="1.0" encoding="utf-8"?>
<sst xmlns="http://schemas.openxmlformats.org/spreadsheetml/2006/main" count="157" uniqueCount="86">
  <si>
    <t>Retirement Age</t>
  </si>
  <si>
    <t>Current Age</t>
  </si>
  <si>
    <t>Inflation rate</t>
  </si>
  <si>
    <t xml:space="preserve">Current Monthly Expense 
(without kids expenses &amp; no EMI / Rent) </t>
  </si>
  <si>
    <t>Monthly Expense at Retirement ( Inflation Indexed)</t>
  </si>
  <si>
    <t>Expenditure First Year</t>
  </si>
  <si>
    <t>Expected Super at Retirement</t>
  </si>
  <si>
    <t>Expected annual rate of return on corpus (lowest ETF/ conservative super)</t>
  </si>
  <si>
    <t>Extra Corpus from other sources ( house downgrade / liquidating other fixed assets )</t>
  </si>
  <si>
    <t>Corpus</t>
  </si>
  <si>
    <t>After Expenses End of Year Principal</t>
  </si>
  <si>
    <t>Corpus plus Interest EOY</t>
  </si>
  <si>
    <t>Annual Expenditure</t>
  </si>
  <si>
    <t>Monthly Expenditure</t>
  </si>
  <si>
    <t>Years Old</t>
  </si>
  <si>
    <r>
      <rPr>
        <rFont val="Calibri"/>
        <color rgb="FF1155CC"/>
        <u/>
      </rPr>
      <t xml:space="preserve">Property Price increase source : </t>
    </r>
    <r>
      <rPr>
        <rFont val="Calibri"/>
        <color rgb="FF1155CC"/>
        <u/>
      </rPr>
      <t>https://www.aussie.com.au/insights/media-releases/housing-trends-over-past-30-years-reveal-hope-for-australians-looking-to-step-on-property-ladder/</t>
    </r>
  </si>
  <si>
    <r>
      <rPr>
        <rFont val="Calibri"/>
        <color rgb="FF1155CC"/>
        <u/>
      </rPr>
      <t xml:space="preserve">Rental Price Increase source : </t>
    </r>
    <r>
      <rPr>
        <rFont val="Calibri"/>
        <color rgb="FF1155CC"/>
        <u/>
      </rPr>
      <t>https://pica.asn.au/wp-content/uploads/2022/08/PIPA-press-release-Inflation-outstrips-rental-growth-for-more-than-a-decade.pdf</t>
    </r>
  </si>
  <si>
    <t>Property buy year</t>
  </si>
  <si>
    <t xml:space="preserve">Property Price </t>
  </si>
  <si>
    <t>Property Type</t>
  </si>
  <si>
    <t>House</t>
  </si>
  <si>
    <t>No of Years of Loan</t>
  </si>
  <si>
    <t>Initial Investment</t>
  </si>
  <si>
    <t>Investment Return</t>
  </si>
  <si>
    <t>Equivalent Rent Per week</t>
  </si>
  <si>
    <t xml:space="preserve">Property price + sum potential rent -principal remaining - sum EMI paid - </t>
  </si>
  <si>
    <t>YEAR</t>
  </si>
  <si>
    <t xml:space="preserve">Loan period </t>
  </si>
  <si>
    <t>Inflation indexed annual costs ( Prop Mgt + Strata + Council + water)</t>
  </si>
  <si>
    <t>EMI</t>
  </si>
  <si>
    <t>Total EMI paid</t>
  </si>
  <si>
    <t>Interest accrued</t>
  </si>
  <si>
    <t>Principal Remaining</t>
  </si>
  <si>
    <t>Property Price Indexed on property type</t>
  </si>
  <si>
    <t>Potential per week rent</t>
  </si>
  <si>
    <t>Potential rental cost Indexed at flat Rental increase</t>
  </si>
  <si>
    <t>TOTAL potential rent</t>
  </si>
  <si>
    <t>Profit / Loss (Sold)  without investment</t>
  </si>
  <si>
    <t>Excess fund by renting</t>
  </si>
  <si>
    <t>Invest in ETF (6%) &amp; live on Rent</t>
  </si>
  <si>
    <t>Average Rental Increase Anually %</t>
  </si>
  <si>
    <t>Inflation Rate</t>
  </si>
  <si>
    <t>Average Property price increase (house)</t>
  </si>
  <si>
    <t>Average Property price increase (units)</t>
  </si>
  <si>
    <t xml:space="preserve">Average Interest rate </t>
  </si>
  <si>
    <t>Property management Fee %</t>
  </si>
  <si>
    <t>Loan Amount</t>
  </si>
  <si>
    <t>DownPayment</t>
  </si>
  <si>
    <t>Registration/ transfer cost</t>
  </si>
  <si>
    <t>Legal &amp; Banking fees</t>
  </si>
  <si>
    <t>Monthly Loan Payment</t>
  </si>
  <si>
    <t xml:space="preserve">Annual Loan Payment </t>
  </si>
  <si>
    <t>Water</t>
  </si>
  <si>
    <t>Strata</t>
  </si>
  <si>
    <t>Council</t>
  </si>
  <si>
    <t>Initial Rental Income</t>
  </si>
  <si>
    <t>Property management Fee $</t>
  </si>
  <si>
    <t>Weekly EMI being paid</t>
  </si>
  <si>
    <r>
      <rPr>
        <rFont val="Calibri"/>
        <color rgb="FF1155CC"/>
        <u/>
      </rPr>
      <t xml:space="preserve">Property Price increase source : </t>
    </r>
    <r>
      <rPr>
        <rFont val="Calibri"/>
        <color rgb="FF1155CC"/>
        <u/>
      </rPr>
      <t>https://www.aussie.com.au/insights/media-releases/housing-trends-over-past-30-years-reveal-hope-for-australians-looking-to-step-on-property-ladder/</t>
    </r>
  </si>
  <si>
    <r>
      <rPr>
        <rFont val="Calibri"/>
        <color rgb="FF1155CC"/>
        <u/>
      </rPr>
      <t xml:space="preserve">Rental Price Increase source : </t>
    </r>
    <r>
      <rPr>
        <rFont val="Calibri"/>
        <color rgb="FF1155CC"/>
        <u/>
      </rPr>
      <t>https://pica.asn.au/wp-content/uploads/2022/08/PIPA-press-release-Inflation-outstrips-rental-growth-for-more-than-a-decade.pdf</t>
    </r>
  </si>
  <si>
    <t>Your Current Age</t>
  </si>
  <si>
    <t>Rent Per week</t>
  </si>
  <si>
    <t>Proposed Down Payment(20% No LMI)</t>
  </si>
  <si>
    <t>Initial Investment (Down pay +  Regis + Bank_Legal)</t>
  </si>
  <si>
    <t>Age</t>
  </si>
  <si>
    <t>weekly rent</t>
  </si>
  <si>
    <t>Rental Income Indexed at flat Rental increase</t>
  </si>
  <si>
    <t xml:space="preserve">Annual unsold Income /Loss ( incoming - outgoing for the year) </t>
  </si>
  <si>
    <t>Profit / Loss (Unsold) ( total cumilative incoming - total cumilative outgoing)</t>
  </si>
  <si>
    <t xml:space="preserve">Absolute Profit / Loss (Sold) </t>
  </si>
  <si>
    <t>Investing the same amount at 6% returns ( with additional contibution = loss )</t>
  </si>
  <si>
    <t>Fees ON</t>
  </si>
  <si>
    <t>CGAR in last 10 years</t>
  </si>
  <si>
    <t>QSuper International Shares</t>
  </si>
  <si>
    <t>AMIST Shares</t>
  </si>
  <si>
    <t>Aware Super International Shares</t>
  </si>
  <si>
    <t>Aware Super Australian Shares</t>
  </si>
  <si>
    <t>Mine Super Aust Shares</t>
  </si>
  <si>
    <t>Mine Super Int'l Shares</t>
  </si>
  <si>
    <t>Australian Retirement Trust - International Shares Index (unhedged)</t>
  </si>
  <si>
    <t>Monthly Super Dedution from Salary</t>
  </si>
  <si>
    <t>Current Super Balance</t>
  </si>
  <si>
    <t>Annual Contribution</t>
  </si>
  <si>
    <t>CGAR ( Reduce 1% for fees )</t>
  </si>
  <si>
    <t>Num of Years till Retirement</t>
  </si>
  <si>
    <t>Super fund at retirement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</si>
</sst>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6">
    <font>
      <sz val="10.0"/>
      <color rgb="FF000000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sz val="9.0"/>
      <color rgb="FF1155CC"/>
      <name val="&quot;Google Sans Mono&quot;"/>
    </font>
    <font>
      <color theme="1"/>
      <name val="Calibri"/>
      <scheme val="minor"/>
    </font>
    <font>
      <sz val="11.0"/>
      <color theme="1"/>
      <name val="Calibri"/>
    </font>
    <font>
      <u/>
      <color rgb="FF1155CC"/>
      <name val="Calibri"/>
    </font>
    <font>
      <color theme="1"/>
      <name val="Arial"/>
    </font>
    <font>
      <b/>
      <color theme="1"/>
      <name val="Calibri"/>
    </font>
    <font>
      <color theme="1"/>
      <name val="Calibri"/>
    </font>
    <font>
      <b/>
      <color theme="1"/>
      <name val="Arial"/>
    </font>
    <font>
      <b/>
      <sz val="12.0"/>
      <color theme="1"/>
      <name val="Calibri"/>
      <scheme val="minor"/>
    </font>
    <font>
      <b/>
      <sz val="11.0"/>
      <color rgb="FF242A2F"/>
      <name val="Roboto"/>
    </font>
    <font>
      <sz val="12.0"/>
      <color rgb="FF000000"/>
      <name val="Roboto"/>
    </font>
    <font>
      <sz val="11.0"/>
      <color rgb="FF242A2F"/>
      <name val="Roboto"/>
    </font>
    <font>
      <sz val="15.0"/>
      <color rgb="FF008774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bottom style="thin">
        <color rgb="FFE5E7EB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3" fontId="1" numFmtId="10" xfId="0" applyAlignment="1" applyFill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4" fontId="3" numFmtId="164" xfId="0" applyFill="1" applyFont="1" applyNumberFormat="1"/>
    <xf borderId="0" fillId="0" fontId="4" numFmtId="164" xfId="0" applyFont="1" applyNumberFormat="1"/>
    <xf borderId="0" fillId="2" fontId="4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3" fontId="5" numFmtId="1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164" xfId="0" applyFont="1" applyNumberFormat="1"/>
    <xf borderId="0" fillId="0" fontId="1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5" fontId="9" numFmtId="0" xfId="0" applyAlignment="1" applyFill="1" applyFont="1">
      <alignment horizontal="right" vertical="bottom"/>
    </xf>
    <xf borderId="0" fillId="0" fontId="8" numFmtId="0" xfId="0" applyAlignment="1" applyFont="1">
      <alignment vertical="bottom"/>
    </xf>
    <xf borderId="0" fillId="5" fontId="9" numFmtId="164" xfId="0" applyAlignment="1" applyFont="1" applyNumberFormat="1">
      <alignment horizontal="right" vertical="bottom"/>
    </xf>
    <xf borderId="0" fillId="0" fontId="9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164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9" numFmtId="10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7" numFmtId="164" xfId="0" applyAlignment="1" applyFont="1" applyNumberFormat="1">
      <alignment vertical="bottom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shrinkToFit="0" vertical="bottom" wrapText="1"/>
    </xf>
    <xf borderId="0" fillId="0" fontId="8" numFmtId="0" xfId="0" applyAlignment="1" applyFont="1">
      <alignment horizontal="center" shrinkToFit="0" vertical="bottom" wrapText="1"/>
    </xf>
    <xf borderId="0" fillId="0" fontId="8" numFmtId="10" xfId="0" applyAlignment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9" numFmtId="164" xfId="0" applyAlignment="1" applyFont="1" applyNumberFormat="1">
      <alignment horizontal="right" vertical="bottom"/>
    </xf>
    <xf borderId="0" fillId="3" fontId="9" numFmtId="164" xfId="0" applyAlignment="1" applyFont="1" applyNumberFormat="1">
      <alignment horizontal="right" vertical="bottom"/>
    </xf>
    <xf borderId="0" fillId="0" fontId="8" numFmtId="10" xfId="0" applyAlignment="1" applyFont="1" applyNumberFormat="1">
      <alignment horizontal="right" readingOrder="0" vertical="bottom"/>
    </xf>
    <xf borderId="0" fillId="0" fontId="7" numFmtId="10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0" fontId="9" numFmtId="3" xfId="0" applyAlignment="1" applyFont="1" applyNumberFormat="1">
      <alignment horizontal="right" vertical="bottom"/>
    </xf>
    <xf borderId="0" fillId="6" fontId="7" numFmtId="0" xfId="0" applyAlignment="1" applyFill="1" applyFont="1">
      <alignment vertical="bottom"/>
    </xf>
    <xf borderId="0" fillId="0" fontId="8" numFmtId="0" xfId="0" applyAlignment="1" applyFont="1">
      <alignment shrinkToFit="0" vertical="bottom" wrapText="1"/>
    </xf>
    <xf borderId="0" fillId="0" fontId="10" numFmtId="0" xfId="0" applyAlignment="1" applyFont="1">
      <alignment readingOrder="0" vertical="bottom"/>
    </xf>
    <xf borderId="0" fillId="0" fontId="8" numFmtId="164" xfId="0" applyAlignment="1" applyFont="1" applyNumberFormat="1">
      <alignment horizontal="center" shrinkToFit="0" vertical="bottom" wrapText="1"/>
    </xf>
    <xf borderId="0" fillId="0" fontId="8" numFmtId="164" xfId="0" applyAlignment="1" applyFont="1" applyNumberFormat="1">
      <alignment horizontal="center" shrinkToFit="0" vertical="bottom" wrapText="1"/>
    </xf>
    <xf borderId="0" fillId="6" fontId="8" numFmtId="164" xfId="0" applyAlignment="1" applyFont="1" applyNumberFormat="1">
      <alignment horizontal="center" shrinkToFit="0" vertical="bottom" wrapText="1"/>
    </xf>
    <xf borderId="0" fillId="2" fontId="8" numFmtId="10" xfId="0" applyAlignment="1" applyFont="1" applyNumberFormat="1">
      <alignment horizontal="right" vertical="bottom"/>
    </xf>
    <xf borderId="0" fillId="7" fontId="9" numFmtId="164" xfId="0" applyAlignment="1" applyFill="1" applyFont="1" applyNumberFormat="1">
      <alignment horizontal="right" vertical="bottom"/>
    </xf>
    <xf borderId="0" fillId="6" fontId="9" numFmtId="164" xfId="0" applyAlignment="1" applyFont="1" applyNumberFormat="1">
      <alignment horizontal="right" vertical="bottom"/>
    </xf>
    <xf borderId="0" fillId="2" fontId="8" numFmtId="10" xfId="0" applyAlignment="1" applyFont="1" applyNumberFormat="1">
      <alignment horizontal="right" readingOrder="0" vertical="bottom"/>
    </xf>
    <xf borderId="0" fillId="2" fontId="8" numFmtId="9" xfId="0" applyAlignment="1" applyFont="1" applyNumberFormat="1">
      <alignment horizontal="right" readingOrder="0" vertical="bottom"/>
    </xf>
    <xf borderId="0" fillId="8" fontId="9" numFmtId="164" xfId="0" applyAlignment="1" applyFill="1" applyFont="1" applyNumberFormat="1">
      <alignment horizontal="right" vertical="bottom"/>
    </xf>
    <xf borderId="0" fillId="9" fontId="9" numFmtId="164" xfId="0" applyAlignment="1" applyFill="1" applyFont="1" applyNumberFormat="1">
      <alignment horizontal="right" readingOrder="0" vertical="bottom"/>
    </xf>
    <xf borderId="0" fillId="0" fontId="11" numFmtId="0" xfId="0" applyAlignment="1" applyFont="1">
      <alignment readingOrder="0" shrinkToFit="0" wrapText="1"/>
    </xf>
    <xf borderId="1" fillId="0" fontId="12" numFmtId="164" xfId="0" applyAlignment="1" applyBorder="1" applyFont="1" applyNumberFormat="1">
      <alignment horizontal="left" readingOrder="0" shrinkToFit="0" wrapText="1"/>
    </xf>
    <xf borderId="0" fillId="0" fontId="4" numFmtId="0" xfId="0" applyAlignment="1" applyFont="1">
      <alignment shrinkToFit="0" wrapText="1"/>
    </xf>
    <xf borderId="0" fillId="4" fontId="13" numFmtId="0" xfId="0" applyAlignment="1" applyFont="1">
      <alignment horizontal="left" readingOrder="0" shrinkToFit="0" wrapText="1"/>
    </xf>
    <xf borderId="1" fillId="0" fontId="14" numFmtId="164" xfId="0" applyAlignment="1" applyBorder="1" applyFont="1" applyNumberFormat="1">
      <alignment horizontal="left" readingOrder="0"/>
    </xf>
    <xf borderId="1" fillId="0" fontId="14" numFmtId="165" xfId="0" applyAlignment="1" applyBorder="1" applyFont="1" applyNumberFormat="1">
      <alignment horizontal="left" readingOrder="0"/>
    </xf>
    <xf borderId="0" fillId="4" fontId="15" numFmtId="10" xfId="0" applyAlignment="1" applyFont="1" applyNumberFormat="1">
      <alignment horizontal="center" readingOrder="0"/>
    </xf>
    <xf borderId="0" fillId="0" fontId="12" numFmtId="0" xfId="0" applyAlignment="1" applyFont="1">
      <alignment horizontal="left" readingOrder="0"/>
    </xf>
    <xf borderId="0" fillId="0" fontId="14" numFmtId="165" xfId="0" applyAlignment="1" applyFont="1" applyNumberFormat="1">
      <alignment horizontal="left" readingOrder="0"/>
    </xf>
    <xf borderId="0" fillId="0" fontId="12" numFmtId="164" xfId="0" applyAlignment="1" applyFont="1" applyNumberFormat="1">
      <alignment horizontal="left" readingOrder="0"/>
    </xf>
    <xf borderId="1" fillId="0" fontId="4" numFmtId="0" xfId="0" applyBorder="1" applyFont="1"/>
    <xf borderId="1" fillId="0" fontId="12" numFmtId="0" xfId="0" applyAlignment="1" applyBorder="1" applyFont="1">
      <alignment horizontal="left" readingOrder="0"/>
    </xf>
    <xf borderId="1" fillId="0" fontId="12" numFmtId="164" xfId="0" applyAlignment="1" applyBorder="1" applyFont="1" applyNumberFormat="1">
      <alignment horizontal="left" readingOrder="0"/>
    </xf>
    <xf borderId="1" fillId="0" fontId="12" numFmtId="165" xfId="0" applyAlignment="1" applyBorder="1" applyFont="1" applyNumberFormat="1">
      <alignment horizontal="left" readingOrder="0"/>
    </xf>
    <xf borderId="0" fillId="9" fontId="4" numFmtId="164" xfId="0" applyAlignment="1" applyFont="1" applyNumberFormat="1">
      <alignment readingOrder="0"/>
    </xf>
    <xf borderId="1" fillId="0" fontId="12" numFmtId="0" xfId="0" applyAlignment="1" applyBorder="1" applyFont="1">
      <alignment horizontal="center" readingOrder="0" shrinkToFit="0" wrapText="1"/>
    </xf>
    <xf borderId="1" fillId="0" fontId="14" numFmtId="165" xfId="0" applyAlignment="1" applyBorder="1" applyFont="1" applyNumberFormat="1">
      <alignment horizontal="center" readingOrder="0" shrinkToFit="0" wrapText="1"/>
    </xf>
    <xf borderId="1" fillId="0" fontId="14" numFmtId="164" xfId="0" applyAlignment="1" applyBorder="1" applyFont="1" applyNumberFormat="1">
      <alignment horizontal="center" readingOrder="0" shrinkToFit="0" wrapText="1"/>
    </xf>
    <xf borderId="0" fillId="9" fontId="4" numFmtId="10" xfId="0" applyAlignment="1" applyFont="1" applyNumberFormat="1">
      <alignment readingOrder="0"/>
    </xf>
    <xf borderId="0" fillId="9" fontId="4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ussie.com.au/insights/media-releases/housing-trends-over-past-30-years-reveal-hope-for-australians-looking-to-step-on-property-ladder/" TargetMode="External"/><Relationship Id="rId2" Type="http://schemas.openxmlformats.org/officeDocument/2006/relationships/hyperlink" Target="https://pica.asn.au/wp-content/uploads/2022/08/PIPA-press-release-Inflation-outstrips-rental-growth-for-more-than-a-decade.pdf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ussie.com.au/insights/media-releases/housing-trends-over-past-30-years-reveal-hope-for-australians-looking-to-step-on-property-ladder/" TargetMode="External"/><Relationship Id="rId2" Type="http://schemas.openxmlformats.org/officeDocument/2006/relationships/hyperlink" Target="https://pica.asn.au/wp-content/uploads/2022/08/PIPA-press-release-Inflation-outstrips-rental-growth-for-more-than-a-decade.pdf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41.57"/>
    <col customWidth="1" min="3" max="3" width="21.29"/>
    <col customWidth="1" min="4" max="4" width="26.57"/>
    <col customWidth="1" min="5" max="5" width="19.86"/>
    <col customWidth="1" min="6" max="6" width="21.29"/>
    <col customWidth="1" min="7" max="7" width="15.29"/>
    <col customWidth="1" min="8" max="24" width="8.71"/>
  </cols>
  <sheetData>
    <row r="1" ht="14.25" customHeight="1">
      <c r="B1" s="1" t="s">
        <v>0</v>
      </c>
      <c r="C1" s="2">
        <v>70.0</v>
      </c>
      <c r="D1" s="3"/>
      <c r="E1" s="4"/>
    </row>
    <row r="2" ht="14.25" customHeight="1">
      <c r="B2" s="1" t="s">
        <v>1</v>
      </c>
      <c r="C2" s="2">
        <v>45.0</v>
      </c>
      <c r="D2" s="3"/>
      <c r="E2" s="4"/>
    </row>
    <row r="3" ht="14.25" customHeight="1">
      <c r="B3" s="5" t="s">
        <v>2</v>
      </c>
      <c r="C3" s="6">
        <v>0.03</v>
      </c>
      <c r="D3" s="4"/>
      <c r="E3" s="4"/>
    </row>
    <row r="4" ht="14.25" customHeight="1">
      <c r="B4" s="5" t="s">
        <v>3</v>
      </c>
      <c r="C4" s="7">
        <v>5000.0</v>
      </c>
      <c r="D4" s="3"/>
      <c r="E4" s="4"/>
    </row>
    <row r="5" ht="14.25" customHeight="1">
      <c r="C5" s="1"/>
      <c r="D5" s="3"/>
      <c r="E5" s="4"/>
    </row>
    <row r="6" ht="14.25" customHeight="1">
      <c r="C6" s="1"/>
      <c r="D6" s="3"/>
      <c r="E6" s="4"/>
    </row>
    <row r="7" ht="14.25" customHeight="1">
      <c r="C7" s="1"/>
      <c r="D7" s="3"/>
      <c r="E7" s="4"/>
    </row>
    <row r="8" ht="14.25" customHeight="1">
      <c r="B8" s="3"/>
      <c r="C8" s="3"/>
      <c r="D8" s="3"/>
      <c r="E8" s="3"/>
      <c r="F8" s="1"/>
    </row>
    <row r="9" ht="14.25" customHeight="1">
      <c r="B9" s="1" t="s">
        <v>4</v>
      </c>
      <c r="D9" s="8">
        <f>FV($C$3,$C$1-$C$2,,$C$4) *-1</f>
        <v>10468.88965</v>
      </c>
    </row>
    <row r="10" ht="14.25" customHeight="1">
      <c r="B10" s="3" t="s">
        <v>5</v>
      </c>
      <c r="D10" s="9">
        <f>$D$9*12</f>
        <v>125626.6758</v>
      </c>
    </row>
    <row r="11" ht="14.25" customHeight="1">
      <c r="B11" s="4" t="s">
        <v>6</v>
      </c>
      <c r="C11" s="3"/>
      <c r="D11" s="10">
        <f>SuperFunds!H14</f>
        <v>1926366.31</v>
      </c>
    </row>
    <row r="12" ht="14.25" customHeight="1">
      <c r="B12" s="11" t="s">
        <v>7</v>
      </c>
      <c r="D12" s="12">
        <v>0.06</v>
      </c>
    </row>
    <row r="13" ht="14.25" customHeight="1">
      <c r="B13" s="11" t="s">
        <v>8</v>
      </c>
      <c r="D13" s="10">
        <v>0.0</v>
      </c>
    </row>
    <row r="14" ht="14.25" customHeight="1">
      <c r="B14" s="4"/>
      <c r="C14" s="3"/>
      <c r="D14" s="13"/>
      <c r="E14" s="14"/>
    </row>
    <row r="15" ht="14.25" customHeight="1">
      <c r="B15" s="4"/>
      <c r="C15" s="3"/>
      <c r="D15" s="13"/>
      <c r="E15" s="14"/>
    </row>
    <row r="16" ht="14.25" customHeight="1">
      <c r="A16" s="15"/>
      <c r="B16" s="16"/>
      <c r="C16" s="17" t="s">
        <v>9</v>
      </c>
      <c r="D16" s="16" t="s">
        <v>10</v>
      </c>
      <c r="E16" s="17" t="s">
        <v>11</v>
      </c>
      <c r="F16" s="18" t="s">
        <v>12</v>
      </c>
      <c r="G16" s="18" t="s">
        <v>13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ht="14.25" customHeight="1">
      <c r="A17" s="1">
        <f>$C$1</f>
        <v>70</v>
      </c>
      <c r="B17" s="1" t="s">
        <v>14</v>
      </c>
      <c r="C17" s="19">
        <f>D11 + D13</f>
        <v>1926366.31</v>
      </c>
      <c r="D17" s="19">
        <f t="shared" ref="D17:D66" si="1">C17-F17</f>
        <v>1800739.634</v>
      </c>
      <c r="E17" s="19">
        <f t="shared" ref="E17:E66" si="2">D17*(1+$D$12)</f>
        <v>1908784.013</v>
      </c>
      <c r="F17" s="9">
        <f> $D$10</f>
        <v>125626.6758</v>
      </c>
      <c r="G17" s="9">
        <f t="shared" ref="G17:G66" si="3"> F17/12</f>
        <v>10468.88965</v>
      </c>
    </row>
    <row r="18" ht="14.25" customHeight="1">
      <c r="A18" s="20">
        <f t="shared" ref="A18:A66" si="4">A17+1</f>
        <v>71</v>
      </c>
      <c r="B18" s="1" t="s">
        <v>14</v>
      </c>
      <c r="C18" s="19">
        <f t="shared" ref="C18:C66" si="5">E17</f>
        <v>1908784.013</v>
      </c>
      <c r="D18" s="19">
        <f t="shared" si="1"/>
        <v>1779388.536</v>
      </c>
      <c r="E18" s="19">
        <f t="shared" si="2"/>
        <v>1886151.849</v>
      </c>
      <c r="F18" s="9">
        <f t="shared" ref="F18:F66" si="6"> F17*(1+$C$3)</f>
        <v>129395.4761</v>
      </c>
      <c r="G18" s="9">
        <f t="shared" si="3"/>
        <v>10782.95634</v>
      </c>
    </row>
    <row r="19" ht="14.25" customHeight="1">
      <c r="A19" s="20">
        <f t="shared" si="4"/>
        <v>72</v>
      </c>
      <c r="B19" s="1" t="s">
        <v>14</v>
      </c>
      <c r="C19" s="19">
        <f t="shared" si="5"/>
        <v>1886151.849</v>
      </c>
      <c r="D19" s="19">
        <f t="shared" si="1"/>
        <v>1752874.508</v>
      </c>
      <c r="E19" s="19">
        <f t="shared" si="2"/>
        <v>1858046.979</v>
      </c>
      <c r="F19" s="9">
        <f t="shared" si="6"/>
        <v>133277.3403</v>
      </c>
      <c r="G19" s="9">
        <f t="shared" si="3"/>
        <v>11106.44503</v>
      </c>
    </row>
    <row r="20" ht="14.25" customHeight="1">
      <c r="A20" s="20">
        <f t="shared" si="4"/>
        <v>73</v>
      </c>
      <c r="B20" s="1" t="s">
        <v>14</v>
      </c>
      <c r="C20" s="19">
        <f t="shared" si="5"/>
        <v>1858046.979</v>
      </c>
      <c r="D20" s="19">
        <f t="shared" si="1"/>
        <v>1720771.318</v>
      </c>
      <c r="E20" s="19">
        <f t="shared" si="2"/>
        <v>1824017.597</v>
      </c>
      <c r="F20" s="9">
        <f t="shared" si="6"/>
        <v>137275.6605</v>
      </c>
      <c r="G20" s="9">
        <f t="shared" si="3"/>
        <v>11439.63838</v>
      </c>
    </row>
    <row r="21" ht="14.25" customHeight="1">
      <c r="A21" s="20">
        <f t="shared" si="4"/>
        <v>74</v>
      </c>
      <c r="B21" s="1" t="s">
        <v>14</v>
      </c>
      <c r="C21" s="19">
        <f t="shared" si="5"/>
        <v>1824017.597</v>
      </c>
      <c r="D21" s="19">
        <f t="shared" si="1"/>
        <v>1682623.667</v>
      </c>
      <c r="E21" s="19">
        <f t="shared" si="2"/>
        <v>1783581.087</v>
      </c>
      <c r="F21" s="9">
        <f t="shared" si="6"/>
        <v>141393.9304</v>
      </c>
      <c r="G21" s="9">
        <f t="shared" si="3"/>
        <v>11782.82753</v>
      </c>
    </row>
    <row r="22" ht="14.25" customHeight="1">
      <c r="A22" s="20">
        <f t="shared" si="4"/>
        <v>75</v>
      </c>
      <c r="B22" s="1" t="s">
        <v>14</v>
      </c>
      <c r="C22" s="19">
        <f t="shared" si="5"/>
        <v>1783581.087</v>
      </c>
      <c r="D22" s="19">
        <f t="shared" si="1"/>
        <v>1637945.339</v>
      </c>
      <c r="E22" s="19">
        <f t="shared" si="2"/>
        <v>1736222.059</v>
      </c>
      <c r="F22" s="9">
        <f t="shared" si="6"/>
        <v>145635.7483</v>
      </c>
      <c r="G22" s="9">
        <f t="shared" si="3"/>
        <v>12136.31236</v>
      </c>
    </row>
    <row r="23" ht="14.25" customHeight="1">
      <c r="A23" s="20">
        <f t="shared" si="4"/>
        <v>76</v>
      </c>
      <c r="B23" s="1" t="s">
        <v>14</v>
      </c>
      <c r="C23" s="19">
        <f t="shared" si="5"/>
        <v>1736222.059</v>
      </c>
      <c r="D23" s="19">
        <f t="shared" si="1"/>
        <v>1586217.238</v>
      </c>
      <c r="E23" s="19">
        <f t="shared" si="2"/>
        <v>1681390.273</v>
      </c>
      <c r="F23" s="9">
        <f t="shared" si="6"/>
        <v>150004.8207</v>
      </c>
      <c r="G23" s="9">
        <f t="shared" si="3"/>
        <v>12500.40173</v>
      </c>
    </row>
    <row r="24" ht="14.25" customHeight="1">
      <c r="A24" s="20">
        <f t="shared" si="4"/>
        <v>77</v>
      </c>
      <c r="B24" s="1" t="s">
        <v>14</v>
      </c>
      <c r="C24" s="19">
        <f t="shared" si="5"/>
        <v>1681390.273</v>
      </c>
      <c r="D24" s="19">
        <f t="shared" si="1"/>
        <v>1526885.307</v>
      </c>
      <c r="E24" s="19">
        <f t="shared" si="2"/>
        <v>1618498.426</v>
      </c>
      <c r="F24" s="9">
        <f t="shared" si="6"/>
        <v>154504.9653</v>
      </c>
      <c r="G24" s="9">
        <f t="shared" si="3"/>
        <v>12875.41378</v>
      </c>
    </row>
    <row r="25" ht="14.25" customHeight="1">
      <c r="A25" s="20">
        <f t="shared" si="4"/>
        <v>78</v>
      </c>
      <c r="B25" s="1" t="s">
        <v>14</v>
      </c>
      <c r="C25" s="19">
        <f t="shared" si="5"/>
        <v>1618498.426</v>
      </c>
      <c r="D25" s="19">
        <f t="shared" si="1"/>
        <v>1459358.312</v>
      </c>
      <c r="E25" s="19">
        <f t="shared" si="2"/>
        <v>1546919.81</v>
      </c>
      <c r="F25" s="9">
        <f t="shared" si="6"/>
        <v>159140.1143</v>
      </c>
      <c r="G25" s="9">
        <f t="shared" si="3"/>
        <v>13261.67619</v>
      </c>
    </row>
    <row r="26" ht="14.25" customHeight="1">
      <c r="A26" s="20">
        <f t="shared" si="4"/>
        <v>79</v>
      </c>
      <c r="B26" s="1" t="s">
        <v>14</v>
      </c>
      <c r="C26" s="19">
        <f t="shared" si="5"/>
        <v>1546919.81</v>
      </c>
      <c r="D26" s="19">
        <f t="shared" si="1"/>
        <v>1383005.492</v>
      </c>
      <c r="E26" s="19">
        <f t="shared" si="2"/>
        <v>1465985.822</v>
      </c>
      <c r="F26" s="9">
        <f t="shared" si="6"/>
        <v>163914.3177</v>
      </c>
      <c r="G26" s="9">
        <f t="shared" si="3"/>
        <v>13659.52648</v>
      </c>
    </row>
    <row r="27" ht="14.25" customHeight="1">
      <c r="A27" s="20">
        <f t="shared" si="4"/>
        <v>80</v>
      </c>
      <c r="B27" s="1" t="s">
        <v>14</v>
      </c>
      <c r="C27" s="19">
        <f t="shared" si="5"/>
        <v>1465985.822</v>
      </c>
      <c r="D27" s="19">
        <f t="shared" si="1"/>
        <v>1297154.075</v>
      </c>
      <c r="E27" s="19">
        <f t="shared" si="2"/>
        <v>1374983.319</v>
      </c>
      <c r="F27" s="9">
        <f t="shared" si="6"/>
        <v>168831.7473</v>
      </c>
      <c r="G27" s="9">
        <f t="shared" si="3"/>
        <v>14069.31227</v>
      </c>
    </row>
    <row r="28" ht="14.25" customHeight="1">
      <c r="A28" s="20">
        <f t="shared" si="4"/>
        <v>81</v>
      </c>
      <c r="B28" s="1" t="s">
        <v>14</v>
      </c>
      <c r="C28" s="19">
        <f t="shared" si="5"/>
        <v>1374983.319</v>
      </c>
      <c r="D28" s="19">
        <f t="shared" si="1"/>
        <v>1201086.62</v>
      </c>
      <c r="E28" s="19">
        <f t="shared" si="2"/>
        <v>1273151.817</v>
      </c>
      <c r="F28" s="9">
        <f t="shared" si="6"/>
        <v>173896.6997</v>
      </c>
      <c r="G28" s="9">
        <f t="shared" si="3"/>
        <v>14491.39164</v>
      </c>
    </row>
    <row r="29" ht="14.25" customHeight="1">
      <c r="A29" s="20">
        <f t="shared" si="4"/>
        <v>82</v>
      </c>
      <c r="B29" s="1" t="s">
        <v>14</v>
      </c>
      <c r="C29" s="19">
        <f t="shared" si="5"/>
        <v>1273151.817</v>
      </c>
      <c r="D29" s="19">
        <f t="shared" si="1"/>
        <v>1094038.216</v>
      </c>
      <c r="E29" s="19">
        <f t="shared" si="2"/>
        <v>1159680.509</v>
      </c>
      <c r="F29" s="9">
        <f t="shared" si="6"/>
        <v>179113.6007</v>
      </c>
      <c r="G29" s="9">
        <f t="shared" si="3"/>
        <v>14926.13339</v>
      </c>
    </row>
    <row r="30" ht="14.25" customHeight="1">
      <c r="A30" s="20">
        <f t="shared" si="4"/>
        <v>83</v>
      </c>
      <c r="B30" s="1" t="s">
        <v>14</v>
      </c>
      <c r="C30" s="19">
        <f t="shared" si="5"/>
        <v>1159680.509</v>
      </c>
      <c r="D30" s="19">
        <f t="shared" si="1"/>
        <v>975193.5003</v>
      </c>
      <c r="E30" s="19">
        <f t="shared" si="2"/>
        <v>1033705.11</v>
      </c>
      <c r="F30" s="9">
        <f t="shared" si="6"/>
        <v>184487.0087</v>
      </c>
      <c r="G30" s="9">
        <f t="shared" si="3"/>
        <v>15373.91739</v>
      </c>
    </row>
    <row r="31" ht="14.25" customHeight="1">
      <c r="A31" s="20">
        <f t="shared" si="4"/>
        <v>84</v>
      </c>
      <c r="B31" s="1" t="s">
        <v>14</v>
      </c>
      <c r="C31" s="19">
        <f t="shared" si="5"/>
        <v>1033705.11</v>
      </c>
      <c r="D31" s="19">
        <f t="shared" si="1"/>
        <v>843683.4914</v>
      </c>
      <c r="E31" s="19">
        <f t="shared" si="2"/>
        <v>894304.5009</v>
      </c>
      <c r="F31" s="9">
        <f t="shared" si="6"/>
        <v>190021.619</v>
      </c>
      <c r="G31" s="9">
        <f t="shared" si="3"/>
        <v>15835.13491</v>
      </c>
    </row>
    <row r="32" ht="14.25" customHeight="1">
      <c r="A32" s="20">
        <f t="shared" si="4"/>
        <v>85</v>
      </c>
      <c r="B32" s="1" t="s">
        <v>14</v>
      </c>
      <c r="C32" s="19">
        <f t="shared" si="5"/>
        <v>894304.5009</v>
      </c>
      <c r="D32" s="19">
        <f t="shared" si="1"/>
        <v>698582.2334</v>
      </c>
      <c r="E32" s="19">
        <f t="shared" si="2"/>
        <v>740497.1674</v>
      </c>
      <c r="F32" s="9">
        <f t="shared" si="6"/>
        <v>195722.2675</v>
      </c>
      <c r="G32" s="9">
        <f t="shared" si="3"/>
        <v>16310.18896</v>
      </c>
    </row>
    <row r="33" ht="14.25" customHeight="1">
      <c r="A33" s="20">
        <f t="shared" si="4"/>
        <v>86</v>
      </c>
      <c r="B33" s="1" t="s">
        <v>14</v>
      </c>
      <c r="C33" s="19">
        <f t="shared" si="5"/>
        <v>740497.1674</v>
      </c>
      <c r="D33" s="19">
        <f t="shared" si="1"/>
        <v>538903.2318</v>
      </c>
      <c r="E33" s="19">
        <f t="shared" si="2"/>
        <v>571237.4257</v>
      </c>
      <c r="F33" s="9">
        <f t="shared" si="6"/>
        <v>201593.9355</v>
      </c>
      <c r="G33" s="9">
        <f t="shared" si="3"/>
        <v>16799.49463</v>
      </c>
    </row>
    <row r="34" ht="14.25" customHeight="1">
      <c r="A34" s="20">
        <f t="shared" si="4"/>
        <v>87</v>
      </c>
      <c r="B34" s="1" t="s">
        <v>14</v>
      </c>
      <c r="C34" s="19">
        <f t="shared" si="5"/>
        <v>571237.4257</v>
      </c>
      <c r="D34" s="19">
        <f t="shared" si="1"/>
        <v>363595.6721</v>
      </c>
      <c r="E34" s="19">
        <f t="shared" si="2"/>
        <v>385411.4124</v>
      </c>
      <c r="F34" s="9">
        <f t="shared" si="6"/>
        <v>207641.7536</v>
      </c>
      <c r="G34" s="9">
        <f t="shared" si="3"/>
        <v>17303.47947</v>
      </c>
    </row>
    <row r="35" ht="14.25" customHeight="1">
      <c r="A35" s="20">
        <f t="shared" si="4"/>
        <v>88</v>
      </c>
      <c r="B35" s="1" t="s">
        <v>14</v>
      </c>
      <c r="C35" s="19">
        <f t="shared" si="5"/>
        <v>385411.4124</v>
      </c>
      <c r="D35" s="19">
        <f t="shared" si="1"/>
        <v>171540.4062</v>
      </c>
      <c r="E35" s="19">
        <f t="shared" si="2"/>
        <v>181832.8306</v>
      </c>
      <c r="F35" s="9">
        <f t="shared" si="6"/>
        <v>213871.0062</v>
      </c>
      <c r="G35" s="9">
        <f t="shared" si="3"/>
        <v>17822.58385</v>
      </c>
    </row>
    <row r="36" ht="14.25" customHeight="1">
      <c r="A36" s="20">
        <f t="shared" si="4"/>
        <v>89</v>
      </c>
      <c r="B36" s="1" t="s">
        <v>14</v>
      </c>
      <c r="C36" s="19">
        <f t="shared" si="5"/>
        <v>181832.8306</v>
      </c>
      <c r="D36" s="19">
        <f t="shared" si="1"/>
        <v>-38454.30582</v>
      </c>
      <c r="E36" s="19">
        <f t="shared" si="2"/>
        <v>-40761.56416</v>
      </c>
      <c r="F36" s="9">
        <f t="shared" si="6"/>
        <v>220287.1364</v>
      </c>
      <c r="G36" s="9">
        <f t="shared" si="3"/>
        <v>18357.26137</v>
      </c>
    </row>
    <row r="37" ht="14.25" customHeight="1">
      <c r="A37" s="20">
        <f t="shared" si="4"/>
        <v>90</v>
      </c>
      <c r="B37" s="1" t="s">
        <v>14</v>
      </c>
      <c r="C37" s="19">
        <f t="shared" si="5"/>
        <v>-40761.56416</v>
      </c>
      <c r="D37" s="19">
        <f t="shared" si="1"/>
        <v>-267657.3147</v>
      </c>
      <c r="E37" s="19">
        <f t="shared" si="2"/>
        <v>-283716.7535</v>
      </c>
      <c r="F37" s="9">
        <f t="shared" si="6"/>
        <v>226895.7505</v>
      </c>
      <c r="G37" s="9">
        <f t="shared" si="3"/>
        <v>18907.97921</v>
      </c>
    </row>
    <row r="38" ht="14.25" customHeight="1">
      <c r="A38" s="20">
        <f t="shared" si="4"/>
        <v>91</v>
      </c>
      <c r="B38" s="1" t="s">
        <v>14</v>
      </c>
      <c r="C38" s="19">
        <f t="shared" si="5"/>
        <v>-283716.7535</v>
      </c>
      <c r="D38" s="19">
        <f t="shared" si="1"/>
        <v>-517419.3766</v>
      </c>
      <c r="E38" s="19">
        <f t="shared" si="2"/>
        <v>-548464.5392</v>
      </c>
      <c r="F38" s="9">
        <f t="shared" si="6"/>
        <v>233702.623</v>
      </c>
      <c r="G38" s="9">
        <f t="shared" si="3"/>
        <v>19475.21858</v>
      </c>
    </row>
    <row r="39" ht="14.25" customHeight="1">
      <c r="A39" s="20">
        <f t="shared" si="4"/>
        <v>92</v>
      </c>
      <c r="B39" s="1" t="s">
        <v>14</v>
      </c>
      <c r="C39" s="19">
        <f t="shared" si="5"/>
        <v>-548464.5392</v>
      </c>
      <c r="D39" s="19">
        <f t="shared" si="1"/>
        <v>-789178.2409</v>
      </c>
      <c r="E39" s="19">
        <f t="shared" si="2"/>
        <v>-836528.9353</v>
      </c>
      <c r="F39" s="9">
        <f t="shared" si="6"/>
        <v>240713.7017</v>
      </c>
      <c r="G39" s="9">
        <f t="shared" si="3"/>
        <v>20059.47514</v>
      </c>
    </row>
    <row r="40" ht="14.25" customHeight="1">
      <c r="A40" s="20">
        <f t="shared" si="4"/>
        <v>93</v>
      </c>
      <c r="B40" s="1" t="s">
        <v>14</v>
      </c>
      <c r="C40" s="19">
        <f t="shared" si="5"/>
        <v>-836528.9353</v>
      </c>
      <c r="D40" s="19">
        <f t="shared" si="1"/>
        <v>-1084464.048</v>
      </c>
      <c r="E40" s="19">
        <f t="shared" si="2"/>
        <v>-1149531.891</v>
      </c>
      <c r="F40" s="9">
        <f t="shared" si="6"/>
        <v>247935.1128</v>
      </c>
      <c r="G40" s="9">
        <f t="shared" si="3"/>
        <v>20661.2594</v>
      </c>
    </row>
    <row r="41" ht="14.25" customHeight="1">
      <c r="A41" s="20">
        <f t="shared" si="4"/>
        <v>94</v>
      </c>
      <c r="B41" s="1" t="s">
        <v>14</v>
      </c>
      <c r="C41" s="19">
        <f t="shared" si="5"/>
        <v>-1149531.891</v>
      </c>
      <c r="D41" s="19">
        <f t="shared" si="1"/>
        <v>-1404905.057</v>
      </c>
      <c r="E41" s="19">
        <f t="shared" si="2"/>
        <v>-1489199.361</v>
      </c>
      <c r="F41" s="9">
        <f t="shared" si="6"/>
        <v>255373.1661</v>
      </c>
      <c r="G41" s="9">
        <f t="shared" si="3"/>
        <v>21281.09718</v>
      </c>
    </row>
    <row r="42" ht="14.25" customHeight="1">
      <c r="A42" s="20">
        <f t="shared" si="4"/>
        <v>95</v>
      </c>
      <c r="B42" s="1" t="s">
        <v>14</v>
      </c>
      <c r="C42" s="19">
        <f t="shared" si="5"/>
        <v>-1489199.361</v>
      </c>
      <c r="D42" s="19">
        <f t="shared" si="1"/>
        <v>-1752233.722</v>
      </c>
      <c r="E42" s="19">
        <f t="shared" si="2"/>
        <v>-1857367.745</v>
      </c>
      <c r="F42" s="9">
        <f t="shared" si="6"/>
        <v>263034.3611</v>
      </c>
      <c r="G42" s="9">
        <f t="shared" si="3"/>
        <v>21919.53009</v>
      </c>
    </row>
    <row r="43" ht="14.25" customHeight="1">
      <c r="A43" s="20">
        <f t="shared" si="4"/>
        <v>96</v>
      </c>
      <c r="B43" s="1" t="s">
        <v>14</v>
      </c>
      <c r="C43" s="19">
        <f t="shared" si="5"/>
        <v>-1857367.745</v>
      </c>
      <c r="D43" s="19">
        <f t="shared" si="1"/>
        <v>-2128293.137</v>
      </c>
      <c r="E43" s="19">
        <f t="shared" si="2"/>
        <v>-2255990.725</v>
      </c>
      <c r="F43" s="9">
        <f t="shared" si="6"/>
        <v>270925.392</v>
      </c>
      <c r="G43" s="9">
        <f t="shared" si="3"/>
        <v>22577.116</v>
      </c>
    </row>
    <row r="44" ht="14.25" customHeight="1">
      <c r="A44" s="20">
        <f t="shared" si="4"/>
        <v>97</v>
      </c>
      <c r="B44" s="1" t="s">
        <v>14</v>
      </c>
      <c r="C44" s="19">
        <f t="shared" si="5"/>
        <v>-2255990.725</v>
      </c>
      <c r="D44" s="19">
        <f t="shared" si="1"/>
        <v>-2535043.879</v>
      </c>
      <c r="E44" s="19">
        <f t="shared" si="2"/>
        <v>-2687146.512</v>
      </c>
      <c r="F44" s="9">
        <f t="shared" si="6"/>
        <v>279053.1537</v>
      </c>
      <c r="G44" s="9">
        <f t="shared" si="3"/>
        <v>23254.42948</v>
      </c>
    </row>
    <row r="45" ht="14.25" customHeight="1">
      <c r="A45" s="20">
        <f t="shared" si="4"/>
        <v>98</v>
      </c>
      <c r="B45" s="1" t="s">
        <v>14</v>
      </c>
      <c r="C45" s="19">
        <f t="shared" si="5"/>
        <v>-2687146.512</v>
      </c>
      <c r="D45" s="19">
        <f t="shared" si="1"/>
        <v>-2974571.26</v>
      </c>
      <c r="E45" s="19">
        <f t="shared" si="2"/>
        <v>-3153045.535</v>
      </c>
      <c r="F45" s="9">
        <f t="shared" si="6"/>
        <v>287424.7483</v>
      </c>
      <c r="G45" s="9">
        <f t="shared" si="3"/>
        <v>23952.06236</v>
      </c>
    </row>
    <row r="46" ht="14.25" customHeight="1">
      <c r="A46" s="20">
        <f t="shared" si="4"/>
        <v>99</v>
      </c>
      <c r="B46" s="1" t="s">
        <v>14</v>
      </c>
      <c r="C46" s="19">
        <f t="shared" si="5"/>
        <v>-3153045.535</v>
      </c>
      <c r="D46" s="19">
        <f t="shared" si="1"/>
        <v>-3449093.026</v>
      </c>
      <c r="E46" s="19">
        <f t="shared" si="2"/>
        <v>-3656038.608</v>
      </c>
      <c r="F46" s="9">
        <f t="shared" si="6"/>
        <v>296047.4908</v>
      </c>
      <c r="G46" s="9">
        <f t="shared" si="3"/>
        <v>24670.62423</v>
      </c>
    </row>
    <row r="47" ht="14.25" customHeight="1">
      <c r="A47" s="20">
        <f t="shared" si="4"/>
        <v>100</v>
      </c>
      <c r="B47" s="1" t="s">
        <v>14</v>
      </c>
      <c r="C47" s="19">
        <f t="shared" si="5"/>
        <v>-3656038.608</v>
      </c>
      <c r="D47" s="19">
        <f t="shared" si="1"/>
        <v>-3960967.523</v>
      </c>
      <c r="E47" s="19">
        <f t="shared" si="2"/>
        <v>-4198625.575</v>
      </c>
      <c r="F47" s="9">
        <f t="shared" si="6"/>
        <v>304928.9155</v>
      </c>
      <c r="G47" s="9">
        <f t="shared" si="3"/>
        <v>25410.74296</v>
      </c>
    </row>
    <row r="48" ht="14.25" customHeight="1">
      <c r="A48" s="20">
        <f t="shared" si="4"/>
        <v>101</v>
      </c>
      <c r="B48" s="1" t="s">
        <v>14</v>
      </c>
      <c r="C48" s="19">
        <f t="shared" si="5"/>
        <v>-4198625.575</v>
      </c>
      <c r="D48" s="19">
        <f t="shared" si="1"/>
        <v>-4512702.358</v>
      </c>
      <c r="E48" s="19">
        <f t="shared" si="2"/>
        <v>-4783464.499</v>
      </c>
      <c r="F48" s="9">
        <f t="shared" si="6"/>
        <v>314076.783</v>
      </c>
      <c r="G48" s="9">
        <f t="shared" si="3"/>
        <v>26173.06525</v>
      </c>
    </row>
    <row r="49" ht="14.25" customHeight="1">
      <c r="A49" s="20">
        <f t="shared" si="4"/>
        <v>102</v>
      </c>
      <c r="B49" s="1" t="s">
        <v>14</v>
      </c>
      <c r="C49" s="19">
        <f t="shared" si="5"/>
        <v>-4783464.499</v>
      </c>
      <c r="D49" s="19">
        <f t="shared" si="1"/>
        <v>-5106963.586</v>
      </c>
      <c r="E49" s="19">
        <f t="shared" si="2"/>
        <v>-5413381.401</v>
      </c>
      <c r="F49" s="9">
        <f t="shared" si="6"/>
        <v>323499.0865</v>
      </c>
      <c r="G49" s="9">
        <f t="shared" si="3"/>
        <v>26958.2572</v>
      </c>
    </row>
    <row r="50" ht="14.25" customHeight="1">
      <c r="A50" s="20">
        <f t="shared" si="4"/>
        <v>103</v>
      </c>
      <c r="B50" s="1" t="s">
        <v>14</v>
      </c>
      <c r="C50" s="19">
        <f t="shared" si="5"/>
        <v>-5413381.401</v>
      </c>
      <c r="D50" s="19">
        <f t="shared" si="1"/>
        <v>-5746585.46</v>
      </c>
      <c r="E50" s="19">
        <f t="shared" si="2"/>
        <v>-6091380.587</v>
      </c>
      <c r="F50" s="9">
        <f t="shared" si="6"/>
        <v>333204.059</v>
      </c>
      <c r="G50" s="9">
        <f t="shared" si="3"/>
        <v>27767.00492</v>
      </c>
    </row>
    <row r="51" ht="14.25" customHeight="1">
      <c r="A51" s="20">
        <f t="shared" si="4"/>
        <v>104</v>
      </c>
      <c r="B51" s="1" t="s">
        <v>14</v>
      </c>
      <c r="C51" s="19">
        <f t="shared" si="5"/>
        <v>-6091380.587</v>
      </c>
      <c r="D51" s="19">
        <f t="shared" si="1"/>
        <v>-6434580.768</v>
      </c>
      <c r="E51" s="19">
        <f t="shared" si="2"/>
        <v>-6820655.614</v>
      </c>
      <c r="F51" s="9">
        <f t="shared" si="6"/>
        <v>343200.1808</v>
      </c>
      <c r="G51" s="9">
        <f t="shared" si="3"/>
        <v>28600.01507</v>
      </c>
    </row>
    <row r="52" ht="14.25" customHeight="1">
      <c r="A52" s="20">
        <f t="shared" si="4"/>
        <v>105</v>
      </c>
      <c r="B52" s="1" t="s">
        <v>14</v>
      </c>
      <c r="C52" s="19">
        <f t="shared" si="5"/>
        <v>-6820655.614</v>
      </c>
      <c r="D52" s="19">
        <f t="shared" si="1"/>
        <v>-7174151.801</v>
      </c>
      <c r="E52" s="19">
        <f t="shared" si="2"/>
        <v>-7604600.909</v>
      </c>
      <c r="F52" s="9">
        <f t="shared" si="6"/>
        <v>353496.1862</v>
      </c>
      <c r="G52" s="9">
        <f t="shared" si="3"/>
        <v>29458.01552</v>
      </c>
    </row>
    <row r="53" ht="14.25" customHeight="1">
      <c r="A53" s="20">
        <f t="shared" si="4"/>
        <v>106</v>
      </c>
      <c r="B53" s="1" t="s">
        <v>14</v>
      </c>
      <c r="C53" s="19">
        <f t="shared" si="5"/>
        <v>-7604600.909</v>
      </c>
      <c r="D53" s="19">
        <f t="shared" si="1"/>
        <v>-7968701.98</v>
      </c>
      <c r="E53" s="19">
        <f t="shared" si="2"/>
        <v>-8446824.099</v>
      </c>
      <c r="F53" s="9">
        <f t="shared" si="6"/>
        <v>364101.0718</v>
      </c>
      <c r="G53" s="9">
        <f t="shared" si="3"/>
        <v>30341.75599</v>
      </c>
    </row>
    <row r="54" ht="14.25" customHeight="1">
      <c r="A54" s="20">
        <f t="shared" si="4"/>
        <v>107</v>
      </c>
      <c r="B54" s="1" t="s">
        <v>14</v>
      </c>
      <c r="C54" s="19">
        <f t="shared" si="5"/>
        <v>-8446824.099</v>
      </c>
      <c r="D54" s="19">
        <f t="shared" si="1"/>
        <v>-8821848.203</v>
      </c>
      <c r="E54" s="19">
        <f t="shared" si="2"/>
        <v>-9351159.095</v>
      </c>
      <c r="F54" s="9">
        <f t="shared" si="6"/>
        <v>375024.104</v>
      </c>
      <c r="G54" s="9">
        <f t="shared" si="3"/>
        <v>31252.00867</v>
      </c>
    </row>
    <row r="55" ht="14.25" customHeight="1">
      <c r="A55" s="20">
        <f t="shared" si="4"/>
        <v>108</v>
      </c>
      <c r="B55" s="1" t="s">
        <v>14</v>
      </c>
      <c r="C55" s="19">
        <f t="shared" si="5"/>
        <v>-9351159.095</v>
      </c>
      <c r="D55" s="19">
        <f t="shared" si="1"/>
        <v>-9737433.922</v>
      </c>
      <c r="E55" s="19">
        <f t="shared" si="2"/>
        <v>-10321679.96</v>
      </c>
      <c r="F55" s="9">
        <f t="shared" si="6"/>
        <v>386274.8271</v>
      </c>
      <c r="G55" s="9">
        <f t="shared" si="3"/>
        <v>32189.56893</v>
      </c>
    </row>
    <row r="56" ht="14.25" customHeight="1">
      <c r="A56" s="20">
        <f t="shared" si="4"/>
        <v>109</v>
      </c>
      <c r="B56" s="1" t="s">
        <v>14</v>
      </c>
      <c r="C56" s="19">
        <f t="shared" si="5"/>
        <v>-10321679.96</v>
      </c>
      <c r="D56" s="19">
        <f t="shared" si="1"/>
        <v>-10719543.03</v>
      </c>
      <c r="E56" s="19">
        <f t="shared" si="2"/>
        <v>-11362715.61</v>
      </c>
      <c r="F56" s="9">
        <f t="shared" si="6"/>
        <v>397863.0719</v>
      </c>
      <c r="G56" s="9">
        <f t="shared" si="3"/>
        <v>33155.25599</v>
      </c>
    </row>
    <row r="57" ht="14.25" customHeight="1">
      <c r="A57" s="20">
        <f t="shared" si="4"/>
        <v>110</v>
      </c>
      <c r="B57" s="1" t="s">
        <v>14</v>
      </c>
      <c r="C57" s="19">
        <f t="shared" si="5"/>
        <v>-11362715.61</v>
      </c>
      <c r="D57" s="19">
        <f t="shared" si="1"/>
        <v>-11772514.58</v>
      </c>
      <c r="E57" s="19">
        <f t="shared" si="2"/>
        <v>-12478865.45</v>
      </c>
      <c r="F57" s="9">
        <f t="shared" si="6"/>
        <v>409798.9641</v>
      </c>
      <c r="G57" s="9">
        <f t="shared" si="3"/>
        <v>34149.91367</v>
      </c>
    </row>
    <row r="58" ht="14.25" customHeight="1">
      <c r="A58" s="20">
        <f t="shared" si="4"/>
        <v>111</v>
      </c>
      <c r="B58" s="1" t="s">
        <v>14</v>
      </c>
      <c r="C58" s="19">
        <f t="shared" si="5"/>
        <v>-12478865.45</v>
      </c>
      <c r="D58" s="19">
        <f t="shared" si="1"/>
        <v>-12900958.38</v>
      </c>
      <c r="E58" s="19">
        <f t="shared" si="2"/>
        <v>-13675015.89</v>
      </c>
      <c r="F58" s="9">
        <f t="shared" si="6"/>
        <v>422092.933</v>
      </c>
      <c r="G58" s="9">
        <f t="shared" si="3"/>
        <v>35174.41108</v>
      </c>
    </row>
    <row r="59" ht="14.25" customHeight="1">
      <c r="A59" s="20">
        <f t="shared" si="4"/>
        <v>112</v>
      </c>
      <c r="B59" s="1" t="s">
        <v>14</v>
      </c>
      <c r="C59" s="19">
        <f t="shared" si="5"/>
        <v>-13675015.89</v>
      </c>
      <c r="D59" s="19">
        <f t="shared" si="1"/>
        <v>-14109771.61</v>
      </c>
      <c r="E59" s="19">
        <f t="shared" si="2"/>
        <v>-14956357.9</v>
      </c>
      <c r="F59" s="9">
        <f t="shared" si="6"/>
        <v>434755.721</v>
      </c>
      <c r="G59" s="9">
        <f t="shared" si="3"/>
        <v>36229.64342</v>
      </c>
    </row>
    <row r="60" ht="14.25" customHeight="1">
      <c r="A60" s="20">
        <f t="shared" si="4"/>
        <v>113</v>
      </c>
      <c r="B60" s="1" t="s">
        <v>14</v>
      </c>
      <c r="C60" s="19">
        <f t="shared" si="5"/>
        <v>-14956357.9</v>
      </c>
      <c r="D60" s="19">
        <f t="shared" si="1"/>
        <v>-15404156.3</v>
      </c>
      <c r="E60" s="19">
        <f t="shared" si="2"/>
        <v>-16328405.67</v>
      </c>
      <c r="F60" s="9">
        <f t="shared" si="6"/>
        <v>447798.3926</v>
      </c>
      <c r="G60" s="9">
        <f t="shared" si="3"/>
        <v>37316.53272</v>
      </c>
    </row>
    <row r="61" ht="14.25" customHeight="1">
      <c r="A61" s="20">
        <f t="shared" si="4"/>
        <v>114</v>
      </c>
      <c r="B61" s="1" t="s">
        <v>14</v>
      </c>
      <c r="C61" s="19">
        <f t="shared" si="5"/>
        <v>-16328405.67</v>
      </c>
      <c r="D61" s="19">
        <f t="shared" si="1"/>
        <v>-16789638.02</v>
      </c>
      <c r="E61" s="19">
        <f t="shared" si="2"/>
        <v>-17797016.3</v>
      </c>
      <c r="F61" s="9">
        <f t="shared" si="6"/>
        <v>461232.3444</v>
      </c>
      <c r="G61" s="9">
        <f t="shared" si="3"/>
        <v>38436.0287</v>
      </c>
    </row>
    <row r="62" ht="14.25" customHeight="1">
      <c r="A62" s="20">
        <f t="shared" si="4"/>
        <v>115</v>
      </c>
      <c r="B62" s="1" t="s">
        <v>14</v>
      </c>
      <c r="C62" s="19">
        <f t="shared" si="5"/>
        <v>-17797016.3</v>
      </c>
      <c r="D62" s="19">
        <f t="shared" si="1"/>
        <v>-18272085.61</v>
      </c>
      <c r="E62" s="19">
        <f t="shared" si="2"/>
        <v>-19368410.75</v>
      </c>
      <c r="F62" s="9">
        <f t="shared" si="6"/>
        <v>475069.3147</v>
      </c>
      <c r="G62" s="9">
        <f t="shared" si="3"/>
        <v>39589.10956</v>
      </c>
    </row>
    <row r="63" ht="14.25" customHeight="1">
      <c r="A63" s="20">
        <f t="shared" si="4"/>
        <v>116</v>
      </c>
      <c r="B63" s="1" t="s">
        <v>14</v>
      </c>
      <c r="C63" s="19">
        <f t="shared" si="5"/>
        <v>-19368410.75</v>
      </c>
      <c r="D63" s="19">
        <f t="shared" si="1"/>
        <v>-19857732.15</v>
      </c>
      <c r="E63" s="19">
        <f t="shared" si="2"/>
        <v>-21049196.07</v>
      </c>
      <c r="F63" s="9">
        <f t="shared" si="6"/>
        <v>489321.3942</v>
      </c>
      <c r="G63" s="9">
        <f t="shared" si="3"/>
        <v>40776.78285</v>
      </c>
    </row>
    <row r="64" ht="14.25" customHeight="1">
      <c r="A64" s="20">
        <f t="shared" si="4"/>
        <v>117</v>
      </c>
      <c r="B64" s="1" t="s">
        <v>14</v>
      </c>
      <c r="C64" s="19">
        <f t="shared" si="5"/>
        <v>-21049196.07</v>
      </c>
      <c r="D64" s="19">
        <f t="shared" si="1"/>
        <v>-21553197.11</v>
      </c>
      <c r="E64" s="19">
        <f t="shared" si="2"/>
        <v>-22846388.94</v>
      </c>
      <c r="F64" s="9">
        <f t="shared" si="6"/>
        <v>504001.036</v>
      </c>
      <c r="G64" s="9">
        <f t="shared" si="3"/>
        <v>42000.08633</v>
      </c>
    </row>
    <row r="65" ht="14.25" customHeight="1">
      <c r="A65" s="20">
        <f t="shared" si="4"/>
        <v>118</v>
      </c>
      <c r="B65" s="1" t="s">
        <v>14</v>
      </c>
      <c r="C65" s="19">
        <f t="shared" si="5"/>
        <v>-22846388.94</v>
      </c>
      <c r="D65" s="19">
        <f t="shared" si="1"/>
        <v>-23365510</v>
      </c>
      <c r="E65" s="19">
        <f t="shared" si="2"/>
        <v>-24767440.6</v>
      </c>
      <c r="F65" s="9">
        <f t="shared" si="6"/>
        <v>519121.0671</v>
      </c>
      <c r="G65" s="9">
        <f t="shared" si="3"/>
        <v>43260.08892</v>
      </c>
    </row>
    <row r="66" ht="14.25" customHeight="1">
      <c r="A66" s="20">
        <f t="shared" si="4"/>
        <v>119</v>
      </c>
      <c r="B66" s="1" t="s">
        <v>14</v>
      </c>
      <c r="C66" s="19">
        <f t="shared" si="5"/>
        <v>-24767440.6</v>
      </c>
      <c r="D66" s="19">
        <f t="shared" si="1"/>
        <v>-25302135.3</v>
      </c>
      <c r="E66" s="19">
        <f t="shared" si="2"/>
        <v>-26820263.42</v>
      </c>
      <c r="F66" s="9">
        <f t="shared" si="6"/>
        <v>534694.6991</v>
      </c>
      <c r="G66" s="9">
        <f t="shared" si="3"/>
        <v>44557.89159</v>
      </c>
    </row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conditionalFormatting sqref="C17:C66">
    <cfRule type="cellIs" dxfId="0" priority="1" operator="lessThanOrEqual">
      <formula>0</formula>
    </cfRule>
  </conditionalFormatting>
  <conditionalFormatting sqref="C17:C66">
    <cfRule type="cellIs" dxfId="1" priority="2" operator="greaterThanOrEqual">
      <formula>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4" max="4" width="5.29"/>
    <col customWidth="1" min="5" max="5" width="10.57"/>
    <col customWidth="1" min="6" max="6" width="18.86"/>
    <col customWidth="1" min="8" max="9" width="19.14"/>
  </cols>
  <sheetData>
    <row r="1">
      <c r="A1" s="21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21" t="s">
        <v>16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23" t="s">
        <v>17</v>
      </c>
      <c r="B5" s="24">
        <v>2020.0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25" t="s">
        <v>18</v>
      </c>
      <c r="B6" s="26">
        <v>1120000.0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25" t="s">
        <v>19</v>
      </c>
      <c r="B7" s="27" t="s">
        <v>20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25" t="s">
        <v>21</v>
      </c>
      <c r="B8" s="24">
        <v>20.0</v>
      </c>
      <c r="C8" s="22"/>
      <c r="D8" s="22"/>
      <c r="E8" s="22"/>
      <c r="F8" s="28" t="s">
        <v>22</v>
      </c>
      <c r="G8" s="29">
        <f>B19+B20+B21</f>
        <v>155135</v>
      </c>
      <c r="H8" s="22"/>
      <c r="I8" s="30" t="s">
        <v>23</v>
      </c>
      <c r="J8" s="31">
        <v>0.06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25" t="s">
        <v>24</v>
      </c>
      <c r="B9" s="26">
        <v>800.0</v>
      </c>
      <c r="C9" s="22"/>
      <c r="D9" s="22"/>
      <c r="E9" s="22"/>
      <c r="F9" s="32"/>
      <c r="G9" s="32"/>
      <c r="H9" s="32"/>
      <c r="I9" s="22"/>
      <c r="J9" s="22"/>
      <c r="K9" s="22"/>
      <c r="L9" s="22"/>
      <c r="M9" s="22"/>
      <c r="N9" s="22"/>
      <c r="O9" s="30" t="s">
        <v>25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32"/>
      <c r="B10" s="33"/>
      <c r="C10" s="22"/>
      <c r="D10" s="34" t="s">
        <v>26</v>
      </c>
      <c r="E10" s="35" t="s">
        <v>27</v>
      </c>
      <c r="F10" s="35" t="s">
        <v>28</v>
      </c>
      <c r="G10" s="36" t="s">
        <v>29</v>
      </c>
      <c r="H10" s="35" t="s">
        <v>30</v>
      </c>
      <c r="I10" s="35" t="s">
        <v>31</v>
      </c>
      <c r="J10" s="35" t="s">
        <v>32</v>
      </c>
      <c r="K10" s="35" t="s">
        <v>33</v>
      </c>
      <c r="L10" s="35" t="s">
        <v>34</v>
      </c>
      <c r="M10" s="35" t="s">
        <v>35</v>
      </c>
      <c r="N10" s="35" t="s">
        <v>36</v>
      </c>
      <c r="O10" s="36" t="s">
        <v>37</v>
      </c>
      <c r="P10" s="36" t="s">
        <v>38</v>
      </c>
      <c r="Q10" s="36" t="s">
        <v>39</v>
      </c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28" t="s">
        <v>40</v>
      </c>
      <c r="B11" s="37">
        <v>0.03</v>
      </c>
      <c r="C11" s="22"/>
      <c r="D11" s="38">
        <f>B5</f>
        <v>2020</v>
      </c>
      <c r="E11" s="39">
        <v>1.0</v>
      </c>
      <c r="F11" s="40">
        <f>B26+B25+B24+B28</f>
        <v>8048</v>
      </c>
      <c r="G11" s="40">
        <f t="shared" ref="G11:G12" si="2">12 * $B$22</f>
        <v>80778.58248</v>
      </c>
      <c r="H11" s="40">
        <f>G11</f>
        <v>80778.58248</v>
      </c>
      <c r="I11" s="40">
        <f t="shared" ref="I11:I68" si="3">IF($B$15*J11 &gt; 0, $B$15*J11, 0)</f>
        <v>51000</v>
      </c>
      <c r="J11" s="29">
        <f>$B$18</f>
        <v>1020000</v>
      </c>
      <c r="K11" s="29">
        <f>$B$6</f>
        <v>1120000</v>
      </c>
      <c r="L11" s="29">
        <f t="shared" ref="L11:L68" si="4">M11/52</f>
        <v>800</v>
      </c>
      <c r="M11" s="29">
        <f>B27</f>
        <v>41600</v>
      </c>
      <c r="N11" s="29">
        <f t="shared" ref="N11:N68" si="5">SUM($M$11:M11)</f>
        <v>41600</v>
      </c>
      <c r="O11" s="41">
        <f t="shared" ref="O11:O68" si="6">(K11+N11)-(J11+H11+$G$8)</f>
        <v>-94313.58248</v>
      </c>
      <c r="P11" s="40">
        <f t="shared" ref="P11:P68" si="7">IF((G11+F11 -M11) &gt; 0, (G11+F11 -M11), 0)</f>
        <v>47226.58248</v>
      </c>
      <c r="Q11" s="29">
        <f>G$8*($J$8+1)</f>
        <v>164443.1</v>
      </c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28" t="s">
        <v>41</v>
      </c>
      <c r="B12" s="42">
        <v>0.03</v>
      </c>
      <c r="C12" s="22"/>
      <c r="D12" s="38">
        <f t="shared" ref="D12:E12" si="1">D11+1</f>
        <v>2021</v>
      </c>
      <c r="E12" s="39">
        <f t="shared" si="1"/>
        <v>2</v>
      </c>
      <c r="F12" s="40">
        <f t="shared" ref="F12:F68" si="9">F11*(1+$B$12)</f>
        <v>8289.44</v>
      </c>
      <c r="G12" s="40">
        <f t="shared" si="2"/>
        <v>80778.58248</v>
      </c>
      <c r="H12" s="40">
        <f t="shared" ref="H12:H68" si="10">SUM($G$11:G12)</f>
        <v>161557.165</v>
      </c>
      <c r="I12" s="40">
        <f t="shared" si="3"/>
        <v>49511.07088</v>
      </c>
      <c r="J12" s="29">
        <f t="shared" ref="J12:J68" si="11">IF(J11+I11-G11 &gt; 0, J11+I11-G11, 0)</f>
        <v>990221.4175</v>
      </c>
      <c r="K12" s="29">
        <f t="shared" ref="K12:K68" si="12">IF($B$7="House",K11*(1+$B$13),K11*(1+$B$14))</f>
        <v>1153600</v>
      </c>
      <c r="L12" s="29">
        <f t="shared" si="4"/>
        <v>824</v>
      </c>
      <c r="M12" s="29">
        <f t="shared" ref="M12:M68" si="13">M11*(1+$B$11)</f>
        <v>42848</v>
      </c>
      <c r="N12" s="29">
        <f t="shared" si="5"/>
        <v>84448</v>
      </c>
      <c r="O12" s="41">
        <f t="shared" si="6"/>
        <v>-68865.58248</v>
      </c>
      <c r="P12" s="40">
        <f t="shared" si="7"/>
        <v>46220.02248</v>
      </c>
      <c r="Q12" s="29">
        <f t="shared" ref="Q12:Q68" si="14">(Q11+P11)*(1+$J$8)</f>
        <v>224369.8634</v>
      </c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25" t="s">
        <v>42</v>
      </c>
      <c r="B13" s="42">
        <v>0.03</v>
      </c>
      <c r="C13" s="22"/>
      <c r="D13" s="38">
        <f t="shared" ref="D13:E13" si="8">D12+1</f>
        <v>2022</v>
      </c>
      <c r="E13" s="38">
        <f t="shared" si="8"/>
        <v>3</v>
      </c>
      <c r="F13" s="40">
        <f t="shared" si="9"/>
        <v>8538.1232</v>
      </c>
      <c r="G13" s="40">
        <f t="shared" ref="G13:G68" si="16">IF(J13&gt;0,12 * $B$22,0)</f>
        <v>80778.58248</v>
      </c>
      <c r="H13" s="40">
        <f t="shared" si="10"/>
        <v>242335.7474</v>
      </c>
      <c r="I13" s="40">
        <f t="shared" si="3"/>
        <v>47947.6953</v>
      </c>
      <c r="J13" s="29">
        <f t="shared" si="11"/>
        <v>958953.9059</v>
      </c>
      <c r="K13" s="29">
        <f t="shared" si="12"/>
        <v>1188208</v>
      </c>
      <c r="L13" s="29">
        <f t="shared" si="4"/>
        <v>848.72</v>
      </c>
      <c r="M13" s="29">
        <f t="shared" si="13"/>
        <v>44133.44</v>
      </c>
      <c r="N13" s="29">
        <f t="shared" si="5"/>
        <v>128581.44</v>
      </c>
      <c r="O13" s="26">
        <f t="shared" si="6"/>
        <v>-39635.21336</v>
      </c>
      <c r="P13" s="40">
        <f t="shared" si="7"/>
        <v>45183.26568</v>
      </c>
      <c r="Q13" s="29">
        <f t="shared" si="14"/>
        <v>286825.2791</v>
      </c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25" t="s">
        <v>43</v>
      </c>
      <c r="B14" s="42">
        <v>0.02</v>
      </c>
      <c r="C14" s="22"/>
      <c r="D14" s="38">
        <f t="shared" ref="D14:E14" si="15">D13+1</f>
        <v>2023</v>
      </c>
      <c r="E14" s="38">
        <f t="shared" si="15"/>
        <v>4</v>
      </c>
      <c r="F14" s="40">
        <f t="shared" si="9"/>
        <v>8794.266896</v>
      </c>
      <c r="G14" s="40">
        <f t="shared" si="16"/>
        <v>80778.58248</v>
      </c>
      <c r="H14" s="40">
        <f t="shared" si="10"/>
        <v>323114.3299</v>
      </c>
      <c r="I14" s="40">
        <f t="shared" si="3"/>
        <v>46306.15094</v>
      </c>
      <c r="J14" s="29">
        <f t="shared" si="11"/>
        <v>926123.0187</v>
      </c>
      <c r="K14" s="29">
        <f t="shared" si="12"/>
        <v>1223854.24</v>
      </c>
      <c r="L14" s="29">
        <f t="shared" si="4"/>
        <v>874.1816</v>
      </c>
      <c r="M14" s="29">
        <f t="shared" si="13"/>
        <v>45457.4432</v>
      </c>
      <c r="N14" s="29">
        <f t="shared" si="5"/>
        <v>174038.8832</v>
      </c>
      <c r="O14" s="26">
        <f t="shared" si="6"/>
        <v>-6479.225452</v>
      </c>
      <c r="P14" s="40">
        <f t="shared" si="7"/>
        <v>44115.40618</v>
      </c>
      <c r="Q14" s="29">
        <f t="shared" si="14"/>
        <v>351929.0574</v>
      </c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>
      <c r="A15" s="25" t="s">
        <v>44</v>
      </c>
      <c r="B15" s="37">
        <v>0.05</v>
      </c>
      <c r="C15" s="22"/>
      <c r="D15" s="38">
        <f t="shared" ref="D15:E15" si="17">D14+1</f>
        <v>2024</v>
      </c>
      <c r="E15" s="38">
        <f t="shared" si="17"/>
        <v>5</v>
      </c>
      <c r="F15" s="40">
        <f t="shared" si="9"/>
        <v>9058.094903</v>
      </c>
      <c r="G15" s="40">
        <f t="shared" si="16"/>
        <v>80778.58248</v>
      </c>
      <c r="H15" s="40">
        <f t="shared" si="10"/>
        <v>403892.9124</v>
      </c>
      <c r="I15" s="40">
        <f t="shared" si="3"/>
        <v>44582.52936</v>
      </c>
      <c r="J15" s="29">
        <f t="shared" si="11"/>
        <v>891650.5872</v>
      </c>
      <c r="K15" s="29">
        <f t="shared" si="12"/>
        <v>1260569.867</v>
      </c>
      <c r="L15" s="29">
        <f t="shared" si="4"/>
        <v>900.407048</v>
      </c>
      <c r="M15" s="29">
        <f t="shared" si="13"/>
        <v>46821.1665</v>
      </c>
      <c r="N15" s="29">
        <f t="shared" si="5"/>
        <v>220860.0497</v>
      </c>
      <c r="O15" s="26">
        <f t="shared" si="6"/>
        <v>30751.41731</v>
      </c>
      <c r="P15" s="40">
        <f t="shared" si="7"/>
        <v>43015.51089</v>
      </c>
      <c r="Q15" s="29">
        <f t="shared" si="14"/>
        <v>419807.1314</v>
      </c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25" t="s">
        <v>45</v>
      </c>
      <c r="B16" s="37">
        <v>0.05</v>
      </c>
      <c r="C16" s="22"/>
      <c r="D16" s="38">
        <f t="shared" ref="D16:E16" si="18">D15+1</f>
        <v>2025</v>
      </c>
      <c r="E16" s="38">
        <f t="shared" si="18"/>
        <v>6</v>
      </c>
      <c r="F16" s="40">
        <f t="shared" si="9"/>
        <v>9329.83775</v>
      </c>
      <c r="G16" s="40">
        <f t="shared" si="16"/>
        <v>80778.58248</v>
      </c>
      <c r="H16" s="40">
        <f t="shared" si="10"/>
        <v>484671.4949</v>
      </c>
      <c r="I16" s="40">
        <f t="shared" si="3"/>
        <v>42772.7267</v>
      </c>
      <c r="J16" s="29">
        <f t="shared" si="11"/>
        <v>855454.5341</v>
      </c>
      <c r="K16" s="29">
        <f t="shared" si="12"/>
        <v>1298386.963</v>
      </c>
      <c r="L16" s="29">
        <f t="shared" si="4"/>
        <v>927.4192594</v>
      </c>
      <c r="M16" s="29">
        <f t="shared" si="13"/>
        <v>48225.80149</v>
      </c>
      <c r="N16" s="29">
        <f t="shared" si="5"/>
        <v>269085.8512</v>
      </c>
      <c r="O16" s="26">
        <f t="shared" si="6"/>
        <v>72211.78546</v>
      </c>
      <c r="P16" s="40">
        <f t="shared" si="7"/>
        <v>41882.61874</v>
      </c>
      <c r="Q16" s="29">
        <f t="shared" si="14"/>
        <v>490592.0008</v>
      </c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32"/>
      <c r="B17" s="43"/>
      <c r="C17" s="22"/>
      <c r="D17" s="38">
        <f t="shared" ref="D17:E17" si="19">D16+1</f>
        <v>2026</v>
      </c>
      <c r="E17" s="38">
        <f t="shared" si="19"/>
        <v>7</v>
      </c>
      <c r="F17" s="40">
        <f t="shared" si="9"/>
        <v>9609.732882</v>
      </c>
      <c r="G17" s="40">
        <f t="shared" si="16"/>
        <v>80778.58248</v>
      </c>
      <c r="H17" s="40">
        <f t="shared" si="10"/>
        <v>565450.0774</v>
      </c>
      <c r="I17" s="40">
        <f t="shared" si="3"/>
        <v>40872.43391</v>
      </c>
      <c r="J17" s="29">
        <f t="shared" si="11"/>
        <v>817448.6783</v>
      </c>
      <c r="K17" s="29">
        <f t="shared" si="12"/>
        <v>1337338.572</v>
      </c>
      <c r="L17" s="29">
        <f t="shared" si="4"/>
        <v>955.2418372</v>
      </c>
      <c r="M17" s="29">
        <f t="shared" si="13"/>
        <v>49672.57554</v>
      </c>
      <c r="N17" s="29">
        <f t="shared" si="5"/>
        <v>318758.4267</v>
      </c>
      <c r="O17" s="26">
        <f t="shared" si="6"/>
        <v>118063.2432</v>
      </c>
      <c r="P17" s="40">
        <f t="shared" si="7"/>
        <v>40715.73983</v>
      </c>
      <c r="Q17" s="29">
        <f t="shared" si="14"/>
        <v>564423.0968</v>
      </c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44" t="s">
        <v>46</v>
      </c>
      <c r="B18" s="29">
        <f>B6-B19</f>
        <v>1020000</v>
      </c>
      <c r="C18" s="22"/>
      <c r="D18" s="38">
        <f t="shared" ref="D18:E18" si="20">D17+1</f>
        <v>2027</v>
      </c>
      <c r="E18" s="38">
        <f t="shared" si="20"/>
        <v>8</v>
      </c>
      <c r="F18" s="40">
        <f t="shared" si="9"/>
        <v>9898.024869</v>
      </c>
      <c r="G18" s="40">
        <f t="shared" si="16"/>
        <v>80778.58248</v>
      </c>
      <c r="H18" s="40">
        <f t="shared" si="10"/>
        <v>646228.6598</v>
      </c>
      <c r="I18" s="40">
        <f t="shared" si="3"/>
        <v>38877.12649</v>
      </c>
      <c r="J18" s="29">
        <f t="shared" si="11"/>
        <v>777542.5297</v>
      </c>
      <c r="K18" s="29">
        <f t="shared" si="12"/>
        <v>1377458.729</v>
      </c>
      <c r="L18" s="29">
        <f t="shared" si="4"/>
        <v>983.8990923</v>
      </c>
      <c r="M18" s="29">
        <f t="shared" si="13"/>
        <v>51162.7528</v>
      </c>
      <c r="N18" s="29">
        <f t="shared" si="5"/>
        <v>369921.1795</v>
      </c>
      <c r="O18" s="26">
        <f t="shared" si="6"/>
        <v>168473.7192</v>
      </c>
      <c r="P18" s="40">
        <f t="shared" si="7"/>
        <v>39513.85455</v>
      </c>
      <c r="Q18" s="29">
        <f t="shared" si="14"/>
        <v>641447.1668</v>
      </c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30" t="s">
        <v>47</v>
      </c>
      <c r="B19" s="29">
        <v>100000.0</v>
      </c>
      <c r="C19" s="22"/>
      <c r="D19" s="38">
        <f t="shared" ref="D19:E19" si="21">D18+1</f>
        <v>2028</v>
      </c>
      <c r="E19" s="38">
        <f t="shared" si="21"/>
        <v>9</v>
      </c>
      <c r="F19" s="40">
        <f t="shared" si="9"/>
        <v>10194.96562</v>
      </c>
      <c r="G19" s="40">
        <f t="shared" si="16"/>
        <v>80778.58248</v>
      </c>
      <c r="H19" s="40">
        <f t="shared" si="10"/>
        <v>727007.2423</v>
      </c>
      <c r="I19" s="40">
        <f t="shared" si="3"/>
        <v>36782.05369</v>
      </c>
      <c r="J19" s="29">
        <f t="shared" si="11"/>
        <v>735641.0737</v>
      </c>
      <c r="K19" s="29">
        <f t="shared" si="12"/>
        <v>1418782.491</v>
      </c>
      <c r="L19" s="29">
        <f t="shared" si="4"/>
        <v>1013.416065</v>
      </c>
      <c r="M19" s="29">
        <f t="shared" si="13"/>
        <v>52697.63539</v>
      </c>
      <c r="N19" s="29">
        <f t="shared" si="5"/>
        <v>422618.8149</v>
      </c>
      <c r="O19" s="26">
        <f t="shared" si="6"/>
        <v>223617.99</v>
      </c>
      <c r="P19" s="40">
        <f t="shared" si="7"/>
        <v>38275.91271</v>
      </c>
      <c r="Q19" s="29">
        <f t="shared" si="14"/>
        <v>721818.6826</v>
      </c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30" t="s">
        <v>48</v>
      </c>
      <c r="B20" s="29">
        <f> 10530 + 4.5 * ((B6 - 351000)/100)</f>
        <v>45135</v>
      </c>
      <c r="C20" s="22"/>
      <c r="D20" s="38">
        <f t="shared" ref="D20:E20" si="22">D19+1</f>
        <v>2029</v>
      </c>
      <c r="E20" s="38">
        <f t="shared" si="22"/>
        <v>10</v>
      </c>
      <c r="F20" s="40">
        <f t="shared" si="9"/>
        <v>10500.81458</v>
      </c>
      <c r="G20" s="40">
        <f t="shared" si="16"/>
        <v>80778.58248</v>
      </c>
      <c r="H20" s="40">
        <f t="shared" si="10"/>
        <v>807785.8248</v>
      </c>
      <c r="I20" s="40">
        <f t="shared" si="3"/>
        <v>34582.22725</v>
      </c>
      <c r="J20" s="29">
        <f t="shared" si="11"/>
        <v>691644.5449</v>
      </c>
      <c r="K20" s="29">
        <f t="shared" si="12"/>
        <v>1461345.966</v>
      </c>
      <c r="L20" s="29">
        <f t="shared" si="4"/>
        <v>1043.818547</v>
      </c>
      <c r="M20" s="29">
        <f t="shared" si="13"/>
        <v>54278.56445</v>
      </c>
      <c r="N20" s="29">
        <f t="shared" si="5"/>
        <v>476897.3794</v>
      </c>
      <c r="O20" s="26">
        <f t="shared" si="6"/>
        <v>283677.9755</v>
      </c>
      <c r="P20" s="40">
        <f t="shared" si="7"/>
        <v>37000.83262</v>
      </c>
      <c r="Q20" s="29">
        <f t="shared" si="14"/>
        <v>805700.271</v>
      </c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30" t="s">
        <v>49</v>
      </c>
      <c r="B21" s="45">
        <v>10000.0</v>
      </c>
      <c r="C21" s="22"/>
      <c r="D21" s="38">
        <f t="shared" ref="D21:E21" si="23">D20+1</f>
        <v>2030</v>
      </c>
      <c r="E21" s="38">
        <f t="shared" si="23"/>
        <v>11</v>
      </c>
      <c r="F21" s="40">
        <f t="shared" si="9"/>
        <v>10815.83902</v>
      </c>
      <c r="G21" s="40">
        <f t="shared" si="16"/>
        <v>80778.58248</v>
      </c>
      <c r="H21" s="40">
        <f t="shared" si="10"/>
        <v>888564.4073</v>
      </c>
      <c r="I21" s="40">
        <f t="shared" si="3"/>
        <v>32272.40949</v>
      </c>
      <c r="J21" s="29">
        <f t="shared" si="11"/>
        <v>645448.1897</v>
      </c>
      <c r="K21" s="29">
        <f t="shared" si="12"/>
        <v>1505186.345</v>
      </c>
      <c r="L21" s="29">
        <f t="shared" si="4"/>
        <v>1075.133103</v>
      </c>
      <c r="M21" s="29">
        <f t="shared" si="13"/>
        <v>55906.92138</v>
      </c>
      <c r="N21" s="29">
        <f t="shared" si="5"/>
        <v>532804.3007</v>
      </c>
      <c r="O21" s="26">
        <f t="shared" si="6"/>
        <v>348843.0486</v>
      </c>
      <c r="P21" s="40">
        <f t="shared" si="7"/>
        <v>35687.50012</v>
      </c>
      <c r="Q21" s="29">
        <f t="shared" si="14"/>
        <v>893263.1699</v>
      </c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30" t="s">
        <v>50</v>
      </c>
      <c r="B22" s="40">
        <f>PMT(B15/12,B8*12,B18) *-1</f>
        <v>6731.54854</v>
      </c>
      <c r="C22" s="22"/>
      <c r="D22" s="38">
        <f t="shared" ref="D22:E22" si="24">D21+1</f>
        <v>2031</v>
      </c>
      <c r="E22" s="38">
        <f t="shared" si="24"/>
        <v>12</v>
      </c>
      <c r="F22" s="40">
        <f t="shared" si="9"/>
        <v>11140.31419</v>
      </c>
      <c r="G22" s="40">
        <f t="shared" si="16"/>
        <v>80778.58248</v>
      </c>
      <c r="H22" s="40">
        <f t="shared" si="10"/>
        <v>969342.9898</v>
      </c>
      <c r="I22" s="40">
        <f t="shared" si="3"/>
        <v>29847.10084</v>
      </c>
      <c r="J22" s="29">
        <f t="shared" si="11"/>
        <v>596942.0167</v>
      </c>
      <c r="K22" s="29">
        <f t="shared" si="12"/>
        <v>1550341.935</v>
      </c>
      <c r="L22" s="29">
        <f t="shared" si="4"/>
        <v>1107.387097</v>
      </c>
      <c r="M22" s="29">
        <f t="shared" si="13"/>
        <v>57584.12902</v>
      </c>
      <c r="N22" s="29">
        <f t="shared" si="5"/>
        <v>590388.4298</v>
      </c>
      <c r="O22" s="26">
        <f t="shared" si="6"/>
        <v>419310.3585</v>
      </c>
      <c r="P22" s="40">
        <f t="shared" si="7"/>
        <v>34334.76765</v>
      </c>
      <c r="Q22" s="29">
        <f t="shared" si="14"/>
        <v>984687.7102</v>
      </c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30" t="s">
        <v>51</v>
      </c>
      <c r="B23" s="40">
        <f>12 *B22</f>
        <v>80778.58248</v>
      </c>
      <c r="C23" s="22"/>
      <c r="D23" s="38">
        <f t="shared" ref="D23:E23" si="25">D22+1</f>
        <v>2032</v>
      </c>
      <c r="E23" s="38">
        <f t="shared" si="25"/>
        <v>13</v>
      </c>
      <c r="F23" s="40">
        <f t="shared" si="9"/>
        <v>11474.52362</v>
      </c>
      <c r="G23" s="40">
        <f t="shared" si="16"/>
        <v>80778.58248</v>
      </c>
      <c r="H23" s="40">
        <f t="shared" si="10"/>
        <v>1050121.572</v>
      </c>
      <c r="I23" s="40">
        <f t="shared" si="3"/>
        <v>27300.52675</v>
      </c>
      <c r="J23" s="29">
        <f t="shared" si="11"/>
        <v>546010.5351</v>
      </c>
      <c r="K23" s="29">
        <f t="shared" si="12"/>
        <v>1596852.193</v>
      </c>
      <c r="L23" s="29">
        <f t="shared" si="4"/>
        <v>1140.608709</v>
      </c>
      <c r="M23" s="29">
        <f t="shared" si="13"/>
        <v>59311.65289</v>
      </c>
      <c r="N23" s="29">
        <f t="shared" si="5"/>
        <v>649700.0827</v>
      </c>
      <c r="O23" s="26">
        <f t="shared" si="6"/>
        <v>495285.1686</v>
      </c>
      <c r="P23" s="40">
        <f t="shared" si="7"/>
        <v>32941.4532</v>
      </c>
      <c r="Q23" s="29">
        <f t="shared" si="14"/>
        <v>1080163.827</v>
      </c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30" t="s">
        <v>52</v>
      </c>
      <c r="B24" s="40">
        <f>150*4</f>
        <v>600</v>
      </c>
      <c r="C24" s="22"/>
      <c r="D24" s="38">
        <f t="shared" ref="D24:E24" si="26">D23+1</f>
        <v>2033</v>
      </c>
      <c r="E24" s="38">
        <f t="shared" si="26"/>
        <v>14</v>
      </c>
      <c r="F24" s="40">
        <f t="shared" si="9"/>
        <v>11818.75933</v>
      </c>
      <c r="G24" s="40">
        <f t="shared" si="16"/>
        <v>80778.58248</v>
      </c>
      <c r="H24" s="40">
        <f t="shared" si="10"/>
        <v>1130900.155</v>
      </c>
      <c r="I24" s="40">
        <f t="shared" si="3"/>
        <v>24626.62397</v>
      </c>
      <c r="J24" s="29">
        <f t="shared" si="11"/>
        <v>492532.4793</v>
      </c>
      <c r="K24" s="29">
        <f t="shared" si="12"/>
        <v>1644757.759</v>
      </c>
      <c r="L24" s="29">
        <f t="shared" si="4"/>
        <v>1174.826971</v>
      </c>
      <c r="M24" s="29">
        <f t="shared" si="13"/>
        <v>61091.00248</v>
      </c>
      <c r="N24" s="29">
        <f t="shared" si="5"/>
        <v>710791.0851</v>
      </c>
      <c r="O24" s="26">
        <f t="shared" si="6"/>
        <v>576981.2101</v>
      </c>
      <c r="P24" s="40">
        <f t="shared" si="7"/>
        <v>31506.33933</v>
      </c>
      <c r="Q24" s="29">
        <f t="shared" si="14"/>
        <v>1179891.597</v>
      </c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30" t="s">
        <v>53</v>
      </c>
      <c r="B25" s="40">
        <f>1362*4</f>
        <v>5448</v>
      </c>
      <c r="C25" s="22"/>
      <c r="D25" s="38">
        <f t="shared" ref="D25:E25" si="27">D24+1</f>
        <v>2034</v>
      </c>
      <c r="E25" s="38">
        <f t="shared" si="27"/>
        <v>15</v>
      </c>
      <c r="F25" s="40">
        <f t="shared" si="9"/>
        <v>12173.32211</v>
      </c>
      <c r="G25" s="40">
        <f t="shared" si="16"/>
        <v>80778.58248</v>
      </c>
      <c r="H25" s="40">
        <f t="shared" si="10"/>
        <v>1211678.737</v>
      </c>
      <c r="I25" s="40">
        <f t="shared" si="3"/>
        <v>21819.02604</v>
      </c>
      <c r="J25" s="29">
        <f t="shared" si="11"/>
        <v>436380.5208</v>
      </c>
      <c r="K25" s="29">
        <f t="shared" si="12"/>
        <v>1694100.492</v>
      </c>
      <c r="L25" s="29">
        <f t="shared" si="4"/>
        <v>1210.07178</v>
      </c>
      <c r="M25" s="29">
        <f t="shared" si="13"/>
        <v>62923.73255</v>
      </c>
      <c r="N25" s="29">
        <f t="shared" si="5"/>
        <v>773714.8177</v>
      </c>
      <c r="O25" s="26">
        <f t="shared" si="6"/>
        <v>664621.0515</v>
      </c>
      <c r="P25" s="40">
        <f t="shared" si="7"/>
        <v>30028.17203</v>
      </c>
      <c r="Q25" s="29">
        <f t="shared" si="14"/>
        <v>1284081.812</v>
      </c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30" t="s">
        <v>54</v>
      </c>
      <c r="B26" s="40">
        <v>2000.0</v>
      </c>
      <c r="C26" s="22"/>
      <c r="D26" s="38">
        <f t="shared" ref="D26:E26" si="28">D25+1</f>
        <v>2035</v>
      </c>
      <c r="E26" s="38">
        <f t="shared" si="28"/>
        <v>16</v>
      </c>
      <c r="F26" s="40">
        <f t="shared" si="9"/>
        <v>12538.52177</v>
      </c>
      <c r="G26" s="40">
        <f t="shared" si="16"/>
        <v>80778.58248</v>
      </c>
      <c r="H26" s="40">
        <f t="shared" si="10"/>
        <v>1292457.32</v>
      </c>
      <c r="I26" s="40">
        <f t="shared" si="3"/>
        <v>18871.04822</v>
      </c>
      <c r="J26" s="29">
        <f t="shared" si="11"/>
        <v>377420.9644</v>
      </c>
      <c r="K26" s="29">
        <f t="shared" si="12"/>
        <v>1744923.507</v>
      </c>
      <c r="L26" s="29">
        <f t="shared" si="4"/>
        <v>1246.373933</v>
      </c>
      <c r="M26" s="29">
        <f t="shared" si="13"/>
        <v>64811.44453</v>
      </c>
      <c r="N26" s="29">
        <f t="shared" si="5"/>
        <v>838526.2622</v>
      </c>
      <c r="O26" s="26">
        <f t="shared" si="6"/>
        <v>758436.4847</v>
      </c>
      <c r="P26" s="40">
        <f t="shared" si="7"/>
        <v>28505.65972</v>
      </c>
      <c r="Q26" s="29">
        <f t="shared" si="14"/>
        <v>1392956.583</v>
      </c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30" t="s">
        <v>55</v>
      </c>
      <c r="B27" s="29">
        <f>52*$B$9</f>
        <v>41600</v>
      </c>
      <c r="C27" s="22"/>
      <c r="D27" s="38">
        <f t="shared" ref="D27:E27" si="29">D26+1</f>
        <v>2036</v>
      </c>
      <c r="E27" s="38">
        <f t="shared" si="29"/>
        <v>17</v>
      </c>
      <c r="F27" s="40">
        <f t="shared" si="9"/>
        <v>12914.67742</v>
      </c>
      <c r="G27" s="40">
        <f t="shared" si="16"/>
        <v>80778.58248</v>
      </c>
      <c r="H27" s="40">
        <f t="shared" si="10"/>
        <v>1373235.902</v>
      </c>
      <c r="I27" s="40">
        <f t="shared" si="3"/>
        <v>15775.67151</v>
      </c>
      <c r="J27" s="29">
        <f t="shared" si="11"/>
        <v>315513.4301</v>
      </c>
      <c r="K27" s="29">
        <f t="shared" si="12"/>
        <v>1797271.212</v>
      </c>
      <c r="L27" s="29">
        <f t="shared" si="4"/>
        <v>1283.765151</v>
      </c>
      <c r="M27" s="29">
        <f t="shared" si="13"/>
        <v>66755.78787</v>
      </c>
      <c r="N27" s="29">
        <f t="shared" si="5"/>
        <v>905282.0501</v>
      </c>
      <c r="O27" s="26">
        <f t="shared" si="6"/>
        <v>858668.9296</v>
      </c>
      <c r="P27" s="40">
        <f t="shared" si="7"/>
        <v>26937.47204</v>
      </c>
      <c r="Q27" s="29">
        <f t="shared" si="14"/>
        <v>1506749.977</v>
      </c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30" t="s">
        <v>56</v>
      </c>
      <c r="B28" s="29">
        <v>0.0</v>
      </c>
      <c r="C28" s="22"/>
      <c r="D28" s="38">
        <f t="shared" ref="D28:E28" si="30">D27+1</f>
        <v>2037</v>
      </c>
      <c r="E28" s="38">
        <f t="shared" si="30"/>
        <v>18</v>
      </c>
      <c r="F28" s="40">
        <f t="shared" si="9"/>
        <v>13302.11774</v>
      </c>
      <c r="G28" s="40">
        <f t="shared" si="16"/>
        <v>80778.58248</v>
      </c>
      <c r="H28" s="40">
        <f t="shared" si="10"/>
        <v>1454014.485</v>
      </c>
      <c r="I28" s="40">
        <f t="shared" si="3"/>
        <v>12525.52596</v>
      </c>
      <c r="J28" s="29">
        <f t="shared" si="11"/>
        <v>250510.5192</v>
      </c>
      <c r="K28" s="29">
        <f t="shared" si="12"/>
        <v>1851189.348</v>
      </c>
      <c r="L28" s="29">
        <f t="shared" si="4"/>
        <v>1322.278106</v>
      </c>
      <c r="M28" s="29">
        <f t="shared" si="13"/>
        <v>68758.4615</v>
      </c>
      <c r="N28" s="29">
        <f t="shared" si="5"/>
        <v>974040.5116</v>
      </c>
      <c r="O28" s="26">
        <f t="shared" si="6"/>
        <v>965569.8559</v>
      </c>
      <c r="P28" s="40">
        <f t="shared" si="7"/>
        <v>25322.23872</v>
      </c>
      <c r="Q28" s="29">
        <f t="shared" si="14"/>
        <v>1625708.696</v>
      </c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30" t="s">
        <v>57</v>
      </c>
      <c r="B29" s="29">
        <v>1250.0</v>
      </c>
      <c r="C29" s="22"/>
      <c r="D29" s="38">
        <f t="shared" ref="D29:E29" si="31">D28+1</f>
        <v>2038</v>
      </c>
      <c r="E29" s="38">
        <f t="shared" si="31"/>
        <v>19</v>
      </c>
      <c r="F29" s="40">
        <f t="shared" si="9"/>
        <v>13701.18128</v>
      </c>
      <c r="G29" s="40">
        <f t="shared" si="16"/>
        <v>80778.58248</v>
      </c>
      <c r="H29" s="40">
        <f t="shared" si="10"/>
        <v>1534793.067</v>
      </c>
      <c r="I29" s="40">
        <f t="shared" si="3"/>
        <v>9112.873131</v>
      </c>
      <c r="J29" s="29">
        <f t="shared" si="11"/>
        <v>182257.4626</v>
      </c>
      <c r="K29" s="29">
        <f t="shared" si="12"/>
        <v>1906725.029</v>
      </c>
      <c r="L29" s="29">
        <f t="shared" si="4"/>
        <v>1361.946449</v>
      </c>
      <c r="M29" s="29">
        <f t="shared" si="13"/>
        <v>70821.21535</v>
      </c>
      <c r="N29" s="29">
        <f t="shared" si="5"/>
        <v>1044861.727</v>
      </c>
      <c r="O29" s="26">
        <f t="shared" si="6"/>
        <v>1079401.226</v>
      </c>
      <c r="P29" s="40">
        <f t="shared" si="7"/>
        <v>23658.54841</v>
      </c>
      <c r="Q29" s="29">
        <f t="shared" si="14"/>
        <v>1750092.791</v>
      </c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22"/>
      <c r="B30" s="22"/>
      <c r="C30" s="22"/>
      <c r="D30" s="38">
        <f t="shared" ref="D30:E30" si="32">D29+1</f>
        <v>2039</v>
      </c>
      <c r="E30" s="38">
        <f t="shared" si="32"/>
        <v>20</v>
      </c>
      <c r="F30" s="40">
        <f t="shared" si="9"/>
        <v>14112.21672</v>
      </c>
      <c r="G30" s="40">
        <f t="shared" si="16"/>
        <v>80778.58248</v>
      </c>
      <c r="H30" s="40">
        <f t="shared" si="10"/>
        <v>1615571.65</v>
      </c>
      <c r="I30" s="40">
        <f t="shared" si="3"/>
        <v>5529.587664</v>
      </c>
      <c r="J30" s="29">
        <f t="shared" si="11"/>
        <v>110591.7533</v>
      </c>
      <c r="K30" s="29">
        <f t="shared" si="12"/>
        <v>1963926.779</v>
      </c>
      <c r="L30" s="29">
        <f t="shared" si="4"/>
        <v>1402.804842</v>
      </c>
      <c r="M30" s="29">
        <f t="shared" si="13"/>
        <v>72945.85181</v>
      </c>
      <c r="N30" s="29">
        <f t="shared" si="5"/>
        <v>1117807.579</v>
      </c>
      <c r="O30" s="26">
        <f t="shared" si="6"/>
        <v>1200435.955</v>
      </c>
      <c r="P30" s="40">
        <f t="shared" si="7"/>
        <v>21944.94739</v>
      </c>
      <c r="Q30" s="29">
        <f t="shared" si="14"/>
        <v>1880176.42</v>
      </c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22"/>
      <c r="B31" s="22"/>
      <c r="C31" s="22"/>
      <c r="D31" s="38">
        <f t="shared" ref="D31:E31" si="33">D30+1</f>
        <v>2040</v>
      </c>
      <c r="E31" s="38">
        <f t="shared" si="33"/>
        <v>21</v>
      </c>
      <c r="F31" s="40">
        <f t="shared" si="9"/>
        <v>14535.58322</v>
      </c>
      <c r="G31" s="40">
        <f t="shared" si="16"/>
        <v>80778.58248</v>
      </c>
      <c r="H31" s="40">
        <f t="shared" si="10"/>
        <v>1696350.232</v>
      </c>
      <c r="I31" s="40">
        <f t="shared" si="3"/>
        <v>1767.137923</v>
      </c>
      <c r="J31" s="29">
        <f t="shared" si="11"/>
        <v>35342.75846</v>
      </c>
      <c r="K31" s="29">
        <f t="shared" si="12"/>
        <v>2022844.583</v>
      </c>
      <c r="L31" s="29">
        <f t="shared" si="4"/>
        <v>1444.888988</v>
      </c>
      <c r="M31" s="29">
        <f t="shared" si="13"/>
        <v>75134.22736</v>
      </c>
      <c r="N31" s="29">
        <f t="shared" si="5"/>
        <v>1192941.806</v>
      </c>
      <c r="O31" s="26">
        <f t="shared" si="6"/>
        <v>1328958.398</v>
      </c>
      <c r="P31" s="40">
        <f t="shared" si="7"/>
        <v>20179.93833</v>
      </c>
      <c r="Q31" s="29">
        <f t="shared" si="14"/>
        <v>2016248.649</v>
      </c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22"/>
      <c r="B32" s="22"/>
      <c r="C32" s="22"/>
      <c r="D32" s="38">
        <f t="shared" ref="D32:E32" si="34">D31+1</f>
        <v>2041</v>
      </c>
      <c r="E32" s="38">
        <f t="shared" si="34"/>
        <v>22</v>
      </c>
      <c r="F32" s="40">
        <f t="shared" si="9"/>
        <v>14971.65071</v>
      </c>
      <c r="G32" s="40">
        <f t="shared" si="16"/>
        <v>0</v>
      </c>
      <c r="H32" s="40">
        <f t="shared" si="10"/>
        <v>1696350.232</v>
      </c>
      <c r="I32" s="40">
        <f t="shared" si="3"/>
        <v>0</v>
      </c>
      <c r="J32" s="29">
        <f t="shared" si="11"/>
        <v>0</v>
      </c>
      <c r="K32" s="29">
        <f t="shared" si="12"/>
        <v>2083529.92</v>
      </c>
      <c r="L32" s="29">
        <f t="shared" si="4"/>
        <v>1488.235657</v>
      </c>
      <c r="M32" s="29">
        <f t="shared" si="13"/>
        <v>77388.25418</v>
      </c>
      <c r="N32" s="29">
        <f t="shared" si="5"/>
        <v>1270330.06</v>
      </c>
      <c r="O32" s="26">
        <f t="shared" si="6"/>
        <v>1502374.749</v>
      </c>
      <c r="P32" s="38">
        <f t="shared" si="7"/>
        <v>0</v>
      </c>
      <c r="Q32" s="29">
        <f t="shared" si="14"/>
        <v>2158614.303</v>
      </c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22"/>
      <c r="B33" s="22"/>
      <c r="C33" s="22"/>
      <c r="D33" s="38">
        <f t="shared" ref="D33:E33" si="35">D32+1</f>
        <v>2042</v>
      </c>
      <c r="E33" s="38">
        <f t="shared" si="35"/>
        <v>23</v>
      </c>
      <c r="F33" s="40">
        <f t="shared" si="9"/>
        <v>15420.80023</v>
      </c>
      <c r="G33" s="40">
        <f t="shared" si="16"/>
        <v>0</v>
      </c>
      <c r="H33" s="40">
        <f t="shared" si="10"/>
        <v>1696350.232</v>
      </c>
      <c r="I33" s="40">
        <f t="shared" si="3"/>
        <v>0</v>
      </c>
      <c r="J33" s="29">
        <f t="shared" si="11"/>
        <v>0</v>
      </c>
      <c r="K33" s="29">
        <f t="shared" si="12"/>
        <v>2146035.818</v>
      </c>
      <c r="L33" s="29">
        <f t="shared" si="4"/>
        <v>1532.882727</v>
      </c>
      <c r="M33" s="29">
        <f t="shared" si="13"/>
        <v>79709.90181</v>
      </c>
      <c r="N33" s="29">
        <f t="shared" si="5"/>
        <v>1350039.962</v>
      </c>
      <c r="O33" s="26">
        <f t="shared" si="6"/>
        <v>1644590.548</v>
      </c>
      <c r="P33" s="38">
        <f t="shared" si="7"/>
        <v>0</v>
      </c>
      <c r="Q33" s="29">
        <f t="shared" si="14"/>
        <v>2288131.161</v>
      </c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22"/>
      <c r="B34" s="22"/>
      <c r="C34" s="22"/>
      <c r="D34" s="38">
        <f t="shared" ref="D34:E34" si="36">D33+1</f>
        <v>2043</v>
      </c>
      <c r="E34" s="38">
        <f t="shared" si="36"/>
        <v>24</v>
      </c>
      <c r="F34" s="40">
        <f t="shared" si="9"/>
        <v>15883.42424</v>
      </c>
      <c r="G34" s="40">
        <f t="shared" si="16"/>
        <v>0</v>
      </c>
      <c r="H34" s="40">
        <f t="shared" si="10"/>
        <v>1696350.232</v>
      </c>
      <c r="I34" s="40">
        <f t="shared" si="3"/>
        <v>0</v>
      </c>
      <c r="J34" s="29">
        <f t="shared" si="11"/>
        <v>0</v>
      </c>
      <c r="K34" s="29">
        <f t="shared" si="12"/>
        <v>2210416.892</v>
      </c>
      <c r="L34" s="29">
        <f t="shared" si="4"/>
        <v>1578.869209</v>
      </c>
      <c r="M34" s="29">
        <f t="shared" si="13"/>
        <v>82101.19886</v>
      </c>
      <c r="N34" s="29">
        <f t="shared" si="5"/>
        <v>1432141.161</v>
      </c>
      <c r="O34" s="26">
        <f t="shared" si="6"/>
        <v>1791072.821</v>
      </c>
      <c r="P34" s="38">
        <f t="shared" si="7"/>
        <v>0</v>
      </c>
      <c r="Q34" s="29">
        <f t="shared" si="14"/>
        <v>2425419.031</v>
      </c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22"/>
      <c r="B35" s="22"/>
      <c r="C35" s="22"/>
      <c r="D35" s="38">
        <f t="shared" ref="D35:E35" si="37">D34+1</f>
        <v>2044</v>
      </c>
      <c r="E35" s="38">
        <f t="shared" si="37"/>
        <v>25</v>
      </c>
      <c r="F35" s="40">
        <f t="shared" si="9"/>
        <v>16359.92697</v>
      </c>
      <c r="G35" s="40">
        <f t="shared" si="16"/>
        <v>0</v>
      </c>
      <c r="H35" s="40">
        <f t="shared" si="10"/>
        <v>1696350.232</v>
      </c>
      <c r="I35" s="40">
        <f t="shared" si="3"/>
        <v>0</v>
      </c>
      <c r="J35" s="29">
        <f t="shared" si="11"/>
        <v>0</v>
      </c>
      <c r="K35" s="29">
        <f t="shared" si="12"/>
        <v>2276729.399</v>
      </c>
      <c r="L35" s="29">
        <f t="shared" si="4"/>
        <v>1626.235285</v>
      </c>
      <c r="M35" s="29">
        <f t="shared" si="13"/>
        <v>84564.23483</v>
      </c>
      <c r="N35" s="29">
        <f t="shared" si="5"/>
        <v>1516705.396</v>
      </c>
      <c r="O35" s="26">
        <f t="shared" si="6"/>
        <v>1941949.563</v>
      </c>
      <c r="P35" s="38">
        <f t="shared" si="7"/>
        <v>0</v>
      </c>
      <c r="Q35" s="29">
        <f t="shared" si="14"/>
        <v>2570944.173</v>
      </c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22"/>
      <c r="B36" s="22"/>
      <c r="C36" s="22"/>
      <c r="D36" s="38">
        <f t="shared" ref="D36:E36" si="38">D35+1</f>
        <v>2045</v>
      </c>
      <c r="E36" s="38">
        <f t="shared" si="38"/>
        <v>26</v>
      </c>
      <c r="F36" s="40">
        <f t="shared" si="9"/>
        <v>16850.72478</v>
      </c>
      <c r="G36" s="40">
        <f t="shared" si="16"/>
        <v>0</v>
      </c>
      <c r="H36" s="40">
        <f t="shared" si="10"/>
        <v>1696350.232</v>
      </c>
      <c r="I36" s="40">
        <f t="shared" si="3"/>
        <v>0</v>
      </c>
      <c r="J36" s="29">
        <f t="shared" si="11"/>
        <v>0</v>
      </c>
      <c r="K36" s="29">
        <f t="shared" si="12"/>
        <v>2345031.281</v>
      </c>
      <c r="L36" s="29">
        <f t="shared" si="4"/>
        <v>1675.022344</v>
      </c>
      <c r="M36" s="29">
        <f t="shared" si="13"/>
        <v>87101.16187</v>
      </c>
      <c r="N36" s="29">
        <f t="shared" si="5"/>
        <v>1603806.558</v>
      </c>
      <c r="O36" s="26">
        <f t="shared" si="6"/>
        <v>2097352.607</v>
      </c>
      <c r="P36" s="38">
        <f t="shared" si="7"/>
        <v>0</v>
      </c>
      <c r="Q36" s="29">
        <f t="shared" si="14"/>
        <v>2725200.823</v>
      </c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22"/>
      <c r="B37" s="22"/>
      <c r="C37" s="22"/>
      <c r="D37" s="38">
        <f t="shared" ref="D37:E37" si="39">D36+1</f>
        <v>2046</v>
      </c>
      <c r="E37" s="38">
        <f t="shared" si="39"/>
        <v>27</v>
      </c>
      <c r="F37" s="40">
        <f t="shared" si="9"/>
        <v>17356.24652</v>
      </c>
      <c r="G37" s="40">
        <f t="shared" si="16"/>
        <v>0</v>
      </c>
      <c r="H37" s="40">
        <f t="shared" si="10"/>
        <v>1696350.232</v>
      </c>
      <c r="I37" s="40">
        <f t="shared" si="3"/>
        <v>0</v>
      </c>
      <c r="J37" s="29">
        <f t="shared" si="11"/>
        <v>0</v>
      </c>
      <c r="K37" s="29">
        <f t="shared" si="12"/>
        <v>2415382.22</v>
      </c>
      <c r="L37" s="29">
        <f t="shared" si="4"/>
        <v>1725.273014</v>
      </c>
      <c r="M37" s="29">
        <f t="shared" si="13"/>
        <v>89714.19673</v>
      </c>
      <c r="N37" s="29">
        <f t="shared" si="5"/>
        <v>1693520.754</v>
      </c>
      <c r="O37" s="26">
        <f t="shared" si="6"/>
        <v>2257417.742</v>
      </c>
      <c r="P37" s="38">
        <f t="shared" si="7"/>
        <v>0</v>
      </c>
      <c r="Q37" s="29">
        <f t="shared" si="14"/>
        <v>2888712.872</v>
      </c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22"/>
      <c r="B38" s="22"/>
      <c r="C38" s="22"/>
      <c r="D38" s="38">
        <f t="shared" ref="D38:E38" si="40">D37+1</f>
        <v>2047</v>
      </c>
      <c r="E38" s="38">
        <f t="shared" si="40"/>
        <v>28</v>
      </c>
      <c r="F38" s="40">
        <f t="shared" si="9"/>
        <v>17876.93392</v>
      </c>
      <c r="G38" s="40">
        <f t="shared" si="16"/>
        <v>0</v>
      </c>
      <c r="H38" s="40">
        <f t="shared" si="10"/>
        <v>1696350.232</v>
      </c>
      <c r="I38" s="40">
        <f t="shared" si="3"/>
        <v>0</v>
      </c>
      <c r="J38" s="29">
        <f t="shared" si="11"/>
        <v>0</v>
      </c>
      <c r="K38" s="29">
        <f t="shared" si="12"/>
        <v>2487843.686</v>
      </c>
      <c r="L38" s="29">
        <f t="shared" si="4"/>
        <v>1777.031204</v>
      </c>
      <c r="M38" s="29">
        <f t="shared" si="13"/>
        <v>92405.62263</v>
      </c>
      <c r="N38" s="29">
        <f t="shared" si="5"/>
        <v>1785926.377</v>
      </c>
      <c r="O38" s="26">
        <f t="shared" si="6"/>
        <v>2422284.831</v>
      </c>
      <c r="P38" s="38">
        <f t="shared" si="7"/>
        <v>0</v>
      </c>
      <c r="Q38" s="29">
        <f t="shared" si="14"/>
        <v>3062035.645</v>
      </c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22"/>
      <c r="B39" s="22"/>
      <c r="C39" s="22"/>
      <c r="D39" s="38">
        <f t="shared" ref="D39:E39" si="41">D38+1</f>
        <v>2048</v>
      </c>
      <c r="E39" s="38">
        <f t="shared" si="41"/>
        <v>29</v>
      </c>
      <c r="F39" s="40">
        <f t="shared" si="9"/>
        <v>18413.24193</v>
      </c>
      <c r="G39" s="40">
        <f t="shared" si="16"/>
        <v>0</v>
      </c>
      <c r="H39" s="40">
        <f t="shared" si="10"/>
        <v>1696350.232</v>
      </c>
      <c r="I39" s="40">
        <f t="shared" si="3"/>
        <v>0</v>
      </c>
      <c r="J39" s="29">
        <f t="shared" si="11"/>
        <v>0</v>
      </c>
      <c r="K39" s="29">
        <f t="shared" si="12"/>
        <v>2562478.997</v>
      </c>
      <c r="L39" s="29">
        <f t="shared" si="4"/>
        <v>1830.342141</v>
      </c>
      <c r="M39" s="29">
        <f t="shared" si="13"/>
        <v>95177.79131</v>
      </c>
      <c r="N39" s="29">
        <f t="shared" si="5"/>
        <v>1881104.168</v>
      </c>
      <c r="O39" s="26">
        <f t="shared" si="6"/>
        <v>2592097.933</v>
      </c>
      <c r="P39" s="38">
        <f t="shared" si="7"/>
        <v>0</v>
      </c>
      <c r="Q39" s="29">
        <f t="shared" si="14"/>
        <v>3245757.783</v>
      </c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22"/>
      <c r="B40" s="22"/>
      <c r="C40" s="22"/>
      <c r="D40" s="38">
        <f t="shared" ref="D40:E40" si="42">D39+1</f>
        <v>2049</v>
      </c>
      <c r="E40" s="38">
        <f t="shared" si="42"/>
        <v>30</v>
      </c>
      <c r="F40" s="40">
        <f t="shared" si="9"/>
        <v>18965.63919</v>
      </c>
      <c r="G40" s="40">
        <f t="shared" si="16"/>
        <v>0</v>
      </c>
      <c r="H40" s="40">
        <f t="shared" si="10"/>
        <v>1696350.232</v>
      </c>
      <c r="I40" s="40">
        <f t="shared" si="3"/>
        <v>0</v>
      </c>
      <c r="J40" s="29">
        <f t="shared" si="11"/>
        <v>0</v>
      </c>
      <c r="K40" s="29">
        <f t="shared" si="12"/>
        <v>2639353.367</v>
      </c>
      <c r="L40" s="29">
        <f t="shared" si="4"/>
        <v>1885.252405</v>
      </c>
      <c r="M40" s="29">
        <f t="shared" si="13"/>
        <v>98033.12505</v>
      </c>
      <c r="N40" s="29">
        <f t="shared" si="5"/>
        <v>1979137.293</v>
      </c>
      <c r="O40" s="26">
        <f t="shared" si="6"/>
        <v>2767005.428</v>
      </c>
      <c r="P40" s="38">
        <f t="shared" si="7"/>
        <v>0</v>
      </c>
      <c r="Q40" s="29">
        <f t="shared" si="14"/>
        <v>3440503.25</v>
      </c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22"/>
      <c r="B41" s="22"/>
      <c r="C41" s="22"/>
      <c r="D41" s="38">
        <f t="shared" ref="D41:E41" si="43">D40+1</f>
        <v>2050</v>
      </c>
      <c r="E41" s="38">
        <f t="shared" si="43"/>
        <v>31</v>
      </c>
      <c r="F41" s="40">
        <f t="shared" si="9"/>
        <v>19534.60837</v>
      </c>
      <c r="G41" s="40">
        <f t="shared" si="16"/>
        <v>0</v>
      </c>
      <c r="H41" s="40">
        <f t="shared" si="10"/>
        <v>1696350.232</v>
      </c>
      <c r="I41" s="40">
        <f t="shared" si="3"/>
        <v>0</v>
      </c>
      <c r="J41" s="29">
        <f t="shared" si="11"/>
        <v>0</v>
      </c>
      <c r="K41" s="29">
        <f t="shared" si="12"/>
        <v>2718533.968</v>
      </c>
      <c r="L41" s="29">
        <f t="shared" si="4"/>
        <v>1941.809977</v>
      </c>
      <c r="M41" s="29">
        <f t="shared" si="13"/>
        <v>100974.1188</v>
      </c>
      <c r="N41" s="29">
        <f t="shared" si="5"/>
        <v>2080111.412</v>
      </c>
      <c r="O41" s="26">
        <f t="shared" si="6"/>
        <v>2947160.148</v>
      </c>
      <c r="P41" s="38">
        <f t="shared" si="7"/>
        <v>0</v>
      </c>
      <c r="Q41" s="29">
        <f t="shared" si="14"/>
        <v>3646933.445</v>
      </c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22"/>
      <c r="B42" s="22"/>
      <c r="C42" s="22"/>
      <c r="D42" s="38">
        <f t="shared" ref="D42:E42" si="44">D41+1</f>
        <v>2051</v>
      </c>
      <c r="E42" s="38">
        <f t="shared" si="44"/>
        <v>32</v>
      </c>
      <c r="F42" s="40">
        <f t="shared" si="9"/>
        <v>20120.64662</v>
      </c>
      <c r="G42" s="40">
        <f t="shared" si="16"/>
        <v>0</v>
      </c>
      <c r="H42" s="40">
        <f t="shared" si="10"/>
        <v>1696350.232</v>
      </c>
      <c r="I42" s="40">
        <f t="shared" si="3"/>
        <v>0</v>
      </c>
      <c r="J42" s="29">
        <f t="shared" si="11"/>
        <v>0</v>
      </c>
      <c r="K42" s="29">
        <f t="shared" si="12"/>
        <v>2800089.987</v>
      </c>
      <c r="L42" s="29">
        <f t="shared" si="4"/>
        <v>2000.064276</v>
      </c>
      <c r="M42" s="29">
        <f t="shared" si="13"/>
        <v>104003.3424</v>
      </c>
      <c r="N42" s="29">
        <f t="shared" si="5"/>
        <v>2184114.755</v>
      </c>
      <c r="O42" s="26">
        <f t="shared" si="6"/>
        <v>3132719.509</v>
      </c>
      <c r="P42" s="38">
        <f t="shared" si="7"/>
        <v>0</v>
      </c>
      <c r="Q42" s="29">
        <f t="shared" si="14"/>
        <v>3865749.452</v>
      </c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22"/>
      <c r="B43" s="22"/>
      <c r="C43" s="22"/>
      <c r="D43" s="38">
        <f t="shared" ref="D43:E43" si="45">D42+1</f>
        <v>2052</v>
      </c>
      <c r="E43" s="38">
        <f t="shared" si="45"/>
        <v>33</v>
      </c>
      <c r="F43" s="40">
        <f t="shared" si="9"/>
        <v>20724.26602</v>
      </c>
      <c r="G43" s="40">
        <f t="shared" si="16"/>
        <v>0</v>
      </c>
      <c r="H43" s="40">
        <f t="shared" si="10"/>
        <v>1696350.232</v>
      </c>
      <c r="I43" s="40">
        <f t="shared" si="3"/>
        <v>0</v>
      </c>
      <c r="J43" s="29">
        <f t="shared" si="11"/>
        <v>0</v>
      </c>
      <c r="K43" s="29">
        <f t="shared" si="12"/>
        <v>2884092.686</v>
      </c>
      <c r="L43" s="29">
        <f t="shared" si="4"/>
        <v>2060.066205</v>
      </c>
      <c r="M43" s="29">
        <f t="shared" si="13"/>
        <v>107123.4426</v>
      </c>
      <c r="N43" s="29">
        <f t="shared" si="5"/>
        <v>2291238.197</v>
      </c>
      <c r="O43" s="26">
        <f t="shared" si="6"/>
        <v>3323845.651</v>
      </c>
      <c r="P43" s="38">
        <f t="shared" si="7"/>
        <v>0</v>
      </c>
      <c r="Q43" s="29">
        <f t="shared" si="14"/>
        <v>4097694.419</v>
      </c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22"/>
      <c r="B44" s="22"/>
      <c r="C44" s="22"/>
      <c r="D44" s="38">
        <f t="shared" ref="D44:E44" si="46">D43+1</f>
        <v>2053</v>
      </c>
      <c r="E44" s="38">
        <f t="shared" si="46"/>
        <v>34</v>
      </c>
      <c r="F44" s="40">
        <f t="shared" si="9"/>
        <v>21345.994</v>
      </c>
      <c r="G44" s="40">
        <f t="shared" si="16"/>
        <v>0</v>
      </c>
      <c r="H44" s="40">
        <f t="shared" si="10"/>
        <v>1696350.232</v>
      </c>
      <c r="I44" s="40">
        <f t="shared" si="3"/>
        <v>0</v>
      </c>
      <c r="J44" s="29">
        <f t="shared" si="11"/>
        <v>0</v>
      </c>
      <c r="K44" s="29">
        <f t="shared" si="12"/>
        <v>2970615.467</v>
      </c>
      <c r="L44" s="29">
        <f t="shared" si="4"/>
        <v>2121.868191</v>
      </c>
      <c r="M44" s="29">
        <f t="shared" si="13"/>
        <v>110337.1459</v>
      </c>
      <c r="N44" s="29">
        <f t="shared" si="5"/>
        <v>2401575.343</v>
      </c>
      <c r="O44" s="26">
        <f t="shared" si="6"/>
        <v>3520705.578</v>
      </c>
      <c r="P44" s="38">
        <f t="shared" si="7"/>
        <v>0</v>
      </c>
      <c r="Q44" s="29">
        <f t="shared" si="14"/>
        <v>4343556.084</v>
      </c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22"/>
      <c r="B45" s="22"/>
      <c r="C45" s="22"/>
      <c r="D45" s="38">
        <f t="shared" ref="D45:E45" si="47">D44+1</f>
        <v>2054</v>
      </c>
      <c r="E45" s="38">
        <f t="shared" si="47"/>
        <v>35</v>
      </c>
      <c r="F45" s="40">
        <f t="shared" si="9"/>
        <v>21986.37382</v>
      </c>
      <c r="G45" s="40">
        <f t="shared" si="16"/>
        <v>0</v>
      </c>
      <c r="H45" s="40">
        <f t="shared" si="10"/>
        <v>1696350.232</v>
      </c>
      <c r="I45" s="40">
        <f t="shared" si="3"/>
        <v>0</v>
      </c>
      <c r="J45" s="29">
        <f t="shared" si="11"/>
        <v>0</v>
      </c>
      <c r="K45" s="29">
        <f t="shared" si="12"/>
        <v>3059733.931</v>
      </c>
      <c r="L45" s="29">
        <f t="shared" si="4"/>
        <v>2185.524236</v>
      </c>
      <c r="M45" s="29">
        <f t="shared" si="13"/>
        <v>113647.2603</v>
      </c>
      <c r="N45" s="29">
        <f t="shared" si="5"/>
        <v>2515222.603</v>
      </c>
      <c r="O45" s="26">
        <f t="shared" si="6"/>
        <v>3723471.302</v>
      </c>
      <c r="P45" s="38">
        <f t="shared" si="7"/>
        <v>0</v>
      </c>
      <c r="Q45" s="29">
        <f t="shared" si="14"/>
        <v>4604169.45</v>
      </c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22"/>
      <c r="B46" s="22"/>
      <c r="C46" s="22"/>
      <c r="D46" s="38">
        <f t="shared" ref="D46:E46" si="48">D45+1</f>
        <v>2055</v>
      </c>
      <c r="E46" s="38">
        <f t="shared" si="48"/>
        <v>36</v>
      </c>
      <c r="F46" s="40">
        <f t="shared" si="9"/>
        <v>22645.96503</v>
      </c>
      <c r="G46" s="40">
        <f t="shared" si="16"/>
        <v>0</v>
      </c>
      <c r="H46" s="40">
        <f t="shared" si="10"/>
        <v>1696350.232</v>
      </c>
      <c r="I46" s="40">
        <f t="shared" si="3"/>
        <v>0</v>
      </c>
      <c r="J46" s="29">
        <f t="shared" si="11"/>
        <v>0</v>
      </c>
      <c r="K46" s="29">
        <f t="shared" si="12"/>
        <v>3151525.949</v>
      </c>
      <c r="L46" s="29">
        <f t="shared" si="4"/>
        <v>2251.089963</v>
      </c>
      <c r="M46" s="29">
        <f t="shared" si="13"/>
        <v>117056.6781</v>
      </c>
      <c r="N46" s="29">
        <f t="shared" si="5"/>
        <v>2632279.281</v>
      </c>
      <c r="O46" s="26">
        <f t="shared" si="6"/>
        <v>3932319.998</v>
      </c>
      <c r="P46" s="38">
        <f t="shared" si="7"/>
        <v>0</v>
      </c>
      <c r="Q46" s="29">
        <f t="shared" si="14"/>
        <v>4880419.617</v>
      </c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22"/>
      <c r="B47" s="22"/>
      <c r="C47" s="22"/>
      <c r="D47" s="38">
        <f t="shared" ref="D47:E47" si="49">D46+1</f>
        <v>2056</v>
      </c>
      <c r="E47" s="38">
        <f t="shared" si="49"/>
        <v>37</v>
      </c>
      <c r="F47" s="40">
        <f t="shared" si="9"/>
        <v>23325.34398</v>
      </c>
      <c r="G47" s="40">
        <f t="shared" si="16"/>
        <v>0</v>
      </c>
      <c r="H47" s="40">
        <f t="shared" si="10"/>
        <v>1696350.232</v>
      </c>
      <c r="I47" s="40">
        <f t="shared" si="3"/>
        <v>0</v>
      </c>
      <c r="J47" s="29">
        <f t="shared" si="11"/>
        <v>0</v>
      </c>
      <c r="K47" s="29">
        <f t="shared" si="12"/>
        <v>3246071.727</v>
      </c>
      <c r="L47" s="29">
        <f t="shared" si="4"/>
        <v>2318.622662</v>
      </c>
      <c r="M47" s="29">
        <f t="shared" si="13"/>
        <v>120568.3784</v>
      </c>
      <c r="N47" s="29">
        <f t="shared" si="5"/>
        <v>2752847.66</v>
      </c>
      <c r="O47" s="26">
        <f t="shared" si="6"/>
        <v>4147434.155</v>
      </c>
      <c r="P47" s="38">
        <f t="shared" si="7"/>
        <v>0</v>
      </c>
      <c r="Q47" s="29">
        <f t="shared" si="14"/>
        <v>5173244.794</v>
      </c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22"/>
      <c r="B48" s="22"/>
      <c r="C48" s="22"/>
      <c r="D48" s="38">
        <f t="shared" ref="D48:E48" si="50">D47+1</f>
        <v>2057</v>
      </c>
      <c r="E48" s="38">
        <f t="shared" si="50"/>
        <v>38</v>
      </c>
      <c r="F48" s="40">
        <f t="shared" si="9"/>
        <v>24025.1043</v>
      </c>
      <c r="G48" s="40">
        <f t="shared" si="16"/>
        <v>0</v>
      </c>
      <c r="H48" s="40">
        <f t="shared" si="10"/>
        <v>1696350.232</v>
      </c>
      <c r="I48" s="40">
        <f t="shared" si="3"/>
        <v>0</v>
      </c>
      <c r="J48" s="29">
        <f t="shared" si="11"/>
        <v>0</v>
      </c>
      <c r="K48" s="29">
        <f t="shared" si="12"/>
        <v>3343453.879</v>
      </c>
      <c r="L48" s="29">
        <f t="shared" si="4"/>
        <v>2388.181342</v>
      </c>
      <c r="M48" s="29">
        <f t="shared" si="13"/>
        <v>124185.4298</v>
      </c>
      <c r="N48" s="29">
        <f t="shared" si="5"/>
        <v>2877033.09</v>
      </c>
      <c r="O48" s="26">
        <f t="shared" si="6"/>
        <v>4369001.737</v>
      </c>
      <c r="P48" s="38">
        <f t="shared" si="7"/>
        <v>0</v>
      </c>
      <c r="Q48" s="29">
        <f t="shared" si="14"/>
        <v>5483639.481</v>
      </c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22"/>
      <c r="B49" s="22"/>
      <c r="C49" s="22"/>
      <c r="D49" s="38">
        <f t="shared" ref="D49:E49" si="51">D48+1</f>
        <v>2058</v>
      </c>
      <c r="E49" s="38">
        <f t="shared" si="51"/>
        <v>39</v>
      </c>
      <c r="F49" s="40">
        <f t="shared" si="9"/>
        <v>24745.85743</v>
      </c>
      <c r="G49" s="40">
        <f t="shared" si="16"/>
        <v>0</v>
      </c>
      <c r="H49" s="40">
        <f t="shared" si="10"/>
        <v>1696350.232</v>
      </c>
      <c r="I49" s="40">
        <f t="shared" si="3"/>
        <v>0</v>
      </c>
      <c r="J49" s="29">
        <f t="shared" si="11"/>
        <v>0</v>
      </c>
      <c r="K49" s="29">
        <f t="shared" si="12"/>
        <v>3443757.496</v>
      </c>
      <c r="L49" s="29">
        <f t="shared" si="4"/>
        <v>2459.826783</v>
      </c>
      <c r="M49" s="29">
        <f t="shared" si="13"/>
        <v>127910.9927</v>
      </c>
      <c r="N49" s="29">
        <f t="shared" si="5"/>
        <v>3004944.082</v>
      </c>
      <c r="O49" s="26">
        <f t="shared" si="6"/>
        <v>4597216.346</v>
      </c>
      <c r="P49" s="38">
        <f t="shared" si="7"/>
        <v>0</v>
      </c>
      <c r="Q49" s="29">
        <f t="shared" si="14"/>
        <v>5812657.85</v>
      </c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22"/>
      <c r="B50" s="22"/>
      <c r="C50" s="22"/>
      <c r="D50" s="38">
        <f t="shared" ref="D50:E50" si="52">D49+1</f>
        <v>2059</v>
      </c>
      <c r="E50" s="38">
        <f t="shared" si="52"/>
        <v>40</v>
      </c>
      <c r="F50" s="40">
        <f t="shared" si="9"/>
        <v>25488.23316</v>
      </c>
      <c r="G50" s="40">
        <f t="shared" si="16"/>
        <v>0</v>
      </c>
      <c r="H50" s="40">
        <f t="shared" si="10"/>
        <v>1696350.232</v>
      </c>
      <c r="I50" s="40">
        <f t="shared" si="3"/>
        <v>0</v>
      </c>
      <c r="J50" s="29">
        <f t="shared" si="11"/>
        <v>0</v>
      </c>
      <c r="K50" s="29">
        <f t="shared" si="12"/>
        <v>3547070.22</v>
      </c>
      <c r="L50" s="29">
        <f t="shared" si="4"/>
        <v>2533.621586</v>
      </c>
      <c r="M50" s="29">
        <f t="shared" si="13"/>
        <v>131748.3225</v>
      </c>
      <c r="N50" s="29">
        <f t="shared" si="5"/>
        <v>3136692.405</v>
      </c>
      <c r="O50" s="26">
        <f t="shared" si="6"/>
        <v>4832277.393</v>
      </c>
      <c r="P50" s="38">
        <f t="shared" si="7"/>
        <v>0</v>
      </c>
      <c r="Q50" s="29">
        <f t="shared" si="14"/>
        <v>6161417.321</v>
      </c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22"/>
      <c r="B51" s="22"/>
      <c r="C51" s="22"/>
      <c r="D51" s="38">
        <f t="shared" ref="D51:E51" si="53">D50+1</f>
        <v>2060</v>
      </c>
      <c r="E51" s="38">
        <f t="shared" si="53"/>
        <v>41</v>
      </c>
      <c r="F51" s="40">
        <f t="shared" si="9"/>
        <v>26252.88015</v>
      </c>
      <c r="G51" s="40">
        <f t="shared" si="16"/>
        <v>0</v>
      </c>
      <c r="H51" s="40">
        <f t="shared" si="10"/>
        <v>1696350.232</v>
      </c>
      <c r="I51" s="40">
        <f t="shared" si="3"/>
        <v>0</v>
      </c>
      <c r="J51" s="29">
        <f t="shared" si="11"/>
        <v>0</v>
      </c>
      <c r="K51" s="29">
        <f t="shared" si="12"/>
        <v>3653482.327</v>
      </c>
      <c r="L51" s="29">
        <f t="shared" si="4"/>
        <v>2609.630234</v>
      </c>
      <c r="M51" s="29">
        <f t="shared" si="13"/>
        <v>135700.7721</v>
      </c>
      <c r="N51" s="29">
        <f t="shared" si="5"/>
        <v>3272393.177</v>
      </c>
      <c r="O51" s="26">
        <f t="shared" si="6"/>
        <v>5074390.272</v>
      </c>
      <c r="P51" s="38">
        <f t="shared" si="7"/>
        <v>0</v>
      </c>
      <c r="Q51" s="29">
        <f t="shared" si="14"/>
        <v>6531102.36</v>
      </c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A52" s="22"/>
      <c r="B52" s="22"/>
      <c r="C52" s="22"/>
      <c r="D52" s="38">
        <f t="shared" ref="D52:E52" si="54">D51+1</f>
        <v>2061</v>
      </c>
      <c r="E52" s="38">
        <f t="shared" si="54"/>
        <v>42</v>
      </c>
      <c r="F52" s="40">
        <f t="shared" si="9"/>
        <v>27040.46655</v>
      </c>
      <c r="G52" s="40">
        <f t="shared" si="16"/>
        <v>0</v>
      </c>
      <c r="H52" s="40">
        <f t="shared" si="10"/>
        <v>1696350.232</v>
      </c>
      <c r="I52" s="40">
        <f t="shared" si="3"/>
        <v>0</v>
      </c>
      <c r="J52" s="29">
        <f t="shared" si="11"/>
        <v>0</v>
      </c>
      <c r="K52" s="29">
        <f t="shared" si="12"/>
        <v>3763086.797</v>
      </c>
      <c r="L52" s="29">
        <f t="shared" si="4"/>
        <v>2687.919141</v>
      </c>
      <c r="M52" s="29">
        <f t="shared" si="13"/>
        <v>139771.7953</v>
      </c>
      <c r="N52" s="29">
        <f t="shared" si="5"/>
        <v>3412164.972</v>
      </c>
      <c r="O52" s="26">
        <f t="shared" si="6"/>
        <v>5323766.537</v>
      </c>
      <c r="P52" s="38">
        <f t="shared" si="7"/>
        <v>0</v>
      </c>
      <c r="Q52" s="29">
        <f t="shared" si="14"/>
        <v>6922968.502</v>
      </c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A53" s="22"/>
      <c r="B53" s="22"/>
      <c r="C53" s="22"/>
      <c r="D53" s="38">
        <f t="shared" ref="D53:E53" si="55">D52+1</f>
        <v>2062</v>
      </c>
      <c r="E53" s="38">
        <f t="shared" si="55"/>
        <v>43</v>
      </c>
      <c r="F53" s="40">
        <f t="shared" si="9"/>
        <v>27851.68055</v>
      </c>
      <c r="G53" s="40">
        <f t="shared" si="16"/>
        <v>0</v>
      </c>
      <c r="H53" s="40">
        <f t="shared" si="10"/>
        <v>1696350.232</v>
      </c>
      <c r="I53" s="40">
        <f t="shared" si="3"/>
        <v>0</v>
      </c>
      <c r="J53" s="29">
        <f t="shared" si="11"/>
        <v>0</v>
      </c>
      <c r="K53" s="29">
        <f t="shared" si="12"/>
        <v>3875979.401</v>
      </c>
      <c r="L53" s="29">
        <f t="shared" si="4"/>
        <v>2768.556715</v>
      </c>
      <c r="M53" s="29">
        <f t="shared" si="13"/>
        <v>143964.9492</v>
      </c>
      <c r="N53" s="29">
        <f t="shared" si="5"/>
        <v>3556129.922</v>
      </c>
      <c r="O53" s="26">
        <f t="shared" si="6"/>
        <v>5580624.09</v>
      </c>
      <c r="P53" s="38">
        <f t="shared" si="7"/>
        <v>0</v>
      </c>
      <c r="Q53" s="29">
        <f t="shared" si="14"/>
        <v>7338346.612</v>
      </c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A54" s="22"/>
      <c r="B54" s="22"/>
      <c r="C54" s="22"/>
      <c r="D54" s="38">
        <f t="shared" ref="D54:E54" si="56">D53+1</f>
        <v>2063</v>
      </c>
      <c r="E54" s="38">
        <f t="shared" si="56"/>
        <v>44</v>
      </c>
      <c r="F54" s="40">
        <f t="shared" si="9"/>
        <v>28687.23097</v>
      </c>
      <c r="G54" s="40">
        <f t="shared" si="16"/>
        <v>0</v>
      </c>
      <c r="H54" s="40">
        <f t="shared" si="10"/>
        <v>1696350.232</v>
      </c>
      <c r="I54" s="40">
        <f t="shared" si="3"/>
        <v>0</v>
      </c>
      <c r="J54" s="29">
        <f t="shared" si="11"/>
        <v>0</v>
      </c>
      <c r="K54" s="29">
        <f t="shared" si="12"/>
        <v>3992258.783</v>
      </c>
      <c r="L54" s="29">
        <f t="shared" si="4"/>
        <v>2851.613416</v>
      </c>
      <c r="M54" s="29">
        <f t="shared" si="13"/>
        <v>148283.8976</v>
      </c>
      <c r="N54" s="29">
        <f t="shared" si="5"/>
        <v>3704413.819</v>
      </c>
      <c r="O54" s="26">
        <f t="shared" si="6"/>
        <v>5845187.37</v>
      </c>
      <c r="P54" s="38">
        <f t="shared" si="7"/>
        <v>0</v>
      </c>
      <c r="Q54" s="29">
        <f t="shared" si="14"/>
        <v>7778647.409</v>
      </c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A55" s="22"/>
      <c r="B55" s="22"/>
      <c r="C55" s="22"/>
      <c r="D55" s="38">
        <f t="shared" ref="D55:E55" si="57">D54+1</f>
        <v>2064</v>
      </c>
      <c r="E55" s="38">
        <f t="shared" si="57"/>
        <v>45</v>
      </c>
      <c r="F55" s="40">
        <f t="shared" si="9"/>
        <v>29547.8479</v>
      </c>
      <c r="G55" s="40">
        <f t="shared" si="16"/>
        <v>0</v>
      </c>
      <c r="H55" s="40">
        <f t="shared" si="10"/>
        <v>1696350.232</v>
      </c>
      <c r="I55" s="40">
        <f t="shared" si="3"/>
        <v>0</v>
      </c>
      <c r="J55" s="29">
        <f t="shared" si="11"/>
        <v>0</v>
      </c>
      <c r="K55" s="29">
        <f t="shared" si="12"/>
        <v>4112026.546</v>
      </c>
      <c r="L55" s="29">
        <f t="shared" si="4"/>
        <v>2937.161819</v>
      </c>
      <c r="M55" s="29">
        <f t="shared" si="13"/>
        <v>152732.4146</v>
      </c>
      <c r="N55" s="29">
        <f t="shared" si="5"/>
        <v>3857146.234</v>
      </c>
      <c r="O55" s="26">
        <f t="shared" si="6"/>
        <v>6117687.548</v>
      </c>
      <c r="P55" s="38">
        <f t="shared" si="7"/>
        <v>0</v>
      </c>
      <c r="Q55" s="29">
        <f t="shared" si="14"/>
        <v>8245366.253</v>
      </c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A56" s="22"/>
      <c r="B56" s="22"/>
      <c r="C56" s="22"/>
      <c r="D56" s="38">
        <f t="shared" ref="D56:E56" si="58">D55+1</f>
        <v>2065</v>
      </c>
      <c r="E56" s="38">
        <f t="shared" si="58"/>
        <v>46</v>
      </c>
      <c r="F56" s="40">
        <f t="shared" si="9"/>
        <v>30434.28333</v>
      </c>
      <c r="G56" s="40">
        <f t="shared" si="16"/>
        <v>0</v>
      </c>
      <c r="H56" s="40">
        <f t="shared" si="10"/>
        <v>1696350.232</v>
      </c>
      <c r="I56" s="40">
        <f t="shared" si="3"/>
        <v>0</v>
      </c>
      <c r="J56" s="29">
        <f t="shared" si="11"/>
        <v>0</v>
      </c>
      <c r="K56" s="29">
        <f t="shared" si="12"/>
        <v>4235387.343</v>
      </c>
      <c r="L56" s="29">
        <f t="shared" si="4"/>
        <v>3025.276673</v>
      </c>
      <c r="M56" s="29">
        <f t="shared" si="13"/>
        <v>157314.387</v>
      </c>
      <c r="N56" s="29">
        <f t="shared" si="5"/>
        <v>4014460.621</v>
      </c>
      <c r="O56" s="26">
        <f t="shared" si="6"/>
        <v>6398362.731</v>
      </c>
      <c r="P56" s="38">
        <f t="shared" si="7"/>
        <v>0</v>
      </c>
      <c r="Q56" s="29">
        <f t="shared" si="14"/>
        <v>8740088.228</v>
      </c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A57" s="22"/>
      <c r="B57" s="22"/>
      <c r="C57" s="22"/>
      <c r="D57" s="38">
        <f t="shared" ref="D57:E57" si="59">D56+1</f>
        <v>2066</v>
      </c>
      <c r="E57" s="38">
        <f t="shared" si="59"/>
        <v>47</v>
      </c>
      <c r="F57" s="40">
        <f t="shared" si="9"/>
        <v>31347.31183</v>
      </c>
      <c r="G57" s="40">
        <f t="shared" si="16"/>
        <v>0</v>
      </c>
      <c r="H57" s="40">
        <f t="shared" si="10"/>
        <v>1696350.232</v>
      </c>
      <c r="I57" s="40">
        <f t="shared" si="3"/>
        <v>0</v>
      </c>
      <c r="J57" s="29">
        <f t="shared" si="11"/>
        <v>0</v>
      </c>
      <c r="K57" s="29">
        <f t="shared" si="12"/>
        <v>4362448.963</v>
      </c>
      <c r="L57" s="29">
        <f t="shared" si="4"/>
        <v>3116.034974</v>
      </c>
      <c r="M57" s="29">
        <f t="shared" si="13"/>
        <v>162033.8186</v>
      </c>
      <c r="N57" s="29">
        <f t="shared" si="5"/>
        <v>4176494.439</v>
      </c>
      <c r="O57" s="26">
        <f t="shared" si="6"/>
        <v>6687458.17</v>
      </c>
      <c r="P57" s="38">
        <f t="shared" si="7"/>
        <v>0</v>
      </c>
      <c r="Q57" s="29">
        <f t="shared" si="14"/>
        <v>9264493.522</v>
      </c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A58" s="22"/>
      <c r="B58" s="22"/>
      <c r="C58" s="22"/>
      <c r="D58" s="38">
        <f t="shared" ref="D58:E58" si="60">D57+1</f>
        <v>2067</v>
      </c>
      <c r="E58" s="38">
        <f t="shared" si="60"/>
        <v>48</v>
      </c>
      <c r="F58" s="40">
        <f t="shared" si="9"/>
        <v>32287.73119</v>
      </c>
      <c r="G58" s="40">
        <f t="shared" si="16"/>
        <v>0</v>
      </c>
      <c r="H58" s="40">
        <f t="shared" si="10"/>
        <v>1696350.232</v>
      </c>
      <c r="I58" s="40">
        <f t="shared" si="3"/>
        <v>0</v>
      </c>
      <c r="J58" s="29">
        <f t="shared" si="11"/>
        <v>0</v>
      </c>
      <c r="K58" s="29">
        <f t="shared" si="12"/>
        <v>4493322.432</v>
      </c>
      <c r="L58" s="29">
        <f t="shared" si="4"/>
        <v>3209.516023</v>
      </c>
      <c r="M58" s="29">
        <f t="shared" si="13"/>
        <v>166894.8332</v>
      </c>
      <c r="N58" s="29">
        <f t="shared" si="5"/>
        <v>4343389.273</v>
      </c>
      <c r="O58" s="26">
        <f t="shared" si="6"/>
        <v>6985226.472</v>
      </c>
      <c r="P58" s="38">
        <f t="shared" si="7"/>
        <v>0</v>
      </c>
      <c r="Q58" s="29">
        <f t="shared" si="14"/>
        <v>9820363.133</v>
      </c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A59" s="22"/>
      <c r="B59" s="22"/>
      <c r="C59" s="22"/>
      <c r="D59" s="38">
        <f t="shared" ref="D59:E59" si="61">D58+1</f>
        <v>2068</v>
      </c>
      <c r="E59" s="38">
        <f t="shared" si="61"/>
        <v>49</v>
      </c>
      <c r="F59" s="40">
        <f t="shared" si="9"/>
        <v>33256.36312</v>
      </c>
      <c r="G59" s="40">
        <f t="shared" si="16"/>
        <v>0</v>
      </c>
      <c r="H59" s="40">
        <f t="shared" si="10"/>
        <v>1696350.232</v>
      </c>
      <c r="I59" s="40">
        <f t="shared" si="3"/>
        <v>0</v>
      </c>
      <c r="J59" s="29">
        <f t="shared" si="11"/>
        <v>0</v>
      </c>
      <c r="K59" s="29">
        <f t="shared" si="12"/>
        <v>4628122.105</v>
      </c>
      <c r="L59" s="29">
        <f t="shared" si="4"/>
        <v>3305.801503</v>
      </c>
      <c r="M59" s="29">
        <f t="shared" si="13"/>
        <v>171901.6782</v>
      </c>
      <c r="N59" s="29">
        <f t="shared" si="5"/>
        <v>4515290.951</v>
      </c>
      <c r="O59" s="26">
        <f t="shared" si="6"/>
        <v>7291927.823</v>
      </c>
      <c r="P59" s="38">
        <f t="shared" si="7"/>
        <v>0</v>
      </c>
      <c r="Q59" s="29">
        <f t="shared" si="14"/>
        <v>10409584.92</v>
      </c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A60" s="22"/>
      <c r="B60" s="22"/>
      <c r="C60" s="22"/>
      <c r="D60" s="38">
        <f t="shared" ref="D60:E60" si="62">D59+1</f>
        <v>2069</v>
      </c>
      <c r="E60" s="38">
        <f t="shared" si="62"/>
        <v>50</v>
      </c>
      <c r="F60" s="40">
        <f t="shared" si="9"/>
        <v>34254.05402</v>
      </c>
      <c r="G60" s="40">
        <f t="shared" si="16"/>
        <v>0</v>
      </c>
      <c r="H60" s="40">
        <f t="shared" si="10"/>
        <v>1696350.232</v>
      </c>
      <c r="I60" s="40">
        <f t="shared" si="3"/>
        <v>0</v>
      </c>
      <c r="J60" s="29">
        <f t="shared" si="11"/>
        <v>0</v>
      </c>
      <c r="K60" s="29">
        <f t="shared" si="12"/>
        <v>4766965.768</v>
      </c>
      <c r="L60" s="29">
        <f t="shared" si="4"/>
        <v>3404.975549</v>
      </c>
      <c r="M60" s="29">
        <f t="shared" si="13"/>
        <v>177058.7285</v>
      </c>
      <c r="N60" s="29">
        <f t="shared" si="5"/>
        <v>4692349.679</v>
      </c>
      <c r="O60" s="26">
        <f t="shared" si="6"/>
        <v>7607830.215</v>
      </c>
      <c r="P60" s="38">
        <f t="shared" si="7"/>
        <v>0</v>
      </c>
      <c r="Q60" s="29">
        <f t="shared" si="14"/>
        <v>11034160.02</v>
      </c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A61" s="22"/>
      <c r="B61" s="22"/>
      <c r="C61" s="22"/>
      <c r="D61" s="38">
        <f t="shared" ref="D61:E61" si="63">D60+1</f>
        <v>2070</v>
      </c>
      <c r="E61" s="38">
        <f t="shared" si="63"/>
        <v>51</v>
      </c>
      <c r="F61" s="40">
        <f t="shared" si="9"/>
        <v>35281.67564</v>
      </c>
      <c r="G61" s="40">
        <f t="shared" si="16"/>
        <v>0</v>
      </c>
      <c r="H61" s="40">
        <f t="shared" si="10"/>
        <v>1696350.232</v>
      </c>
      <c r="I61" s="40">
        <f t="shared" si="3"/>
        <v>0</v>
      </c>
      <c r="J61" s="29">
        <f t="shared" si="11"/>
        <v>0</v>
      </c>
      <c r="K61" s="29">
        <f t="shared" si="12"/>
        <v>4909974.741</v>
      </c>
      <c r="L61" s="29">
        <f t="shared" si="4"/>
        <v>3507.124815</v>
      </c>
      <c r="M61" s="29">
        <f t="shared" si="13"/>
        <v>182370.4904</v>
      </c>
      <c r="N61" s="29">
        <f t="shared" si="5"/>
        <v>4874720.17</v>
      </c>
      <c r="O61" s="26">
        <f t="shared" si="6"/>
        <v>7933209.679</v>
      </c>
      <c r="P61" s="38">
        <f t="shared" si="7"/>
        <v>0</v>
      </c>
      <c r="Q61" s="29">
        <f t="shared" si="14"/>
        <v>11696209.62</v>
      </c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22"/>
      <c r="B62" s="22"/>
      <c r="C62" s="22"/>
      <c r="D62" s="38">
        <f t="shared" ref="D62:E62" si="64">D61+1</f>
        <v>2071</v>
      </c>
      <c r="E62" s="38">
        <f t="shared" si="64"/>
        <v>52</v>
      </c>
      <c r="F62" s="40">
        <f t="shared" si="9"/>
        <v>36340.12591</v>
      </c>
      <c r="G62" s="40">
        <f t="shared" si="16"/>
        <v>0</v>
      </c>
      <c r="H62" s="40">
        <f t="shared" si="10"/>
        <v>1696350.232</v>
      </c>
      <c r="I62" s="40">
        <f t="shared" si="3"/>
        <v>0</v>
      </c>
      <c r="J62" s="29">
        <f t="shared" si="11"/>
        <v>0</v>
      </c>
      <c r="K62" s="29">
        <f t="shared" si="12"/>
        <v>5057273.983</v>
      </c>
      <c r="L62" s="29">
        <f t="shared" si="4"/>
        <v>3612.338559</v>
      </c>
      <c r="M62" s="29">
        <f t="shared" si="13"/>
        <v>187841.6051</v>
      </c>
      <c r="N62" s="29">
        <f t="shared" si="5"/>
        <v>5062561.775</v>
      </c>
      <c r="O62" s="26">
        <f t="shared" si="6"/>
        <v>8268350.526</v>
      </c>
      <c r="P62" s="38">
        <f t="shared" si="7"/>
        <v>0</v>
      </c>
      <c r="Q62" s="29">
        <f t="shared" si="14"/>
        <v>12397982.19</v>
      </c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22"/>
      <c r="B63" s="22"/>
      <c r="C63" s="22"/>
      <c r="D63" s="38">
        <f t="shared" ref="D63:E63" si="65">D62+1</f>
        <v>2072</v>
      </c>
      <c r="E63" s="38">
        <f t="shared" si="65"/>
        <v>53</v>
      </c>
      <c r="F63" s="40">
        <f t="shared" si="9"/>
        <v>37430.32968</v>
      </c>
      <c r="G63" s="40">
        <f t="shared" si="16"/>
        <v>0</v>
      </c>
      <c r="H63" s="40">
        <f t="shared" si="10"/>
        <v>1696350.232</v>
      </c>
      <c r="I63" s="40">
        <f t="shared" si="3"/>
        <v>0</v>
      </c>
      <c r="J63" s="29">
        <f t="shared" si="11"/>
        <v>0</v>
      </c>
      <c r="K63" s="29">
        <f t="shared" si="12"/>
        <v>5208992.203</v>
      </c>
      <c r="L63" s="29">
        <f t="shared" si="4"/>
        <v>3720.708716</v>
      </c>
      <c r="M63" s="29">
        <f t="shared" si="13"/>
        <v>193476.8532</v>
      </c>
      <c r="N63" s="29">
        <f t="shared" si="5"/>
        <v>5256038.628</v>
      </c>
      <c r="O63" s="26">
        <f t="shared" si="6"/>
        <v>8613545.599</v>
      </c>
      <c r="P63" s="38">
        <f t="shared" si="7"/>
        <v>0</v>
      </c>
      <c r="Q63" s="29">
        <f t="shared" si="14"/>
        <v>13141861.13</v>
      </c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22"/>
      <c r="B64" s="22"/>
      <c r="C64" s="22"/>
      <c r="D64" s="38">
        <f t="shared" ref="D64:E64" si="66">D63+1</f>
        <v>2073</v>
      </c>
      <c r="E64" s="38">
        <f t="shared" si="66"/>
        <v>54</v>
      </c>
      <c r="F64" s="40">
        <f t="shared" si="9"/>
        <v>38553.23958</v>
      </c>
      <c r="G64" s="40">
        <f t="shared" si="16"/>
        <v>0</v>
      </c>
      <c r="H64" s="40">
        <f t="shared" si="10"/>
        <v>1696350.232</v>
      </c>
      <c r="I64" s="40">
        <f t="shared" si="3"/>
        <v>0</v>
      </c>
      <c r="J64" s="29">
        <f t="shared" si="11"/>
        <v>0</v>
      </c>
      <c r="K64" s="29">
        <f t="shared" si="12"/>
        <v>5365261.969</v>
      </c>
      <c r="L64" s="29">
        <f t="shared" si="4"/>
        <v>3832.329978</v>
      </c>
      <c r="M64" s="29">
        <f t="shared" si="13"/>
        <v>199281.1588</v>
      </c>
      <c r="N64" s="29">
        <f t="shared" si="5"/>
        <v>5455319.787</v>
      </c>
      <c r="O64" s="26">
        <f t="shared" si="6"/>
        <v>8969096.523</v>
      </c>
      <c r="P64" s="38">
        <f t="shared" si="7"/>
        <v>0</v>
      </c>
      <c r="Q64" s="29">
        <f t="shared" si="14"/>
        <v>13930372.79</v>
      </c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22"/>
      <c r="B65" s="22"/>
      <c r="C65" s="22"/>
      <c r="D65" s="38">
        <f t="shared" ref="D65:E65" si="67">D64+1</f>
        <v>2074</v>
      </c>
      <c r="E65" s="38">
        <f t="shared" si="67"/>
        <v>55</v>
      </c>
      <c r="F65" s="40">
        <f t="shared" si="9"/>
        <v>39709.83676</v>
      </c>
      <c r="G65" s="40">
        <f t="shared" si="16"/>
        <v>0</v>
      </c>
      <c r="H65" s="40">
        <f t="shared" si="10"/>
        <v>1696350.232</v>
      </c>
      <c r="I65" s="40">
        <f t="shared" si="3"/>
        <v>0</v>
      </c>
      <c r="J65" s="29">
        <f t="shared" si="11"/>
        <v>0</v>
      </c>
      <c r="K65" s="29">
        <f t="shared" si="12"/>
        <v>5526219.828</v>
      </c>
      <c r="L65" s="29">
        <f t="shared" si="4"/>
        <v>3947.299877</v>
      </c>
      <c r="M65" s="29">
        <f t="shared" si="13"/>
        <v>205259.5936</v>
      </c>
      <c r="N65" s="29">
        <f t="shared" si="5"/>
        <v>5660579.38</v>
      </c>
      <c r="O65" s="26">
        <f t="shared" si="6"/>
        <v>9335313.976</v>
      </c>
      <c r="P65" s="38">
        <f t="shared" si="7"/>
        <v>0</v>
      </c>
      <c r="Q65" s="29">
        <f t="shared" si="14"/>
        <v>14766195.16</v>
      </c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22"/>
      <c r="B66" s="22"/>
      <c r="C66" s="22"/>
      <c r="D66" s="38">
        <f t="shared" ref="D66:E66" si="68">D65+1</f>
        <v>2075</v>
      </c>
      <c r="E66" s="38">
        <f t="shared" si="68"/>
        <v>56</v>
      </c>
      <c r="F66" s="40">
        <f t="shared" si="9"/>
        <v>40901.13187</v>
      </c>
      <c r="G66" s="40">
        <f t="shared" si="16"/>
        <v>0</v>
      </c>
      <c r="H66" s="40">
        <f t="shared" si="10"/>
        <v>1696350.232</v>
      </c>
      <c r="I66" s="40">
        <f t="shared" si="3"/>
        <v>0</v>
      </c>
      <c r="J66" s="29">
        <f t="shared" si="11"/>
        <v>0</v>
      </c>
      <c r="K66" s="29">
        <f t="shared" si="12"/>
        <v>5692006.423</v>
      </c>
      <c r="L66" s="29">
        <f t="shared" si="4"/>
        <v>4065.718873</v>
      </c>
      <c r="M66" s="29">
        <f t="shared" si="13"/>
        <v>211417.3814</v>
      </c>
      <c r="N66" s="29">
        <f t="shared" si="5"/>
        <v>5871996.762</v>
      </c>
      <c r="O66" s="26">
        <f t="shared" si="6"/>
        <v>9712517.952</v>
      </c>
      <c r="P66" s="38">
        <f t="shared" si="7"/>
        <v>0</v>
      </c>
      <c r="Q66" s="29">
        <f t="shared" si="14"/>
        <v>15652166.87</v>
      </c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22"/>
      <c r="B67" s="22"/>
      <c r="C67" s="22"/>
      <c r="D67" s="38">
        <f t="shared" ref="D67:E67" si="69">D66+1</f>
        <v>2076</v>
      </c>
      <c r="E67" s="38">
        <f t="shared" si="69"/>
        <v>57</v>
      </c>
      <c r="F67" s="40">
        <f t="shared" si="9"/>
        <v>42128.16582</v>
      </c>
      <c r="G67" s="40">
        <f t="shared" si="16"/>
        <v>0</v>
      </c>
      <c r="H67" s="40">
        <f t="shared" si="10"/>
        <v>1696350.232</v>
      </c>
      <c r="I67" s="40">
        <f t="shared" si="3"/>
        <v>0</v>
      </c>
      <c r="J67" s="29">
        <f t="shared" si="11"/>
        <v>0</v>
      </c>
      <c r="K67" s="29">
        <f t="shared" si="12"/>
        <v>5862766.615</v>
      </c>
      <c r="L67" s="29">
        <f t="shared" si="4"/>
        <v>4187.69044</v>
      </c>
      <c r="M67" s="29">
        <f t="shared" si="13"/>
        <v>217759.9029</v>
      </c>
      <c r="N67" s="29">
        <f t="shared" si="5"/>
        <v>6089756.665</v>
      </c>
      <c r="O67" s="26">
        <f t="shared" si="6"/>
        <v>10101038.05</v>
      </c>
      <c r="P67" s="38">
        <f t="shared" si="7"/>
        <v>0</v>
      </c>
      <c r="Q67" s="29">
        <f t="shared" si="14"/>
        <v>16591296.88</v>
      </c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22"/>
      <c r="B68" s="22"/>
      <c r="C68" s="22"/>
      <c r="D68" s="38">
        <f t="shared" ref="D68:E68" si="70">D67+1</f>
        <v>2077</v>
      </c>
      <c r="E68" s="38">
        <f t="shared" si="70"/>
        <v>58</v>
      </c>
      <c r="F68" s="40">
        <f t="shared" si="9"/>
        <v>43392.0108</v>
      </c>
      <c r="G68" s="40">
        <f t="shared" si="16"/>
        <v>0</v>
      </c>
      <c r="H68" s="40">
        <f t="shared" si="10"/>
        <v>1696350.232</v>
      </c>
      <c r="I68" s="40">
        <f t="shared" si="3"/>
        <v>0</v>
      </c>
      <c r="J68" s="29">
        <f t="shared" si="11"/>
        <v>0</v>
      </c>
      <c r="K68" s="29">
        <f t="shared" si="12"/>
        <v>6038649.614</v>
      </c>
      <c r="L68" s="29">
        <f t="shared" si="4"/>
        <v>4313.321153</v>
      </c>
      <c r="M68" s="29">
        <f t="shared" si="13"/>
        <v>224292.6999</v>
      </c>
      <c r="N68" s="29">
        <f t="shared" si="5"/>
        <v>6314049.365</v>
      </c>
      <c r="O68" s="26">
        <f t="shared" si="6"/>
        <v>10501213.75</v>
      </c>
      <c r="P68" s="38">
        <f t="shared" si="7"/>
        <v>0</v>
      </c>
      <c r="Q68" s="29">
        <f t="shared" si="14"/>
        <v>17586774.7</v>
      </c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  <row r="100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</row>
    <row r="1002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</row>
    <row r="1003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</row>
    <row r="1004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</row>
    <row r="100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</row>
    <row r="1006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</row>
    <row r="1007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</row>
    <row r="1008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</row>
    <row r="1009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</row>
    <row r="1010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22"/>
    </row>
    <row r="1011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22"/>
    </row>
    <row r="1012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</row>
    <row r="1013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22"/>
    </row>
    <row r="1014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22"/>
    </row>
  </sheetData>
  <conditionalFormatting sqref="J13:K70">
    <cfRule type="cellIs" dxfId="2" priority="1" operator="lessThanOrEqual">
      <formula>0</formula>
    </cfRule>
  </conditionalFormatting>
  <conditionalFormatting sqref="N13:N70">
    <cfRule type="cellIs" dxfId="3" priority="2" operator="lessThanOrEqual">
      <formula>0</formula>
    </cfRule>
  </conditionalFormatting>
  <conditionalFormatting sqref="N13:N70">
    <cfRule type="cellIs" dxfId="4" priority="3" operator="greaterThanOrEqual">
      <formula>0</formula>
    </cfRule>
  </conditionalFormatting>
  <conditionalFormatting sqref="J13:K70">
    <cfRule type="cellIs" dxfId="5" priority="4" operator="greaterThanOrEqual">
      <formula>0</formula>
    </cfRule>
  </conditionalFormatting>
  <dataValidations>
    <dataValidation type="list" allowBlank="1" showErrorMessage="1" sqref="B7">
      <formula1>"Unit,House"</formula1>
    </dataValidation>
  </dataValidations>
  <hyperlinks>
    <hyperlink r:id="rId1" ref="A1"/>
    <hyperlink r:id="rId2" ref="A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4" max="4" width="4.57"/>
    <col customWidth="1" min="5" max="5" width="14.29"/>
    <col customWidth="1" min="6" max="6" width="18.86"/>
    <col customWidth="1" min="8" max="9" width="19.14"/>
  </cols>
  <sheetData>
    <row r="1">
      <c r="A1" s="21" t="s">
        <v>58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46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>
      <c r="A2" s="21" t="s">
        <v>59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46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46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46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</row>
    <row r="5">
      <c r="A5" s="25" t="s">
        <v>60</v>
      </c>
      <c r="B5" s="24">
        <v>43.0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46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>
      <c r="A6" s="25" t="s">
        <v>18</v>
      </c>
      <c r="B6" s="26">
        <v>600000.0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46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>
      <c r="A7" s="25" t="s">
        <v>19</v>
      </c>
      <c r="B7" s="44" t="s">
        <v>20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46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>
      <c r="A8" s="25" t="s">
        <v>61</v>
      </c>
      <c r="B8" s="26">
        <v>500.0</v>
      </c>
      <c r="C8" s="22"/>
      <c r="D8" s="22"/>
      <c r="E8" s="22"/>
      <c r="F8" s="32"/>
      <c r="G8" s="33"/>
      <c r="H8" s="32"/>
      <c r="I8" s="22"/>
      <c r="J8" s="22"/>
      <c r="K8" s="22"/>
      <c r="L8" s="22"/>
      <c r="M8" s="22"/>
      <c r="N8" s="46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>
      <c r="A9" s="25" t="s">
        <v>62</v>
      </c>
      <c r="B9" s="26">
        <f>0.2*$B$6</f>
        <v>120000</v>
      </c>
      <c r="C9" s="22"/>
      <c r="D9" s="22"/>
      <c r="E9" s="32"/>
      <c r="F9" s="32"/>
      <c r="G9" s="22"/>
      <c r="H9" s="32"/>
      <c r="I9" s="32"/>
      <c r="J9" s="32"/>
      <c r="K9" s="32"/>
      <c r="L9" s="32"/>
      <c r="M9" s="22"/>
      <c r="N9" s="46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>
      <c r="A10" s="22"/>
      <c r="B10" s="22"/>
      <c r="C10" s="22"/>
      <c r="D10" s="22"/>
      <c r="E10" s="32"/>
      <c r="F10" s="47" t="s">
        <v>63</v>
      </c>
      <c r="G10" s="29">
        <f>B20+B21+B22</f>
        <v>151735</v>
      </c>
      <c r="H10" s="32"/>
      <c r="I10" s="32"/>
      <c r="J10" s="32"/>
      <c r="K10" s="32"/>
      <c r="L10" s="32"/>
      <c r="M10" s="22"/>
      <c r="N10" s="46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>
      <c r="A11" s="22"/>
      <c r="B11" s="43"/>
      <c r="C11" s="22"/>
      <c r="D11" s="48" t="s">
        <v>64</v>
      </c>
      <c r="E11" s="35" t="s">
        <v>27</v>
      </c>
      <c r="F11" s="49" t="s">
        <v>28</v>
      </c>
      <c r="G11" s="49" t="s">
        <v>29</v>
      </c>
      <c r="H11" s="50" t="s">
        <v>65</v>
      </c>
      <c r="I11" s="50" t="s">
        <v>66</v>
      </c>
      <c r="J11" s="50" t="s">
        <v>33</v>
      </c>
      <c r="K11" s="50" t="s">
        <v>67</v>
      </c>
      <c r="L11" s="49" t="s">
        <v>68</v>
      </c>
      <c r="M11" s="50" t="s">
        <v>69</v>
      </c>
      <c r="N11" s="51" t="s">
        <v>70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>
      <c r="A12" s="25" t="s">
        <v>40</v>
      </c>
      <c r="B12" s="52">
        <v>0.02</v>
      </c>
      <c r="C12" s="22"/>
      <c r="D12" s="38">
        <f>B5</f>
        <v>43</v>
      </c>
      <c r="E12" s="38">
        <v>1.0</v>
      </c>
      <c r="F12" s="40">
        <f>B25+B24+B23+B27</f>
        <v>3900</v>
      </c>
      <c r="G12" s="29">
        <f t="shared" ref="G12:G69" si="2">$B$16*$B$19</f>
        <v>24000</v>
      </c>
      <c r="H12" s="29">
        <f t="shared" ref="H12:H69" si="3">I12/52</f>
        <v>500</v>
      </c>
      <c r="I12" s="29">
        <f>B26</f>
        <v>26000</v>
      </c>
      <c r="J12" s="29">
        <f>$B$6</f>
        <v>600000</v>
      </c>
      <c r="K12" s="53">
        <f t="shared" ref="K12:K69" si="4">I12-(G12+F12)</f>
        <v>-1900</v>
      </c>
      <c r="L12" s="53">
        <f t="shared" ref="L12:L69" si="5">(SUM($K$12:K12) - $G$10)</f>
        <v>-153635</v>
      </c>
      <c r="M12" s="41">
        <f t="shared" ref="M12:M69" si="6">(J12 - $B$19) + L12</f>
        <v>-33635</v>
      </c>
      <c r="N12" s="54">
        <f>$G$10</f>
        <v>151735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>
      <c r="A13" s="25" t="s">
        <v>41</v>
      </c>
      <c r="B13" s="55">
        <v>0.03</v>
      </c>
      <c r="C13" s="22"/>
      <c r="D13" s="38">
        <f t="shared" ref="D13:E13" si="1">D12+1</f>
        <v>44</v>
      </c>
      <c r="E13" s="38">
        <f t="shared" si="1"/>
        <v>2</v>
      </c>
      <c r="F13" s="40">
        <f t="shared" ref="F13:F69" si="8">F12*(1+$B$13)</f>
        <v>4017</v>
      </c>
      <c r="G13" s="29">
        <f t="shared" si="2"/>
        <v>24000</v>
      </c>
      <c r="H13" s="29">
        <f t="shared" si="3"/>
        <v>510</v>
      </c>
      <c r="I13" s="29">
        <f t="shared" ref="I13:I69" si="9">I12*(1+$B$12)</f>
        <v>26520</v>
      </c>
      <c r="J13" s="29">
        <f t="shared" ref="J13:J69" si="10">IF($B$7="House",J12*(1+$B$14),J12*(1+$B$15))</f>
        <v>636000</v>
      </c>
      <c r="K13" s="53">
        <f t="shared" si="4"/>
        <v>-1497</v>
      </c>
      <c r="L13" s="53">
        <f t="shared" si="5"/>
        <v>-155132</v>
      </c>
      <c r="M13" s="41">
        <f t="shared" si="6"/>
        <v>868</v>
      </c>
      <c r="N13" s="54">
        <f t="shared" ref="N13:N69" si="11">(N12 + 0.06*N12 + (IF(K12 &lt; 0, K12 *-1, 0)))</f>
        <v>162739.1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>
      <c r="A14" s="25" t="s">
        <v>42</v>
      </c>
      <c r="B14" s="56">
        <v>0.06</v>
      </c>
      <c r="C14" s="22"/>
      <c r="D14" s="38">
        <f t="shared" ref="D14:E14" si="7">D13+1</f>
        <v>45</v>
      </c>
      <c r="E14" s="38">
        <f t="shared" si="7"/>
        <v>3</v>
      </c>
      <c r="F14" s="40">
        <f t="shared" si="8"/>
        <v>4137.51</v>
      </c>
      <c r="G14" s="29">
        <f t="shared" si="2"/>
        <v>24000</v>
      </c>
      <c r="H14" s="29">
        <f t="shared" si="3"/>
        <v>520.2</v>
      </c>
      <c r="I14" s="29">
        <f t="shared" si="9"/>
        <v>27050.4</v>
      </c>
      <c r="J14" s="29">
        <f t="shared" si="10"/>
        <v>674160</v>
      </c>
      <c r="K14" s="53">
        <f t="shared" si="4"/>
        <v>-1087.11</v>
      </c>
      <c r="L14" s="53">
        <f t="shared" si="5"/>
        <v>-156219.11</v>
      </c>
      <c r="M14" s="26">
        <f t="shared" si="6"/>
        <v>37940.89</v>
      </c>
      <c r="N14" s="54">
        <f t="shared" si="11"/>
        <v>174000.446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>
      <c r="A15" s="25" t="s">
        <v>43</v>
      </c>
      <c r="B15" s="52">
        <v>0.036</v>
      </c>
      <c r="C15" s="22"/>
      <c r="D15" s="38">
        <f t="shared" ref="D15:E15" si="12">D14+1</f>
        <v>46</v>
      </c>
      <c r="E15" s="38">
        <f t="shared" si="12"/>
        <v>4</v>
      </c>
      <c r="F15" s="40">
        <f t="shared" si="8"/>
        <v>4261.6353</v>
      </c>
      <c r="G15" s="29">
        <f t="shared" si="2"/>
        <v>24000</v>
      </c>
      <c r="H15" s="29">
        <f t="shared" si="3"/>
        <v>530.604</v>
      </c>
      <c r="I15" s="29">
        <f t="shared" si="9"/>
        <v>27591.408</v>
      </c>
      <c r="J15" s="29">
        <f t="shared" si="10"/>
        <v>714609.6</v>
      </c>
      <c r="K15" s="53">
        <f t="shared" si="4"/>
        <v>-670.2273</v>
      </c>
      <c r="L15" s="53">
        <f t="shared" si="5"/>
        <v>-156889.3373</v>
      </c>
      <c r="M15" s="26">
        <f t="shared" si="6"/>
        <v>77720.2627</v>
      </c>
      <c r="N15" s="54">
        <f t="shared" si="11"/>
        <v>185527.5828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>
      <c r="A16" s="25" t="s">
        <v>44</v>
      </c>
      <c r="B16" s="52">
        <v>0.05</v>
      </c>
      <c r="C16" s="22"/>
      <c r="D16" s="38">
        <f t="shared" ref="D16:E16" si="13">D15+1</f>
        <v>47</v>
      </c>
      <c r="E16" s="38">
        <f t="shared" si="13"/>
        <v>5</v>
      </c>
      <c r="F16" s="40">
        <f t="shared" si="8"/>
        <v>4389.484359</v>
      </c>
      <c r="G16" s="29">
        <f t="shared" si="2"/>
        <v>24000</v>
      </c>
      <c r="H16" s="29">
        <f t="shared" si="3"/>
        <v>541.21608</v>
      </c>
      <c r="I16" s="29">
        <f t="shared" si="9"/>
        <v>28143.23616</v>
      </c>
      <c r="J16" s="29">
        <f t="shared" si="10"/>
        <v>757486.176</v>
      </c>
      <c r="K16" s="53">
        <f t="shared" si="4"/>
        <v>-246.248199</v>
      </c>
      <c r="L16" s="53">
        <f t="shared" si="5"/>
        <v>-157135.5855</v>
      </c>
      <c r="M16" s="26">
        <f t="shared" si="6"/>
        <v>120350.5905</v>
      </c>
      <c r="N16" s="54">
        <f t="shared" si="11"/>
        <v>197329.465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</row>
    <row r="17">
      <c r="A17" s="25" t="s">
        <v>45</v>
      </c>
      <c r="B17" s="52">
        <v>0.05</v>
      </c>
      <c r="C17" s="22"/>
      <c r="D17" s="38">
        <f t="shared" ref="D17:E17" si="14">D16+1</f>
        <v>48</v>
      </c>
      <c r="E17" s="38">
        <f t="shared" si="14"/>
        <v>6</v>
      </c>
      <c r="F17" s="40">
        <f t="shared" si="8"/>
        <v>4521.16889</v>
      </c>
      <c r="G17" s="29">
        <f t="shared" si="2"/>
        <v>24000</v>
      </c>
      <c r="H17" s="29">
        <f t="shared" si="3"/>
        <v>552.0404016</v>
      </c>
      <c r="I17" s="29">
        <f t="shared" si="9"/>
        <v>28706.10088</v>
      </c>
      <c r="J17" s="29">
        <f t="shared" si="10"/>
        <v>802935.3466</v>
      </c>
      <c r="K17" s="53">
        <f t="shared" si="4"/>
        <v>184.9319934</v>
      </c>
      <c r="L17" s="53">
        <f t="shared" si="5"/>
        <v>-156950.6535</v>
      </c>
      <c r="M17" s="26">
        <f t="shared" si="6"/>
        <v>165984.6931</v>
      </c>
      <c r="N17" s="54">
        <f t="shared" si="11"/>
        <v>209415.4811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</row>
    <row r="18">
      <c r="A18" s="22"/>
      <c r="B18" s="33"/>
      <c r="C18" s="22"/>
      <c r="D18" s="38">
        <f t="shared" ref="D18:E18" si="15">D17+1</f>
        <v>49</v>
      </c>
      <c r="E18" s="38">
        <f t="shared" si="15"/>
        <v>7</v>
      </c>
      <c r="F18" s="40">
        <f t="shared" si="8"/>
        <v>4656.803956</v>
      </c>
      <c r="G18" s="29">
        <f t="shared" si="2"/>
        <v>24000</v>
      </c>
      <c r="H18" s="29">
        <f t="shared" si="3"/>
        <v>563.0812096</v>
      </c>
      <c r="I18" s="29">
        <f t="shared" si="9"/>
        <v>29280.2229</v>
      </c>
      <c r="J18" s="29">
        <f t="shared" si="10"/>
        <v>851111.4674</v>
      </c>
      <c r="K18" s="53">
        <f t="shared" si="4"/>
        <v>623.4189444</v>
      </c>
      <c r="L18" s="53">
        <f t="shared" si="5"/>
        <v>-156327.2346</v>
      </c>
      <c r="M18" s="26">
        <f t="shared" si="6"/>
        <v>214784.2328</v>
      </c>
      <c r="N18" s="54">
        <f t="shared" si="11"/>
        <v>221980.41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>
      <c r="A19" s="30" t="s">
        <v>46</v>
      </c>
      <c r="B19" s="29">
        <f>$B$6-B20</f>
        <v>480000</v>
      </c>
      <c r="C19" s="22"/>
      <c r="D19" s="38">
        <f t="shared" ref="D19:E19" si="16">D18+1</f>
        <v>50</v>
      </c>
      <c r="E19" s="38">
        <f t="shared" si="16"/>
        <v>8</v>
      </c>
      <c r="F19" s="40">
        <f t="shared" si="8"/>
        <v>4796.508075</v>
      </c>
      <c r="G19" s="29">
        <f t="shared" si="2"/>
        <v>24000</v>
      </c>
      <c r="H19" s="29">
        <f t="shared" si="3"/>
        <v>574.3428338</v>
      </c>
      <c r="I19" s="29">
        <f t="shared" si="9"/>
        <v>29865.82736</v>
      </c>
      <c r="J19" s="29">
        <f t="shared" si="10"/>
        <v>902178.1554</v>
      </c>
      <c r="K19" s="57">
        <f t="shared" si="4"/>
        <v>1069.319284</v>
      </c>
      <c r="L19" s="53">
        <f t="shared" si="5"/>
        <v>-155257.9153</v>
      </c>
      <c r="M19" s="26">
        <f t="shared" si="6"/>
        <v>266920.2401</v>
      </c>
      <c r="N19" s="54">
        <f t="shared" si="11"/>
        <v>235299.2346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0">
      <c r="A20" s="30" t="s">
        <v>47</v>
      </c>
      <c r="B20" s="29">
        <f>IF($B$9 &gt; 20/100*$B$6,$B$9,20/100*$B$6)</f>
        <v>120000</v>
      </c>
      <c r="C20" s="22"/>
      <c r="D20" s="38">
        <f t="shared" ref="D20:E20" si="17">D19+1</f>
        <v>51</v>
      </c>
      <c r="E20" s="38">
        <f t="shared" si="17"/>
        <v>9</v>
      </c>
      <c r="F20" s="40">
        <f t="shared" si="8"/>
        <v>4940.403317</v>
      </c>
      <c r="G20" s="29">
        <f t="shared" si="2"/>
        <v>24000</v>
      </c>
      <c r="H20" s="29">
        <f t="shared" si="3"/>
        <v>585.8296905</v>
      </c>
      <c r="I20" s="29">
        <f t="shared" si="9"/>
        <v>30463.14391</v>
      </c>
      <c r="J20" s="29">
        <f t="shared" si="10"/>
        <v>956308.8447</v>
      </c>
      <c r="K20" s="57">
        <f t="shared" si="4"/>
        <v>1522.740589</v>
      </c>
      <c r="L20" s="53">
        <f t="shared" si="5"/>
        <v>-153735.1747</v>
      </c>
      <c r="M20" s="26">
        <f t="shared" si="6"/>
        <v>322573.67</v>
      </c>
      <c r="N20" s="54">
        <f t="shared" si="11"/>
        <v>249417.1887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>
      <c r="A21" s="30" t="s">
        <v>48</v>
      </c>
      <c r="B21" s="29">
        <f> 10530 + 4.5 * (($B$6 - 351000)/100)</f>
        <v>21735</v>
      </c>
      <c r="C21" s="22"/>
      <c r="D21" s="38">
        <f t="shared" ref="D21:E21" si="18">D20+1</f>
        <v>52</v>
      </c>
      <c r="E21" s="38">
        <f t="shared" si="18"/>
        <v>10</v>
      </c>
      <c r="F21" s="40">
        <f t="shared" si="8"/>
        <v>5088.615417</v>
      </c>
      <c r="G21" s="29">
        <f t="shared" si="2"/>
        <v>24000</v>
      </c>
      <c r="H21" s="29">
        <f t="shared" si="3"/>
        <v>597.5462843</v>
      </c>
      <c r="I21" s="29">
        <f t="shared" si="9"/>
        <v>31072.40678</v>
      </c>
      <c r="J21" s="29">
        <f t="shared" si="10"/>
        <v>1013687.375</v>
      </c>
      <c r="K21" s="57">
        <f t="shared" si="4"/>
        <v>1983.791367</v>
      </c>
      <c r="L21" s="53">
        <f t="shared" si="5"/>
        <v>-151751.3833</v>
      </c>
      <c r="M21" s="26">
        <f t="shared" si="6"/>
        <v>381935.9921</v>
      </c>
      <c r="N21" s="54">
        <f t="shared" si="11"/>
        <v>264382.22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>
      <c r="A22" s="30" t="s">
        <v>49</v>
      </c>
      <c r="B22" s="45">
        <v>10000.0</v>
      </c>
      <c r="C22" s="22"/>
      <c r="D22" s="38">
        <f t="shared" ref="D22:E22" si="19">D21+1</f>
        <v>53</v>
      </c>
      <c r="E22" s="38">
        <f t="shared" si="19"/>
        <v>11</v>
      </c>
      <c r="F22" s="40">
        <f t="shared" si="8"/>
        <v>5241.273879</v>
      </c>
      <c r="G22" s="29">
        <f t="shared" si="2"/>
        <v>24000</v>
      </c>
      <c r="H22" s="29">
        <f t="shared" si="3"/>
        <v>609.49721</v>
      </c>
      <c r="I22" s="29">
        <f t="shared" si="9"/>
        <v>31693.85492</v>
      </c>
      <c r="J22" s="29">
        <f t="shared" si="10"/>
        <v>1074508.618</v>
      </c>
      <c r="K22" s="57">
        <f t="shared" si="4"/>
        <v>2452.58104</v>
      </c>
      <c r="L22" s="53">
        <f t="shared" si="5"/>
        <v>-149298.8023</v>
      </c>
      <c r="M22" s="26">
        <f t="shared" si="6"/>
        <v>445209.8156</v>
      </c>
      <c r="N22" s="54">
        <f t="shared" si="11"/>
        <v>280245.1532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>
      <c r="A23" s="30" t="s">
        <v>52</v>
      </c>
      <c r="B23" s="40">
        <f>150*4</f>
        <v>600</v>
      </c>
      <c r="C23" s="22"/>
      <c r="D23" s="38">
        <f t="shared" ref="D23:E23" si="20">D22+1</f>
        <v>54</v>
      </c>
      <c r="E23" s="38">
        <f t="shared" si="20"/>
        <v>12</v>
      </c>
      <c r="F23" s="40">
        <f t="shared" si="8"/>
        <v>5398.512096</v>
      </c>
      <c r="G23" s="29">
        <f t="shared" si="2"/>
        <v>24000</v>
      </c>
      <c r="H23" s="29">
        <f t="shared" si="3"/>
        <v>621.6871542</v>
      </c>
      <c r="I23" s="29">
        <f t="shared" si="9"/>
        <v>32327.73202</v>
      </c>
      <c r="J23" s="29">
        <f t="shared" si="10"/>
        <v>1138979.135</v>
      </c>
      <c r="K23" s="57">
        <f t="shared" si="4"/>
        <v>2929.219922</v>
      </c>
      <c r="L23" s="53">
        <f t="shared" si="5"/>
        <v>-146369.5824</v>
      </c>
      <c r="M23" s="26">
        <f t="shared" si="6"/>
        <v>512609.5526</v>
      </c>
      <c r="N23" s="54">
        <f t="shared" si="11"/>
        <v>297059.8624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>
      <c r="A24" s="30" t="s">
        <v>53</v>
      </c>
      <c r="B24" s="58">
        <v>0.0</v>
      </c>
      <c r="C24" s="22"/>
      <c r="D24" s="38">
        <f t="shared" ref="D24:E24" si="21">D23+1</f>
        <v>55</v>
      </c>
      <c r="E24" s="38">
        <f t="shared" si="21"/>
        <v>13</v>
      </c>
      <c r="F24" s="40">
        <f t="shared" si="8"/>
        <v>5560.467459</v>
      </c>
      <c r="G24" s="29">
        <f t="shared" si="2"/>
        <v>24000</v>
      </c>
      <c r="H24" s="29">
        <f t="shared" si="3"/>
        <v>634.1208973</v>
      </c>
      <c r="I24" s="29">
        <f t="shared" si="9"/>
        <v>32974.28666</v>
      </c>
      <c r="J24" s="29">
        <f t="shared" si="10"/>
        <v>1207317.883</v>
      </c>
      <c r="K24" s="57">
        <f t="shared" si="4"/>
        <v>3413.8192</v>
      </c>
      <c r="L24" s="53">
        <f t="shared" si="5"/>
        <v>-142955.7632</v>
      </c>
      <c r="M24" s="26">
        <f t="shared" si="6"/>
        <v>584362.1199</v>
      </c>
      <c r="N24" s="54">
        <f t="shared" si="11"/>
        <v>314883.4541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>
      <c r="A25" s="30" t="s">
        <v>54</v>
      </c>
      <c r="B25" s="40">
        <v>2000.0</v>
      </c>
      <c r="C25" s="22"/>
      <c r="D25" s="38">
        <f t="shared" ref="D25:E25" si="22">D24+1</f>
        <v>56</v>
      </c>
      <c r="E25" s="38">
        <f t="shared" si="22"/>
        <v>14</v>
      </c>
      <c r="F25" s="40">
        <f t="shared" si="8"/>
        <v>5727.281482</v>
      </c>
      <c r="G25" s="29">
        <f t="shared" si="2"/>
        <v>24000</v>
      </c>
      <c r="H25" s="29">
        <f t="shared" si="3"/>
        <v>646.8033152</v>
      </c>
      <c r="I25" s="29">
        <f t="shared" si="9"/>
        <v>33633.77239</v>
      </c>
      <c r="J25" s="29">
        <f t="shared" si="10"/>
        <v>1279756.956</v>
      </c>
      <c r="K25" s="57">
        <f t="shared" si="4"/>
        <v>3906.490909</v>
      </c>
      <c r="L25" s="53">
        <f t="shared" si="5"/>
        <v>-139049.2722</v>
      </c>
      <c r="M25" s="26">
        <f t="shared" si="6"/>
        <v>660707.6838</v>
      </c>
      <c r="N25" s="54">
        <f t="shared" si="11"/>
        <v>333776.4614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>
      <c r="A26" s="30" t="s">
        <v>55</v>
      </c>
      <c r="B26" s="29">
        <f>$B$8*52</f>
        <v>26000</v>
      </c>
      <c r="C26" s="22"/>
      <c r="D26" s="38">
        <f t="shared" ref="D26:E26" si="23">D25+1</f>
        <v>57</v>
      </c>
      <c r="E26" s="38">
        <f t="shared" si="23"/>
        <v>15</v>
      </c>
      <c r="F26" s="40">
        <f t="shared" si="8"/>
        <v>5899.099927</v>
      </c>
      <c r="G26" s="29">
        <f t="shared" si="2"/>
        <v>24000</v>
      </c>
      <c r="H26" s="29">
        <f t="shared" si="3"/>
        <v>659.7393815</v>
      </c>
      <c r="I26" s="29">
        <f t="shared" si="9"/>
        <v>34306.44784</v>
      </c>
      <c r="J26" s="29">
        <f t="shared" si="10"/>
        <v>1356542.373</v>
      </c>
      <c r="K26" s="57">
        <f t="shared" si="4"/>
        <v>4407.347913</v>
      </c>
      <c r="L26" s="53">
        <f t="shared" si="5"/>
        <v>-134641.9243</v>
      </c>
      <c r="M26" s="26">
        <f t="shared" si="6"/>
        <v>741900.4491</v>
      </c>
      <c r="N26" s="54">
        <f t="shared" si="11"/>
        <v>353803.0491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>
      <c r="A27" s="30" t="s">
        <v>56</v>
      </c>
      <c r="B27" s="29">
        <f>B26*$B$17</f>
        <v>1300</v>
      </c>
      <c r="C27" s="22"/>
      <c r="D27" s="38">
        <f t="shared" ref="D27:E27" si="24">D26+1</f>
        <v>58</v>
      </c>
      <c r="E27" s="38">
        <f t="shared" si="24"/>
        <v>16</v>
      </c>
      <c r="F27" s="40">
        <f t="shared" si="8"/>
        <v>6076.072925</v>
      </c>
      <c r="G27" s="29">
        <f t="shared" si="2"/>
        <v>24000</v>
      </c>
      <c r="H27" s="29">
        <f t="shared" si="3"/>
        <v>672.9341692</v>
      </c>
      <c r="I27" s="29">
        <f t="shared" si="9"/>
        <v>34992.5768</v>
      </c>
      <c r="J27" s="29">
        <f t="shared" si="10"/>
        <v>1437934.916</v>
      </c>
      <c r="K27" s="57">
        <f t="shared" si="4"/>
        <v>4916.503872</v>
      </c>
      <c r="L27" s="53">
        <f t="shared" si="5"/>
        <v>-129725.4205</v>
      </c>
      <c r="M27" s="26">
        <f t="shared" si="6"/>
        <v>828209.4954</v>
      </c>
      <c r="N27" s="54">
        <f t="shared" si="11"/>
        <v>375031.232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>
      <c r="A28" s="22"/>
      <c r="B28" s="33"/>
      <c r="C28" s="22"/>
      <c r="D28" s="38">
        <f t="shared" ref="D28:E28" si="25">D27+1</f>
        <v>59</v>
      </c>
      <c r="E28" s="38">
        <f t="shared" si="25"/>
        <v>17</v>
      </c>
      <c r="F28" s="40">
        <f t="shared" si="8"/>
        <v>6258.355112</v>
      </c>
      <c r="G28" s="29">
        <f t="shared" si="2"/>
        <v>24000</v>
      </c>
      <c r="H28" s="29">
        <f t="shared" si="3"/>
        <v>686.3928525</v>
      </c>
      <c r="I28" s="29">
        <f t="shared" si="9"/>
        <v>35692.42833</v>
      </c>
      <c r="J28" s="29">
        <f t="shared" si="10"/>
        <v>1524211.011</v>
      </c>
      <c r="K28" s="57">
        <f t="shared" si="4"/>
        <v>5434.07322</v>
      </c>
      <c r="L28" s="53">
        <f t="shared" si="5"/>
        <v>-124291.3472</v>
      </c>
      <c r="M28" s="26">
        <f t="shared" si="6"/>
        <v>919919.6636</v>
      </c>
      <c r="N28" s="54">
        <f t="shared" si="11"/>
        <v>397533.1059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>
      <c r="A29" s="22"/>
      <c r="B29" s="22"/>
      <c r="C29" s="22"/>
      <c r="D29" s="38">
        <f t="shared" ref="D29:E29" si="26">D28+1</f>
        <v>60</v>
      </c>
      <c r="E29" s="38">
        <f t="shared" si="26"/>
        <v>18</v>
      </c>
      <c r="F29" s="40">
        <f t="shared" si="8"/>
        <v>6446.105766</v>
      </c>
      <c r="G29" s="29">
        <f t="shared" si="2"/>
        <v>24000</v>
      </c>
      <c r="H29" s="29">
        <f t="shared" si="3"/>
        <v>700.1207096</v>
      </c>
      <c r="I29" s="29">
        <f t="shared" si="9"/>
        <v>36406.2769</v>
      </c>
      <c r="J29" s="29">
        <f t="shared" si="10"/>
        <v>1615663.671</v>
      </c>
      <c r="K29" s="57">
        <f t="shared" si="4"/>
        <v>5960.171133</v>
      </c>
      <c r="L29" s="53">
        <f t="shared" si="5"/>
        <v>-118331.1761</v>
      </c>
      <c r="M29" s="26">
        <f t="shared" si="6"/>
        <v>1017332.495</v>
      </c>
      <c r="N29" s="54">
        <f t="shared" si="11"/>
        <v>421385.0923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>
      <c r="A30" s="22"/>
      <c r="B30" s="22"/>
      <c r="C30" s="22"/>
      <c r="D30" s="38">
        <f t="shared" ref="D30:E30" si="27">D29+1</f>
        <v>61</v>
      </c>
      <c r="E30" s="38">
        <f t="shared" si="27"/>
        <v>19</v>
      </c>
      <c r="F30" s="40">
        <f t="shared" si="8"/>
        <v>6639.488939</v>
      </c>
      <c r="G30" s="29">
        <f t="shared" si="2"/>
        <v>24000</v>
      </c>
      <c r="H30" s="29">
        <f t="shared" si="3"/>
        <v>714.1231238</v>
      </c>
      <c r="I30" s="29">
        <f t="shared" si="9"/>
        <v>37134.40244</v>
      </c>
      <c r="J30" s="29">
        <f t="shared" si="10"/>
        <v>1712603.492</v>
      </c>
      <c r="K30" s="57">
        <f t="shared" si="4"/>
        <v>6494.913498</v>
      </c>
      <c r="L30" s="53">
        <f t="shared" si="5"/>
        <v>-111836.2626</v>
      </c>
      <c r="M30" s="26">
        <f t="shared" si="6"/>
        <v>1120767.229</v>
      </c>
      <c r="N30" s="54">
        <f t="shared" si="11"/>
        <v>446668.1978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>
      <c r="A31" s="22"/>
      <c r="B31" s="22"/>
      <c r="C31" s="22"/>
      <c r="D31" s="38">
        <f t="shared" ref="D31:E31" si="28">D30+1</f>
        <v>62</v>
      </c>
      <c r="E31" s="38">
        <f t="shared" si="28"/>
        <v>20</v>
      </c>
      <c r="F31" s="40">
        <f t="shared" si="8"/>
        <v>6838.673607</v>
      </c>
      <c r="G31" s="29">
        <f t="shared" si="2"/>
        <v>24000</v>
      </c>
      <c r="H31" s="29">
        <f t="shared" si="3"/>
        <v>728.4055863</v>
      </c>
      <c r="I31" s="29">
        <f t="shared" si="9"/>
        <v>37877.09049</v>
      </c>
      <c r="J31" s="29">
        <f t="shared" si="10"/>
        <v>1815359.701</v>
      </c>
      <c r="K31" s="57">
        <f t="shared" si="4"/>
        <v>7038.416879</v>
      </c>
      <c r="L31" s="53">
        <f t="shared" si="5"/>
        <v>-104797.8457</v>
      </c>
      <c r="M31" s="26">
        <f t="shared" si="6"/>
        <v>1230561.856</v>
      </c>
      <c r="N31" s="54">
        <f t="shared" si="11"/>
        <v>473468.2897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</row>
    <row r="32">
      <c r="A32" s="22"/>
      <c r="B32" s="22"/>
      <c r="C32" s="22"/>
      <c r="D32" s="38">
        <f t="shared" ref="D32:E32" si="29">D31+1</f>
        <v>63</v>
      </c>
      <c r="E32" s="38">
        <f t="shared" si="29"/>
        <v>21</v>
      </c>
      <c r="F32" s="40">
        <f t="shared" si="8"/>
        <v>7043.833815</v>
      </c>
      <c r="G32" s="29">
        <f t="shared" si="2"/>
        <v>24000</v>
      </c>
      <c r="H32" s="29">
        <f t="shared" si="3"/>
        <v>742.973698</v>
      </c>
      <c r="I32" s="29">
        <f t="shared" si="9"/>
        <v>38634.6323</v>
      </c>
      <c r="J32" s="29">
        <f t="shared" si="10"/>
        <v>1924281.283</v>
      </c>
      <c r="K32" s="57">
        <f t="shared" si="4"/>
        <v>7590.79848</v>
      </c>
      <c r="L32" s="53">
        <f t="shared" si="5"/>
        <v>-97207.04725</v>
      </c>
      <c r="M32" s="26">
        <f t="shared" si="6"/>
        <v>1347074.236</v>
      </c>
      <c r="N32" s="54">
        <f t="shared" si="11"/>
        <v>501876.3871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>
      <c r="A33" s="22"/>
      <c r="B33" s="22"/>
      <c r="C33" s="22"/>
      <c r="D33" s="38">
        <f t="shared" ref="D33:E33" si="30">D32+1</f>
        <v>64</v>
      </c>
      <c r="E33" s="38">
        <f t="shared" si="30"/>
        <v>22</v>
      </c>
      <c r="F33" s="40">
        <f t="shared" si="8"/>
        <v>7255.14883</v>
      </c>
      <c r="G33" s="29">
        <f t="shared" si="2"/>
        <v>24000</v>
      </c>
      <c r="H33" s="29">
        <f t="shared" si="3"/>
        <v>757.8331719</v>
      </c>
      <c r="I33" s="29">
        <f t="shared" si="9"/>
        <v>39407.32494</v>
      </c>
      <c r="J33" s="29">
        <f t="shared" si="10"/>
        <v>2039738.16</v>
      </c>
      <c r="K33" s="57">
        <f t="shared" si="4"/>
        <v>8152.176112</v>
      </c>
      <c r="L33" s="53">
        <f t="shared" si="5"/>
        <v>-89054.87114</v>
      </c>
      <c r="M33" s="26">
        <f t="shared" si="6"/>
        <v>1470683.289</v>
      </c>
      <c r="N33" s="54">
        <f t="shared" si="11"/>
        <v>531988.9703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>
      <c r="A34" s="22"/>
      <c r="B34" s="22"/>
      <c r="C34" s="22"/>
      <c r="D34" s="38">
        <f t="shared" ref="D34:E34" si="31">D33+1</f>
        <v>65</v>
      </c>
      <c r="E34" s="38">
        <f t="shared" si="31"/>
        <v>23</v>
      </c>
      <c r="F34" s="40">
        <f t="shared" si="8"/>
        <v>7472.803295</v>
      </c>
      <c r="G34" s="29">
        <f t="shared" si="2"/>
        <v>24000</v>
      </c>
      <c r="H34" s="29">
        <f t="shared" si="3"/>
        <v>772.9898354</v>
      </c>
      <c r="I34" s="29">
        <f t="shared" si="9"/>
        <v>40195.47144</v>
      </c>
      <c r="J34" s="29">
        <f t="shared" si="10"/>
        <v>2162122.45</v>
      </c>
      <c r="K34" s="57">
        <f t="shared" si="4"/>
        <v>8722.668146</v>
      </c>
      <c r="L34" s="53">
        <f t="shared" si="5"/>
        <v>-80332.203</v>
      </c>
      <c r="M34" s="26">
        <f t="shared" si="6"/>
        <v>1601790.247</v>
      </c>
      <c r="N34" s="54">
        <f t="shared" si="11"/>
        <v>563908.3085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>
      <c r="A35" s="22"/>
      <c r="B35" s="22"/>
      <c r="C35" s="22"/>
      <c r="D35" s="38">
        <f t="shared" ref="D35:E35" si="32">D34+1</f>
        <v>66</v>
      </c>
      <c r="E35" s="38">
        <f t="shared" si="32"/>
        <v>24</v>
      </c>
      <c r="F35" s="40">
        <f t="shared" si="8"/>
        <v>7696.987393</v>
      </c>
      <c r="G35" s="29">
        <f t="shared" si="2"/>
        <v>24000</v>
      </c>
      <c r="H35" s="29">
        <f t="shared" si="3"/>
        <v>788.4496321</v>
      </c>
      <c r="I35" s="29">
        <f t="shared" si="9"/>
        <v>40999.38087</v>
      </c>
      <c r="J35" s="29">
        <f t="shared" si="10"/>
        <v>2291849.797</v>
      </c>
      <c r="K35" s="57">
        <f t="shared" si="4"/>
        <v>9302.393476</v>
      </c>
      <c r="L35" s="53">
        <f t="shared" si="5"/>
        <v>-71029.80952</v>
      </c>
      <c r="M35" s="26">
        <f t="shared" si="6"/>
        <v>1740819.987</v>
      </c>
      <c r="N35" s="54">
        <f t="shared" si="11"/>
        <v>597742.807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>
      <c r="A36" s="22"/>
      <c r="B36" s="22"/>
      <c r="C36" s="22"/>
      <c r="D36" s="38">
        <f t="shared" ref="D36:E36" si="33">D35+1</f>
        <v>67</v>
      </c>
      <c r="E36" s="38">
        <f t="shared" si="33"/>
        <v>25</v>
      </c>
      <c r="F36" s="40">
        <f t="shared" si="8"/>
        <v>7927.897015</v>
      </c>
      <c r="G36" s="29">
        <f t="shared" si="2"/>
        <v>24000</v>
      </c>
      <c r="H36" s="29">
        <f t="shared" si="3"/>
        <v>804.2186247</v>
      </c>
      <c r="I36" s="29">
        <f t="shared" si="9"/>
        <v>41819.36849</v>
      </c>
      <c r="J36" s="29">
        <f t="shared" si="10"/>
        <v>2429360.785</v>
      </c>
      <c r="K36" s="57">
        <f t="shared" si="4"/>
        <v>9891.471471</v>
      </c>
      <c r="L36" s="53">
        <f t="shared" si="5"/>
        <v>-61138.33805</v>
      </c>
      <c r="M36" s="26">
        <f t="shared" si="6"/>
        <v>1888222.447</v>
      </c>
      <c r="N36" s="54">
        <f t="shared" si="11"/>
        <v>633607.3754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>
      <c r="A37" s="22"/>
      <c r="B37" s="22"/>
      <c r="C37" s="22"/>
      <c r="D37" s="38">
        <f t="shared" ref="D37:E37" si="34">D36+1</f>
        <v>68</v>
      </c>
      <c r="E37" s="38">
        <f t="shared" si="34"/>
        <v>26</v>
      </c>
      <c r="F37" s="40">
        <f t="shared" si="8"/>
        <v>8165.733926</v>
      </c>
      <c r="G37" s="29">
        <f t="shared" si="2"/>
        <v>24000</v>
      </c>
      <c r="H37" s="29">
        <f t="shared" si="3"/>
        <v>820.3029972</v>
      </c>
      <c r="I37" s="29">
        <f t="shared" si="9"/>
        <v>42655.75586</v>
      </c>
      <c r="J37" s="29">
        <f t="shared" si="10"/>
        <v>2575122.432</v>
      </c>
      <c r="K37" s="57">
        <f t="shared" si="4"/>
        <v>10490.02193</v>
      </c>
      <c r="L37" s="53">
        <f t="shared" si="5"/>
        <v>-50648.31612</v>
      </c>
      <c r="M37" s="26">
        <f t="shared" si="6"/>
        <v>2044474.116</v>
      </c>
      <c r="N37" s="54">
        <f t="shared" si="11"/>
        <v>671623.818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>
      <c r="A38" s="22"/>
      <c r="B38" s="22"/>
      <c r="C38" s="22"/>
      <c r="D38" s="38">
        <f t="shared" ref="D38:E38" si="35">D37+1</f>
        <v>69</v>
      </c>
      <c r="E38" s="38">
        <f t="shared" si="35"/>
        <v>27</v>
      </c>
      <c r="F38" s="40">
        <f t="shared" si="8"/>
        <v>8410.705943</v>
      </c>
      <c r="G38" s="29">
        <f t="shared" si="2"/>
        <v>24000</v>
      </c>
      <c r="H38" s="29">
        <f t="shared" si="3"/>
        <v>836.7090572</v>
      </c>
      <c r="I38" s="29">
        <f t="shared" si="9"/>
        <v>43508.87097</v>
      </c>
      <c r="J38" s="29">
        <f t="shared" si="10"/>
        <v>2729629.778</v>
      </c>
      <c r="K38" s="57">
        <f t="shared" si="4"/>
        <v>11098.16503</v>
      </c>
      <c r="L38" s="53">
        <f t="shared" si="5"/>
        <v>-39550.15109</v>
      </c>
      <c r="M38" s="26">
        <f t="shared" si="6"/>
        <v>2210079.627</v>
      </c>
      <c r="N38" s="54">
        <f t="shared" si="11"/>
        <v>711921.247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  <row r="39">
      <c r="A39" s="22"/>
      <c r="B39" s="22"/>
      <c r="C39" s="22"/>
      <c r="D39" s="38">
        <f t="shared" ref="D39:E39" si="36">D38+1</f>
        <v>70</v>
      </c>
      <c r="E39" s="38">
        <f t="shared" si="36"/>
        <v>28</v>
      </c>
      <c r="F39" s="40">
        <f t="shared" si="8"/>
        <v>8663.027122</v>
      </c>
      <c r="G39" s="29">
        <f t="shared" si="2"/>
        <v>24000</v>
      </c>
      <c r="H39" s="29">
        <f t="shared" si="3"/>
        <v>853.4432383</v>
      </c>
      <c r="I39" s="29">
        <f t="shared" si="9"/>
        <v>44379.04839</v>
      </c>
      <c r="J39" s="29">
        <f t="shared" si="10"/>
        <v>2893407.564</v>
      </c>
      <c r="K39" s="57">
        <f t="shared" si="4"/>
        <v>11716.02127</v>
      </c>
      <c r="L39" s="57">
        <f t="shared" si="5"/>
        <v>-27834.12982</v>
      </c>
      <c r="M39" s="26">
        <f t="shared" si="6"/>
        <v>2385573.435</v>
      </c>
      <c r="N39" s="54">
        <f t="shared" si="11"/>
        <v>754636.5218</v>
      </c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>
      <c r="A40" s="22"/>
      <c r="B40" s="22"/>
      <c r="C40" s="22"/>
      <c r="D40" s="38">
        <f t="shared" ref="D40:E40" si="37">D39+1</f>
        <v>71</v>
      </c>
      <c r="E40" s="38">
        <f t="shared" si="37"/>
        <v>29</v>
      </c>
      <c r="F40" s="40">
        <f t="shared" si="8"/>
        <v>8922.917935</v>
      </c>
      <c r="G40" s="29">
        <f t="shared" si="2"/>
        <v>24000</v>
      </c>
      <c r="H40" s="29">
        <f t="shared" si="3"/>
        <v>870.5121031</v>
      </c>
      <c r="I40" s="29">
        <f t="shared" si="9"/>
        <v>45266.62936</v>
      </c>
      <c r="J40" s="29">
        <f t="shared" si="10"/>
        <v>3067012.018</v>
      </c>
      <c r="K40" s="57">
        <f t="shared" si="4"/>
        <v>12343.71143</v>
      </c>
      <c r="L40" s="57">
        <f t="shared" si="5"/>
        <v>-15490.41839</v>
      </c>
      <c r="M40" s="26">
        <f t="shared" si="6"/>
        <v>2571521.6</v>
      </c>
      <c r="N40" s="54">
        <f t="shared" si="11"/>
        <v>799914.7132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</row>
    <row r="41">
      <c r="A41" s="22"/>
      <c r="B41" s="22"/>
      <c r="C41" s="22"/>
      <c r="D41" s="38">
        <f t="shared" ref="D41:E41" si="38">D40+1</f>
        <v>72</v>
      </c>
      <c r="E41" s="38">
        <f t="shared" si="38"/>
        <v>30</v>
      </c>
      <c r="F41" s="40">
        <f t="shared" si="8"/>
        <v>9190.605473</v>
      </c>
      <c r="G41" s="29">
        <f t="shared" si="2"/>
        <v>24000</v>
      </c>
      <c r="H41" s="29">
        <f t="shared" si="3"/>
        <v>887.9223451</v>
      </c>
      <c r="I41" s="29">
        <f t="shared" si="9"/>
        <v>46171.96195</v>
      </c>
      <c r="J41" s="29">
        <f t="shared" si="10"/>
        <v>3251032.739</v>
      </c>
      <c r="K41" s="57">
        <f t="shared" si="4"/>
        <v>12981.35647</v>
      </c>
      <c r="L41" s="57">
        <f t="shared" si="5"/>
        <v>-2509.06192</v>
      </c>
      <c r="M41" s="26">
        <f t="shared" si="6"/>
        <v>2768523.677</v>
      </c>
      <c r="N41" s="54">
        <f t="shared" si="11"/>
        <v>847909.5959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</row>
    <row r="42">
      <c r="A42" s="22"/>
      <c r="B42" s="22"/>
      <c r="C42" s="22"/>
      <c r="D42" s="38">
        <f t="shared" ref="D42:E42" si="39">D41+1</f>
        <v>73</v>
      </c>
      <c r="E42" s="38">
        <f t="shared" si="39"/>
        <v>31</v>
      </c>
      <c r="F42" s="40">
        <f t="shared" si="8"/>
        <v>9466.323638</v>
      </c>
      <c r="G42" s="29">
        <f t="shared" si="2"/>
        <v>24000</v>
      </c>
      <c r="H42" s="29">
        <f t="shared" si="3"/>
        <v>905.6807921</v>
      </c>
      <c r="I42" s="29">
        <f t="shared" si="9"/>
        <v>47095.40119</v>
      </c>
      <c r="J42" s="29">
        <f t="shared" si="10"/>
        <v>3446094.704</v>
      </c>
      <c r="K42" s="57">
        <f t="shared" si="4"/>
        <v>13629.07755</v>
      </c>
      <c r="L42" s="57">
        <f t="shared" si="5"/>
        <v>11120.01563</v>
      </c>
      <c r="M42" s="26">
        <f t="shared" si="6"/>
        <v>2977214.719</v>
      </c>
      <c r="N42" s="54">
        <f t="shared" si="11"/>
        <v>898784.1717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>
      <c r="A43" s="22"/>
      <c r="B43" s="22"/>
      <c r="C43" s="22"/>
      <c r="D43" s="38">
        <f t="shared" ref="D43:E43" si="40">D42+1</f>
        <v>74</v>
      </c>
      <c r="E43" s="38">
        <f t="shared" si="40"/>
        <v>32</v>
      </c>
      <c r="F43" s="40">
        <f t="shared" si="8"/>
        <v>9750.313347</v>
      </c>
      <c r="G43" s="29">
        <f t="shared" si="2"/>
        <v>24000</v>
      </c>
      <c r="H43" s="29">
        <f t="shared" si="3"/>
        <v>923.7944079</v>
      </c>
      <c r="I43" s="29">
        <f t="shared" si="9"/>
        <v>48037.30921</v>
      </c>
      <c r="J43" s="29">
        <f t="shared" si="10"/>
        <v>3652860.386</v>
      </c>
      <c r="K43" s="57">
        <f t="shared" si="4"/>
        <v>14286.99586</v>
      </c>
      <c r="L43" s="57">
        <f t="shared" si="5"/>
        <v>25407.01149</v>
      </c>
      <c r="M43" s="26">
        <f t="shared" si="6"/>
        <v>3198267.397</v>
      </c>
      <c r="N43" s="54">
        <f t="shared" si="11"/>
        <v>952711.222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</row>
    <row r="44">
      <c r="A44" s="22"/>
      <c r="B44" s="22"/>
      <c r="C44" s="22"/>
      <c r="D44" s="38">
        <f t="shared" ref="D44:E44" si="41">D43+1</f>
        <v>75</v>
      </c>
      <c r="E44" s="38">
        <f t="shared" si="41"/>
        <v>33</v>
      </c>
      <c r="F44" s="40">
        <f t="shared" si="8"/>
        <v>10042.82275</v>
      </c>
      <c r="G44" s="29">
        <f t="shared" si="2"/>
        <v>24000</v>
      </c>
      <c r="H44" s="29">
        <f t="shared" si="3"/>
        <v>942.2702961</v>
      </c>
      <c r="I44" s="29">
        <f t="shared" si="9"/>
        <v>48998.05539</v>
      </c>
      <c r="J44" s="29">
        <f t="shared" si="10"/>
        <v>3872032.009</v>
      </c>
      <c r="K44" s="57">
        <f t="shared" si="4"/>
        <v>14955.23265</v>
      </c>
      <c r="L44" s="57">
        <f t="shared" si="5"/>
        <v>40362.24414</v>
      </c>
      <c r="M44" s="26">
        <f t="shared" si="6"/>
        <v>3432394.253</v>
      </c>
      <c r="N44" s="54">
        <f t="shared" si="11"/>
        <v>1009873.895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</row>
    <row r="45">
      <c r="A45" s="22"/>
      <c r="B45" s="22"/>
      <c r="C45" s="22"/>
      <c r="D45" s="38">
        <f t="shared" ref="D45:E45" si="42">D44+1</f>
        <v>76</v>
      </c>
      <c r="E45" s="38">
        <f t="shared" si="42"/>
        <v>34</v>
      </c>
      <c r="F45" s="40">
        <f t="shared" si="8"/>
        <v>10344.10743</v>
      </c>
      <c r="G45" s="29">
        <f t="shared" si="2"/>
        <v>24000</v>
      </c>
      <c r="H45" s="29">
        <f t="shared" si="3"/>
        <v>961.115702</v>
      </c>
      <c r="I45" s="29">
        <f t="shared" si="9"/>
        <v>49978.0165</v>
      </c>
      <c r="J45" s="29">
        <f t="shared" si="10"/>
        <v>4104353.93</v>
      </c>
      <c r="K45" s="57">
        <f t="shared" si="4"/>
        <v>15633.90907</v>
      </c>
      <c r="L45" s="57">
        <f t="shared" si="5"/>
        <v>55996.15321</v>
      </c>
      <c r="M45" s="26">
        <f t="shared" si="6"/>
        <v>3680350.083</v>
      </c>
      <c r="N45" s="54">
        <f t="shared" si="11"/>
        <v>1070466.329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</row>
    <row r="46">
      <c r="A46" s="22"/>
      <c r="B46" s="22"/>
      <c r="C46" s="22"/>
      <c r="D46" s="38">
        <f t="shared" ref="D46:E46" si="43">D45+1</f>
        <v>77</v>
      </c>
      <c r="E46" s="38">
        <f t="shared" si="43"/>
        <v>35</v>
      </c>
      <c r="F46" s="40">
        <f t="shared" si="8"/>
        <v>10654.43065</v>
      </c>
      <c r="G46" s="29">
        <f t="shared" si="2"/>
        <v>24000</v>
      </c>
      <c r="H46" s="29">
        <f t="shared" si="3"/>
        <v>980.338016</v>
      </c>
      <c r="I46" s="29">
        <f t="shared" si="9"/>
        <v>50977.57683</v>
      </c>
      <c r="J46" s="29">
        <f t="shared" si="10"/>
        <v>4350615.165</v>
      </c>
      <c r="K46" s="57">
        <f t="shared" si="4"/>
        <v>16323.14618</v>
      </c>
      <c r="L46" s="57">
        <f t="shared" si="5"/>
        <v>72319.29939</v>
      </c>
      <c r="M46" s="26">
        <f t="shared" si="6"/>
        <v>3942934.465</v>
      </c>
      <c r="N46" s="54">
        <f t="shared" si="11"/>
        <v>1134694.309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>
      <c r="A47" s="22"/>
      <c r="B47" s="22"/>
      <c r="C47" s="22"/>
      <c r="D47" s="38">
        <f t="shared" ref="D47:E47" si="44">D46+1</f>
        <v>78</v>
      </c>
      <c r="E47" s="38">
        <f t="shared" si="44"/>
        <v>36</v>
      </c>
      <c r="F47" s="40">
        <f t="shared" si="8"/>
        <v>10974.06357</v>
      </c>
      <c r="G47" s="29">
        <f t="shared" si="2"/>
        <v>24000</v>
      </c>
      <c r="H47" s="29">
        <f t="shared" si="3"/>
        <v>999.9447763</v>
      </c>
      <c r="I47" s="29">
        <f t="shared" si="9"/>
        <v>51997.12837</v>
      </c>
      <c r="J47" s="29">
        <f t="shared" si="10"/>
        <v>4611652.075</v>
      </c>
      <c r="K47" s="57">
        <f t="shared" si="4"/>
        <v>17023.0648</v>
      </c>
      <c r="L47" s="57">
        <f t="shared" si="5"/>
        <v>89342.36419</v>
      </c>
      <c r="M47" s="26">
        <f t="shared" si="6"/>
        <v>4220994.44</v>
      </c>
      <c r="N47" s="54">
        <f t="shared" si="11"/>
        <v>1202775.967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</row>
    <row r="48">
      <c r="A48" s="22"/>
      <c r="B48" s="22"/>
      <c r="C48" s="22"/>
      <c r="D48" s="38">
        <f t="shared" ref="D48:E48" si="45">D47+1</f>
        <v>79</v>
      </c>
      <c r="E48" s="38">
        <f t="shared" si="45"/>
        <v>37</v>
      </c>
      <c r="F48" s="40">
        <f t="shared" si="8"/>
        <v>11303.28548</v>
      </c>
      <c r="G48" s="29">
        <f t="shared" si="2"/>
        <v>24000</v>
      </c>
      <c r="H48" s="29">
        <f t="shared" si="3"/>
        <v>1019.943672</v>
      </c>
      <c r="I48" s="29">
        <f t="shared" si="9"/>
        <v>53037.07094</v>
      </c>
      <c r="J48" s="29">
        <f t="shared" si="10"/>
        <v>4888351.2</v>
      </c>
      <c r="K48" s="57">
        <f t="shared" si="4"/>
        <v>17733.78546</v>
      </c>
      <c r="L48" s="57">
        <f t="shared" si="5"/>
        <v>107076.1496</v>
      </c>
      <c r="M48" s="26">
        <f t="shared" si="6"/>
        <v>4515427.35</v>
      </c>
      <c r="N48" s="54">
        <f t="shared" si="11"/>
        <v>1274942.525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</row>
    <row r="49">
      <c r="A49" s="22"/>
      <c r="B49" s="22"/>
      <c r="C49" s="22"/>
      <c r="D49" s="38">
        <f t="shared" ref="D49:E49" si="46">D48+1</f>
        <v>80</v>
      </c>
      <c r="E49" s="38">
        <f t="shared" si="46"/>
        <v>38</v>
      </c>
      <c r="F49" s="40">
        <f t="shared" si="8"/>
        <v>11642.38404</v>
      </c>
      <c r="G49" s="29">
        <f t="shared" si="2"/>
        <v>24000</v>
      </c>
      <c r="H49" s="29">
        <f t="shared" si="3"/>
        <v>1040.342545</v>
      </c>
      <c r="I49" s="29">
        <f t="shared" si="9"/>
        <v>54097.81236</v>
      </c>
      <c r="J49" s="29">
        <f t="shared" si="10"/>
        <v>5181652.272</v>
      </c>
      <c r="K49" s="57">
        <f t="shared" si="4"/>
        <v>18455.42831</v>
      </c>
      <c r="L49" s="57">
        <f t="shared" si="5"/>
        <v>125531.578</v>
      </c>
      <c r="M49" s="26">
        <f t="shared" si="6"/>
        <v>4827183.85</v>
      </c>
      <c r="N49" s="54">
        <f t="shared" si="11"/>
        <v>1351439.077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</row>
    <row r="50">
      <c r="A50" s="22"/>
      <c r="B50" s="22"/>
      <c r="C50" s="22"/>
      <c r="D50" s="38">
        <f t="shared" ref="D50:E50" si="47">D49+1</f>
        <v>81</v>
      </c>
      <c r="E50" s="38">
        <f t="shared" si="47"/>
        <v>39</v>
      </c>
      <c r="F50" s="40">
        <f t="shared" si="8"/>
        <v>11991.65556</v>
      </c>
      <c r="G50" s="29">
        <f t="shared" si="2"/>
        <v>24000</v>
      </c>
      <c r="H50" s="29">
        <f t="shared" si="3"/>
        <v>1061.149396</v>
      </c>
      <c r="I50" s="29">
        <f t="shared" si="9"/>
        <v>55179.7686</v>
      </c>
      <c r="J50" s="29">
        <f t="shared" si="10"/>
        <v>5492551.408</v>
      </c>
      <c r="K50" s="57">
        <f t="shared" si="4"/>
        <v>19188.11304</v>
      </c>
      <c r="L50" s="57">
        <f t="shared" si="5"/>
        <v>144719.691</v>
      </c>
      <c r="M50" s="26">
        <f t="shared" si="6"/>
        <v>5157271.099</v>
      </c>
      <c r="N50" s="54">
        <f t="shared" si="11"/>
        <v>1432525.421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>
      <c r="A51" s="22"/>
      <c r="B51" s="22"/>
      <c r="C51" s="22"/>
      <c r="D51" s="38">
        <f t="shared" ref="D51:E51" si="48">D50+1</f>
        <v>82</v>
      </c>
      <c r="E51" s="38">
        <f t="shared" si="48"/>
        <v>40</v>
      </c>
      <c r="F51" s="40">
        <f t="shared" si="8"/>
        <v>12351.40523</v>
      </c>
      <c r="G51" s="29">
        <f t="shared" si="2"/>
        <v>24000</v>
      </c>
      <c r="H51" s="29">
        <f t="shared" si="3"/>
        <v>1082.372384</v>
      </c>
      <c r="I51" s="29">
        <f t="shared" si="9"/>
        <v>56283.36397</v>
      </c>
      <c r="J51" s="29">
        <f t="shared" si="10"/>
        <v>5822104.493</v>
      </c>
      <c r="K51" s="57">
        <f t="shared" si="4"/>
        <v>19931.95874</v>
      </c>
      <c r="L51" s="57">
        <f t="shared" si="5"/>
        <v>164651.6497</v>
      </c>
      <c r="M51" s="26">
        <f t="shared" si="6"/>
        <v>5506756.142</v>
      </c>
      <c r="N51" s="54">
        <f t="shared" si="11"/>
        <v>1518476.947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</row>
    <row r="52">
      <c r="A52" s="22"/>
      <c r="B52" s="22"/>
      <c r="C52" s="22"/>
      <c r="D52" s="38">
        <f t="shared" ref="D52:E52" si="49">D51+1</f>
        <v>83</v>
      </c>
      <c r="E52" s="38">
        <f t="shared" si="49"/>
        <v>41</v>
      </c>
      <c r="F52" s="40">
        <f t="shared" si="8"/>
        <v>12721.94739</v>
      </c>
      <c r="G52" s="29">
        <f t="shared" si="2"/>
        <v>24000</v>
      </c>
      <c r="H52" s="29">
        <f t="shared" si="3"/>
        <v>1104.019832</v>
      </c>
      <c r="I52" s="29">
        <f t="shared" si="9"/>
        <v>57409.03125</v>
      </c>
      <c r="J52" s="29">
        <f t="shared" si="10"/>
        <v>6171430.762</v>
      </c>
      <c r="K52" s="57">
        <f t="shared" si="4"/>
        <v>20687.08387</v>
      </c>
      <c r="L52" s="57">
        <f t="shared" si="5"/>
        <v>185338.7336</v>
      </c>
      <c r="M52" s="26">
        <f t="shared" si="6"/>
        <v>5876769.496</v>
      </c>
      <c r="N52" s="54">
        <f t="shared" si="11"/>
        <v>1609585.564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</row>
    <row r="53">
      <c r="A53" s="22"/>
      <c r="B53" s="22"/>
      <c r="C53" s="22"/>
      <c r="D53" s="38">
        <f t="shared" ref="D53:E53" si="50">D52+1</f>
        <v>84</v>
      </c>
      <c r="E53" s="38">
        <f t="shared" si="50"/>
        <v>42</v>
      </c>
      <c r="F53" s="40">
        <f t="shared" si="8"/>
        <v>13103.60581</v>
      </c>
      <c r="G53" s="29">
        <f t="shared" si="2"/>
        <v>24000</v>
      </c>
      <c r="H53" s="29">
        <f t="shared" si="3"/>
        <v>1126.100228</v>
      </c>
      <c r="I53" s="29">
        <f t="shared" si="9"/>
        <v>58557.21188</v>
      </c>
      <c r="J53" s="29">
        <f t="shared" si="10"/>
        <v>6541716.608</v>
      </c>
      <c r="K53" s="57">
        <f t="shared" si="4"/>
        <v>21453.60607</v>
      </c>
      <c r="L53" s="57">
        <f t="shared" si="5"/>
        <v>206792.3397</v>
      </c>
      <c r="M53" s="26">
        <f t="shared" si="6"/>
        <v>6268508.948</v>
      </c>
      <c r="N53" s="54">
        <f t="shared" si="11"/>
        <v>1706160.697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</row>
    <row r="54">
      <c r="A54" s="22"/>
      <c r="B54" s="22"/>
      <c r="C54" s="22"/>
      <c r="D54" s="38">
        <f t="shared" ref="D54:E54" si="51">D53+1</f>
        <v>85</v>
      </c>
      <c r="E54" s="38">
        <f t="shared" si="51"/>
        <v>43</v>
      </c>
      <c r="F54" s="40">
        <f t="shared" si="8"/>
        <v>13496.71398</v>
      </c>
      <c r="G54" s="29">
        <f t="shared" si="2"/>
        <v>24000</v>
      </c>
      <c r="H54" s="29">
        <f t="shared" si="3"/>
        <v>1148.622233</v>
      </c>
      <c r="I54" s="29">
        <f t="shared" si="9"/>
        <v>59728.35612</v>
      </c>
      <c r="J54" s="29">
        <f t="shared" si="10"/>
        <v>6934219.604</v>
      </c>
      <c r="K54" s="57">
        <f t="shared" si="4"/>
        <v>22231.64213</v>
      </c>
      <c r="L54" s="57">
        <f t="shared" si="5"/>
        <v>229023.9818</v>
      </c>
      <c r="M54" s="26">
        <f t="shared" si="6"/>
        <v>6683243.586</v>
      </c>
      <c r="N54" s="54">
        <f t="shared" si="11"/>
        <v>1808530.339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</row>
    <row r="55">
      <c r="A55" s="22"/>
      <c r="B55" s="22"/>
      <c r="C55" s="22"/>
      <c r="D55" s="38">
        <f t="shared" ref="D55:E55" si="52">D54+1</f>
        <v>86</v>
      </c>
      <c r="E55" s="38">
        <f t="shared" si="52"/>
        <v>44</v>
      </c>
      <c r="F55" s="40">
        <f t="shared" si="8"/>
        <v>13901.6154</v>
      </c>
      <c r="G55" s="29">
        <f t="shared" si="2"/>
        <v>24000</v>
      </c>
      <c r="H55" s="29">
        <f t="shared" si="3"/>
        <v>1171.594678</v>
      </c>
      <c r="I55" s="29">
        <f t="shared" si="9"/>
        <v>60922.92324</v>
      </c>
      <c r="J55" s="29">
        <f t="shared" si="10"/>
        <v>7350272.781</v>
      </c>
      <c r="K55" s="57">
        <f t="shared" si="4"/>
        <v>23021.30783</v>
      </c>
      <c r="L55" s="57">
        <f t="shared" si="5"/>
        <v>252045.2896</v>
      </c>
      <c r="M55" s="26">
        <f t="shared" si="6"/>
        <v>7122318.07</v>
      </c>
      <c r="N55" s="54">
        <f t="shared" si="11"/>
        <v>1917042.16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>
      <c r="A56" s="22"/>
      <c r="B56" s="22"/>
      <c r="C56" s="22"/>
      <c r="D56" s="38">
        <f t="shared" ref="D56:E56" si="53">D55+1</f>
        <v>87</v>
      </c>
      <c r="E56" s="38">
        <f t="shared" si="53"/>
        <v>45</v>
      </c>
      <c r="F56" s="40">
        <f t="shared" si="8"/>
        <v>14318.66387</v>
      </c>
      <c r="G56" s="29">
        <f t="shared" si="2"/>
        <v>24000</v>
      </c>
      <c r="H56" s="29">
        <f t="shared" si="3"/>
        <v>1195.026571</v>
      </c>
      <c r="I56" s="29">
        <f t="shared" si="9"/>
        <v>62141.3817</v>
      </c>
      <c r="J56" s="29">
        <f t="shared" si="10"/>
        <v>7791289.148</v>
      </c>
      <c r="K56" s="57">
        <f t="shared" si="4"/>
        <v>23822.71784</v>
      </c>
      <c r="L56" s="57">
        <f t="shared" si="5"/>
        <v>275868.0075</v>
      </c>
      <c r="M56" s="26">
        <f t="shared" si="6"/>
        <v>7587157.155</v>
      </c>
      <c r="N56" s="54">
        <f t="shared" si="11"/>
        <v>2032064.689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</row>
    <row r="57">
      <c r="A57" s="22"/>
      <c r="B57" s="22"/>
      <c r="C57" s="22"/>
      <c r="D57" s="38">
        <f t="shared" ref="D57:E57" si="54">D56+1</f>
        <v>88</v>
      </c>
      <c r="E57" s="38">
        <f t="shared" si="54"/>
        <v>46</v>
      </c>
      <c r="F57" s="40">
        <f t="shared" si="8"/>
        <v>14748.22378</v>
      </c>
      <c r="G57" s="29">
        <f t="shared" si="2"/>
        <v>24000</v>
      </c>
      <c r="H57" s="29">
        <f t="shared" si="3"/>
        <v>1218.927103</v>
      </c>
      <c r="I57" s="29">
        <f t="shared" si="9"/>
        <v>63384.20934</v>
      </c>
      <c r="J57" s="29">
        <f t="shared" si="10"/>
        <v>8258766.496</v>
      </c>
      <c r="K57" s="57">
        <f t="shared" si="4"/>
        <v>24635.98556</v>
      </c>
      <c r="L57" s="57">
        <f t="shared" si="5"/>
        <v>300503.993</v>
      </c>
      <c r="M57" s="26">
        <f t="shared" si="6"/>
        <v>8079270.489</v>
      </c>
      <c r="N57" s="54">
        <f t="shared" si="11"/>
        <v>2153988.571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  <row r="58">
      <c r="A58" s="22"/>
      <c r="B58" s="22"/>
      <c r="C58" s="22"/>
      <c r="D58" s="38">
        <f t="shared" ref="D58:E58" si="55">D57+1</f>
        <v>89</v>
      </c>
      <c r="E58" s="38">
        <f t="shared" si="55"/>
        <v>47</v>
      </c>
      <c r="F58" s="40">
        <f t="shared" si="8"/>
        <v>15190.6705</v>
      </c>
      <c r="G58" s="29">
        <f t="shared" si="2"/>
        <v>24000</v>
      </c>
      <c r="H58" s="29">
        <f t="shared" si="3"/>
        <v>1243.305645</v>
      </c>
      <c r="I58" s="29">
        <f t="shared" si="9"/>
        <v>64651.89352</v>
      </c>
      <c r="J58" s="29">
        <f t="shared" si="10"/>
        <v>8754292.486</v>
      </c>
      <c r="K58" s="57">
        <f t="shared" si="4"/>
        <v>25461.22303</v>
      </c>
      <c r="L58" s="57">
        <f t="shared" si="5"/>
        <v>325965.2161</v>
      </c>
      <c r="M58" s="26">
        <f t="shared" si="6"/>
        <v>8600257.702</v>
      </c>
      <c r="N58" s="54">
        <f t="shared" si="11"/>
        <v>2283227.885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  <row r="59">
      <c r="A59" s="22"/>
      <c r="B59" s="22"/>
      <c r="C59" s="22"/>
      <c r="D59" s="38">
        <f t="shared" ref="D59:E59" si="56">D58+1</f>
        <v>90</v>
      </c>
      <c r="E59" s="38">
        <f t="shared" si="56"/>
        <v>48</v>
      </c>
      <c r="F59" s="40">
        <f t="shared" si="8"/>
        <v>15646.39061</v>
      </c>
      <c r="G59" s="29">
        <f t="shared" si="2"/>
        <v>24000</v>
      </c>
      <c r="H59" s="29">
        <f t="shared" si="3"/>
        <v>1268.171758</v>
      </c>
      <c r="I59" s="29">
        <f t="shared" si="9"/>
        <v>65944.9314</v>
      </c>
      <c r="J59" s="29">
        <f t="shared" si="10"/>
        <v>9279550.035</v>
      </c>
      <c r="K59" s="57">
        <f t="shared" si="4"/>
        <v>26298.54078</v>
      </c>
      <c r="L59" s="57">
        <f t="shared" si="5"/>
        <v>352263.7568</v>
      </c>
      <c r="M59" s="26">
        <f t="shared" si="6"/>
        <v>9151813.792</v>
      </c>
      <c r="N59" s="54">
        <f t="shared" si="11"/>
        <v>2420221.558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</row>
    <row r="60">
      <c r="A60" s="22"/>
      <c r="B60" s="22"/>
      <c r="C60" s="22"/>
      <c r="D60" s="38">
        <f t="shared" ref="D60:E60" si="57">D59+1</f>
        <v>91</v>
      </c>
      <c r="E60" s="38">
        <f t="shared" si="57"/>
        <v>49</v>
      </c>
      <c r="F60" s="40">
        <f t="shared" si="8"/>
        <v>16115.78233</v>
      </c>
      <c r="G60" s="29">
        <f t="shared" si="2"/>
        <v>24000</v>
      </c>
      <c r="H60" s="29">
        <f t="shared" si="3"/>
        <v>1293.535193</v>
      </c>
      <c r="I60" s="29">
        <f t="shared" si="9"/>
        <v>67263.83002</v>
      </c>
      <c r="J60" s="29">
        <f t="shared" si="10"/>
        <v>9836323.038</v>
      </c>
      <c r="K60" s="57">
        <f t="shared" si="4"/>
        <v>27148.04769</v>
      </c>
      <c r="L60" s="57">
        <f t="shared" si="5"/>
        <v>379411.8045</v>
      </c>
      <c r="M60" s="26">
        <f t="shared" si="6"/>
        <v>9735734.842</v>
      </c>
      <c r="N60" s="54">
        <f t="shared" si="11"/>
        <v>2565434.851</v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</row>
    <row r="61">
      <c r="A61" s="22"/>
      <c r="B61" s="22"/>
      <c r="C61" s="22"/>
      <c r="D61" s="38">
        <f t="shared" ref="D61:E61" si="58">D60+1</f>
        <v>92</v>
      </c>
      <c r="E61" s="38">
        <f t="shared" si="58"/>
        <v>50</v>
      </c>
      <c r="F61" s="40">
        <f t="shared" si="8"/>
        <v>16599.2558</v>
      </c>
      <c r="G61" s="29">
        <f t="shared" si="2"/>
        <v>24000</v>
      </c>
      <c r="H61" s="29">
        <f t="shared" si="3"/>
        <v>1319.405897</v>
      </c>
      <c r="I61" s="29">
        <f t="shared" si="9"/>
        <v>68609.10662</v>
      </c>
      <c r="J61" s="29">
        <f t="shared" si="10"/>
        <v>10426502.42</v>
      </c>
      <c r="K61" s="57">
        <f t="shared" si="4"/>
        <v>28009.85082</v>
      </c>
      <c r="L61" s="57">
        <f t="shared" si="5"/>
        <v>407421.6554</v>
      </c>
      <c r="M61" s="26">
        <f t="shared" si="6"/>
        <v>10353924.08</v>
      </c>
      <c r="N61" s="54">
        <f t="shared" si="11"/>
        <v>2719360.942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>
      <c r="A62" s="22"/>
      <c r="B62" s="22"/>
      <c r="C62" s="22"/>
      <c r="D62" s="38">
        <f t="shared" ref="D62:E62" si="59">D61+1</f>
        <v>93</v>
      </c>
      <c r="E62" s="38">
        <f t="shared" si="59"/>
        <v>51</v>
      </c>
      <c r="F62" s="40">
        <f t="shared" si="8"/>
        <v>17097.23347</v>
      </c>
      <c r="G62" s="29">
        <f t="shared" si="2"/>
        <v>24000</v>
      </c>
      <c r="H62" s="29">
        <f t="shared" si="3"/>
        <v>1345.794015</v>
      </c>
      <c r="I62" s="29">
        <f t="shared" si="9"/>
        <v>69981.28876</v>
      </c>
      <c r="J62" s="29">
        <f t="shared" si="10"/>
        <v>11052092.56</v>
      </c>
      <c r="K62" s="57">
        <f t="shared" si="4"/>
        <v>28884.05528</v>
      </c>
      <c r="L62" s="57">
        <f t="shared" si="5"/>
        <v>436305.7106</v>
      </c>
      <c r="M62" s="26">
        <f t="shared" si="6"/>
        <v>11008398.28</v>
      </c>
      <c r="N62" s="54">
        <f t="shared" si="11"/>
        <v>2882522.599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>
      <c r="A63" s="22"/>
      <c r="B63" s="22"/>
      <c r="C63" s="22"/>
      <c r="D63" s="38">
        <f t="shared" ref="D63:E63" si="60">D62+1</f>
        <v>94</v>
      </c>
      <c r="E63" s="38">
        <f t="shared" si="60"/>
        <v>52</v>
      </c>
      <c r="F63" s="40">
        <f t="shared" si="8"/>
        <v>17610.15048</v>
      </c>
      <c r="G63" s="29">
        <f t="shared" si="2"/>
        <v>24000</v>
      </c>
      <c r="H63" s="29">
        <f t="shared" si="3"/>
        <v>1372.709895</v>
      </c>
      <c r="I63" s="29">
        <f t="shared" si="9"/>
        <v>71380.91453</v>
      </c>
      <c r="J63" s="29">
        <f t="shared" si="10"/>
        <v>11715218.12</v>
      </c>
      <c r="K63" s="57">
        <f t="shared" si="4"/>
        <v>29770.76405</v>
      </c>
      <c r="L63" s="57">
        <f t="shared" si="5"/>
        <v>466076.4747</v>
      </c>
      <c r="M63" s="26">
        <f t="shared" si="6"/>
        <v>11701294.59</v>
      </c>
      <c r="N63" s="54">
        <f t="shared" si="11"/>
        <v>3055473.955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>
      <c r="A64" s="22"/>
      <c r="B64" s="22"/>
      <c r="C64" s="22"/>
      <c r="D64" s="38">
        <f t="shared" ref="D64:E64" si="61">D63+1</f>
        <v>95</v>
      </c>
      <c r="E64" s="38">
        <f t="shared" si="61"/>
        <v>53</v>
      </c>
      <c r="F64" s="40">
        <f t="shared" si="8"/>
        <v>18138.45499</v>
      </c>
      <c r="G64" s="29">
        <f t="shared" si="2"/>
        <v>24000</v>
      </c>
      <c r="H64" s="29">
        <f t="shared" si="3"/>
        <v>1400.164093</v>
      </c>
      <c r="I64" s="29">
        <f t="shared" si="9"/>
        <v>72808.53282</v>
      </c>
      <c r="J64" s="29">
        <f t="shared" si="10"/>
        <v>12418131.21</v>
      </c>
      <c r="K64" s="57">
        <f t="shared" si="4"/>
        <v>30670.07783</v>
      </c>
      <c r="L64" s="57">
        <f t="shared" si="5"/>
        <v>496746.5525</v>
      </c>
      <c r="M64" s="26">
        <f t="shared" si="6"/>
        <v>12434877.76</v>
      </c>
      <c r="N64" s="54">
        <f t="shared" si="11"/>
        <v>3238802.392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</row>
    <row r="65">
      <c r="A65" s="22"/>
      <c r="B65" s="22"/>
      <c r="C65" s="22"/>
      <c r="D65" s="38">
        <f t="shared" ref="D65:E65" si="62">D64+1</f>
        <v>96</v>
      </c>
      <c r="E65" s="38">
        <f t="shared" si="62"/>
        <v>54</v>
      </c>
      <c r="F65" s="40">
        <f t="shared" si="8"/>
        <v>18682.60864</v>
      </c>
      <c r="G65" s="29">
        <f t="shared" si="2"/>
        <v>24000</v>
      </c>
      <c r="H65" s="29">
        <f t="shared" si="3"/>
        <v>1428.167375</v>
      </c>
      <c r="I65" s="29">
        <f t="shared" si="9"/>
        <v>74264.70348</v>
      </c>
      <c r="J65" s="29">
        <f t="shared" si="10"/>
        <v>13163219.08</v>
      </c>
      <c r="K65" s="57">
        <f t="shared" si="4"/>
        <v>31582.09484</v>
      </c>
      <c r="L65" s="57">
        <f t="shared" si="5"/>
        <v>528328.6474</v>
      </c>
      <c r="M65" s="26">
        <f t="shared" si="6"/>
        <v>13211547.73</v>
      </c>
      <c r="N65" s="54">
        <f t="shared" si="11"/>
        <v>3433130.536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</row>
    <row r="66">
      <c r="A66" s="22"/>
      <c r="B66" s="22"/>
      <c r="C66" s="22"/>
      <c r="D66" s="38">
        <f t="shared" ref="D66:E66" si="63">D65+1</f>
        <v>97</v>
      </c>
      <c r="E66" s="38">
        <f t="shared" si="63"/>
        <v>55</v>
      </c>
      <c r="F66" s="40">
        <f t="shared" si="8"/>
        <v>19243.0869</v>
      </c>
      <c r="G66" s="29">
        <f t="shared" si="2"/>
        <v>24000</v>
      </c>
      <c r="H66" s="29">
        <f t="shared" si="3"/>
        <v>1456.730722</v>
      </c>
      <c r="I66" s="29">
        <f t="shared" si="9"/>
        <v>75749.99755</v>
      </c>
      <c r="J66" s="29">
        <f t="shared" si="10"/>
        <v>13953012.22</v>
      </c>
      <c r="K66" s="57">
        <f t="shared" si="4"/>
        <v>32506.91065</v>
      </c>
      <c r="L66" s="57">
        <f t="shared" si="5"/>
        <v>560835.558</v>
      </c>
      <c r="M66" s="26">
        <f t="shared" si="6"/>
        <v>14033847.78</v>
      </c>
      <c r="N66" s="54">
        <f t="shared" si="11"/>
        <v>3639118.368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>
      <c r="A67" s="22"/>
      <c r="B67" s="22"/>
      <c r="C67" s="22"/>
      <c r="D67" s="38">
        <f t="shared" ref="D67:E67" si="64">D66+1</f>
        <v>98</v>
      </c>
      <c r="E67" s="38">
        <f t="shared" si="64"/>
        <v>56</v>
      </c>
      <c r="F67" s="40">
        <f t="shared" si="8"/>
        <v>19820.37951</v>
      </c>
      <c r="G67" s="29">
        <f t="shared" si="2"/>
        <v>24000</v>
      </c>
      <c r="H67" s="29">
        <f t="shared" si="3"/>
        <v>1485.865337</v>
      </c>
      <c r="I67" s="29">
        <f t="shared" si="9"/>
        <v>77264.9975</v>
      </c>
      <c r="J67" s="29">
        <f t="shared" si="10"/>
        <v>14790192.96</v>
      </c>
      <c r="K67" s="57">
        <f t="shared" si="4"/>
        <v>33444.61799</v>
      </c>
      <c r="L67" s="57">
        <f t="shared" si="5"/>
        <v>594280.176</v>
      </c>
      <c r="M67" s="26">
        <f t="shared" si="6"/>
        <v>14904473.13</v>
      </c>
      <c r="N67" s="54">
        <f t="shared" si="11"/>
        <v>3857465.47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</row>
    <row r="68">
      <c r="A68" s="22"/>
      <c r="B68" s="22"/>
      <c r="C68" s="22"/>
      <c r="D68" s="38">
        <f t="shared" ref="D68:E68" si="65">D67+1</f>
        <v>99</v>
      </c>
      <c r="E68" s="38">
        <f t="shared" si="65"/>
        <v>57</v>
      </c>
      <c r="F68" s="40">
        <f t="shared" si="8"/>
        <v>20414.99089</v>
      </c>
      <c r="G68" s="29">
        <f t="shared" si="2"/>
        <v>24000</v>
      </c>
      <c r="H68" s="29">
        <f t="shared" si="3"/>
        <v>1515.582643</v>
      </c>
      <c r="I68" s="29">
        <f t="shared" si="9"/>
        <v>78810.29745</v>
      </c>
      <c r="J68" s="29">
        <f t="shared" si="10"/>
        <v>15677604.53</v>
      </c>
      <c r="K68" s="57">
        <f t="shared" si="4"/>
        <v>34395.30656</v>
      </c>
      <c r="L68" s="57">
        <f t="shared" si="5"/>
        <v>628675.4826</v>
      </c>
      <c r="M68" s="26">
        <f t="shared" si="6"/>
        <v>15826280.02</v>
      </c>
      <c r="N68" s="54">
        <f t="shared" si="11"/>
        <v>4088913.398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>
      <c r="A69" s="22"/>
      <c r="B69" s="22"/>
      <c r="C69" s="22"/>
      <c r="D69" s="38">
        <f t="shared" ref="D69:E69" si="66">D68+1</f>
        <v>100</v>
      </c>
      <c r="E69" s="38">
        <f t="shared" si="66"/>
        <v>58</v>
      </c>
      <c r="F69" s="40">
        <f t="shared" si="8"/>
        <v>21027.44062</v>
      </c>
      <c r="G69" s="29">
        <f t="shared" si="2"/>
        <v>24000</v>
      </c>
      <c r="H69" s="29">
        <f t="shared" si="3"/>
        <v>1545.894296</v>
      </c>
      <c r="I69" s="29">
        <f t="shared" si="9"/>
        <v>80386.5034</v>
      </c>
      <c r="J69" s="29">
        <f t="shared" si="10"/>
        <v>16618260.81</v>
      </c>
      <c r="K69" s="57">
        <f t="shared" si="4"/>
        <v>35359.06278</v>
      </c>
      <c r="L69" s="57">
        <f t="shared" si="5"/>
        <v>664034.5453</v>
      </c>
      <c r="M69" s="26">
        <f t="shared" si="6"/>
        <v>16802295.35</v>
      </c>
      <c r="N69" s="54">
        <f t="shared" si="11"/>
        <v>4334248.202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46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46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46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46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46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46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46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46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46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46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46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46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46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46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46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46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46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46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46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46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46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46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46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46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46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46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46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46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46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46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46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46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46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46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46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46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46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46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46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46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46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46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46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46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46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46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46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46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46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46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46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46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46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46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46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46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46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46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46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46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46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46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46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46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46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46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46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46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46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46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46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46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46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46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46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46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46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46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46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46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46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46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46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46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46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46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46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46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46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46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46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46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46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46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46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46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46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46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46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46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46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46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46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46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46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46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46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46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46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46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46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46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46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46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46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46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46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46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46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46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46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46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46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46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46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46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46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46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46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46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46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46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46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46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46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46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46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46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46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46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46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46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46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46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46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46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46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46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46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46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46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46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46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46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46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46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46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46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46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46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46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46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46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46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46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46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46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46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46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46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46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46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46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46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46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46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46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46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46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46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46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46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46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46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46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46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46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46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46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46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46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46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46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46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46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46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46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46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46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46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46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46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46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46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46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46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46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46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46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46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46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46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46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46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46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46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46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46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46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46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46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46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46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46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46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46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46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46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46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46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46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46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46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46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46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46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46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46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46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46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46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46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46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46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46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46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46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46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46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46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46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46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46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46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46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46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46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46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46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46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46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46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46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46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46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46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46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46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46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46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46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46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46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46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46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46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46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46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46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46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46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46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46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46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46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46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46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46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46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46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46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46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46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46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46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46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46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46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46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46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46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46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46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46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46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46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46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46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46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46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46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46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46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46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46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46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46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46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46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46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46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46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46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46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46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46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46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46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46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46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46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46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46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46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46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46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46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46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46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46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46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46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46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46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46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46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46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46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46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46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46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46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46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46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46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46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46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46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46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46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46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46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46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46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46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46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46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46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46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46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46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46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46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46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46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46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46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46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46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46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46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46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46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46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46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46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46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46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46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46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46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46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46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46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46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46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46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46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46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46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46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46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46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46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46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46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46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46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46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46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46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46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46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46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46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46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46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46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46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46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46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46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46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46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46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46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46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46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46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46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46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46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46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46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46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46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46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46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46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46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46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46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46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46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46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46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46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46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46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46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46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46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46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46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46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46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46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46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46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46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46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46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46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46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46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46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46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46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46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46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46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46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46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46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46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46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46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46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46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46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46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46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46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46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46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46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46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46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46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46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46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46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46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46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46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46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46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46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46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46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46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46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46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46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46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46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46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46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46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46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46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46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46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46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46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46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46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46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46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46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46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46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46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46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46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46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46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46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46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46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46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46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46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46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46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46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46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46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46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46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46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46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46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46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46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46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46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46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46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46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46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46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46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46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46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46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46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46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46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46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46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46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46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46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46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46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46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46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46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46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46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46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46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46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46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46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46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46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46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46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46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46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46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46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46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46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46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46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46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46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46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46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46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46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46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46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46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46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46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46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46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46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46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46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46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46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46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46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46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46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46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46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46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46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46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46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46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46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46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46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46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46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46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46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46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46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46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46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46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46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46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46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46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46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46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46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46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46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46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46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46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46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46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46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46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46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46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46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46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46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46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46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46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46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46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46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46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46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46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46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46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46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46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46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46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46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46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46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46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46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46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46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46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46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46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46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46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46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46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46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46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46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46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46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46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46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46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46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46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46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46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46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46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46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46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46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46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46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46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46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46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46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46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46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46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46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46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46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46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46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46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46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46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46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46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46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46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46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46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46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46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46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46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46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46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46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46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46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46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46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46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46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46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46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46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46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46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46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46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46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46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46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46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46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46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46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46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46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46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46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46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46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46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46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46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46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46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46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46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46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46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46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46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46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46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46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46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46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46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46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46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46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46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46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46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46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46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46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46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46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46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46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46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46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46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46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46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46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46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46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46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46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46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46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46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46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46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46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46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46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46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46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46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46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46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46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46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46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46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46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46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46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46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46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46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46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46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46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46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46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46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46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46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46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46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46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46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46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46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46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46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46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46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46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46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46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46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46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46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46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46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46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46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46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46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46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46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46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46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46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46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46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46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46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46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46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46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46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46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46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46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46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46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46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46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46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46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46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46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46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46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46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46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46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46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46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46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46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46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46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46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46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46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46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46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46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46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46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46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46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46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46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46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46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46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46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46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46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46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46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46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46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46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46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46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46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46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46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46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46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46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46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46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46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46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46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46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46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46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46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46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46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46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46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46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46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46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46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46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46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46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</row>
    <row r="100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46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</row>
    <row r="1002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46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</row>
    <row r="1003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46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</row>
    <row r="1004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46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</row>
    <row r="100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46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</row>
    <row r="1006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46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</row>
    <row r="1007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46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</row>
    <row r="1008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46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</row>
    <row r="1009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46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</row>
    <row r="1010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46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</row>
    <row r="1011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46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</row>
    <row r="1012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46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</row>
    <row r="1013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46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</row>
    <row r="1014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46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</row>
    <row r="101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46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</row>
  </sheetData>
  <conditionalFormatting sqref="J12:K69">
    <cfRule type="cellIs" dxfId="2" priority="1" operator="lessThanOrEqual">
      <formula>0</formula>
    </cfRule>
  </conditionalFormatting>
  <conditionalFormatting sqref="L12:L69">
    <cfRule type="cellIs" dxfId="3" priority="2" operator="lessThanOrEqual">
      <formula>0</formula>
    </cfRule>
  </conditionalFormatting>
  <conditionalFormatting sqref="L12:L69">
    <cfRule type="cellIs" dxfId="4" priority="3" operator="greaterThanOrEqual">
      <formula>0</formula>
    </cfRule>
  </conditionalFormatting>
  <conditionalFormatting sqref="J12:K69">
    <cfRule type="cellIs" dxfId="5" priority="4" operator="greaterThanOrEqual">
      <formula>0</formula>
    </cfRule>
  </conditionalFormatting>
  <dataValidations>
    <dataValidation type="list" allowBlank="1" showErrorMessage="1" sqref="B7">
      <formula1>"Unit,House"</formula1>
    </dataValidation>
  </dataValidations>
  <hyperlinks>
    <hyperlink r:id="rId1" ref="A1"/>
    <hyperlink r:id="rId2" ref="A2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59" t="s">
        <v>71</v>
      </c>
      <c r="B1" s="60">
        <v>5000.0</v>
      </c>
      <c r="C1" s="60">
        <v>50000.0</v>
      </c>
      <c r="D1" s="60">
        <v>100000.0</v>
      </c>
      <c r="E1" s="60">
        <v>300000.0</v>
      </c>
      <c r="F1" s="60">
        <v>500000.0</v>
      </c>
      <c r="G1" s="60">
        <v>1000000.0</v>
      </c>
      <c r="H1" s="59" t="s">
        <v>72</v>
      </c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>
      <c r="A2" s="62" t="s">
        <v>73</v>
      </c>
      <c r="B2" s="63">
        <v>15.5</v>
      </c>
      <c r="C2" s="64">
        <v>155.0</v>
      </c>
      <c r="D2" s="64">
        <v>310.0</v>
      </c>
      <c r="E2" s="64">
        <v>930.0</v>
      </c>
      <c r="F2" s="64">
        <v>1550.0</v>
      </c>
      <c r="G2" s="64">
        <v>3100.0</v>
      </c>
      <c r="H2" s="65">
        <v>0.0984</v>
      </c>
      <c r="K2" s="66"/>
      <c r="L2" s="67"/>
      <c r="M2" s="67"/>
    </row>
    <row r="3">
      <c r="A3" s="62" t="s">
        <v>74</v>
      </c>
      <c r="B3" s="63">
        <v>96.4</v>
      </c>
      <c r="C3" s="63">
        <v>168.4</v>
      </c>
      <c r="D3" s="63">
        <v>248.4</v>
      </c>
      <c r="E3" s="63">
        <v>568.4</v>
      </c>
      <c r="F3" s="63">
        <v>888.4</v>
      </c>
      <c r="G3" s="63">
        <v>1688.4</v>
      </c>
      <c r="H3" s="65">
        <v>0.0964</v>
      </c>
      <c r="I3" s="66"/>
      <c r="J3" s="68"/>
      <c r="K3" s="64"/>
      <c r="L3" s="69"/>
      <c r="M3" s="70"/>
      <c r="N3" s="67"/>
    </row>
    <row r="4">
      <c r="A4" s="62" t="s">
        <v>75</v>
      </c>
      <c r="B4" s="64">
        <v>73.0</v>
      </c>
      <c r="C4" s="63">
        <v>179.41</v>
      </c>
      <c r="D4" s="63">
        <v>297.65</v>
      </c>
      <c r="E4" s="63">
        <v>770.59</v>
      </c>
      <c r="F4" s="63">
        <v>1243.53</v>
      </c>
      <c r="G4" s="63">
        <v>1543.53</v>
      </c>
      <c r="H4" s="65">
        <v>0.1174</v>
      </c>
      <c r="K4" s="70"/>
      <c r="L4" s="64"/>
      <c r="M4" s="64"/>
    </row>
    <row r="5">
      <c r="A5" s="62" t="s">
        <v>76</v>
      </c>
      <c r="B5" s="64">
        <v>73.0</v>
      </c>
      <c r="C5" s="63">
        <v>179.41</v>
      </c>
      <c r="D5" s="63">
        <v>297.65</v>
      </c>
      <c r="E5" s="63">
        <v>770.59</v>
      </c>
      <c r="F5" s="63">
        <v>1243.53</v>
      </c>
      <c r="G5" s="63">
        <v>1543.53</v>
      </c>
      <c r="H5" s="65">
        <v>0.0898</v>
      </c>
      <c r="I5" s="70"/>
      <c r="J5" s="71"/>
      <c r="K5" s="64"/>
      <c r="L5" s="64"/>
      <c r="M5" s="69"/>
    </row>
    <row r="6">
      <c r="A6" s="62" t="s">
        <v>77</v>
      </c>
      <c r="B6" s="64">
        <v>65.0</v>
      </c>
      <c r="C6" s="64">
        <v>182.0</v>
      </c>
      <c r="D6" s="64">
        <v>312.0</v>
      </c>
      <c r="E6" s="63">
        <v>832.0</v>
      </c>
      <c r="F6" s="63">
        <v>1352.0</v>
      </c>
      <c r="G6" s="63">
        <v>2652.0</v>
      </c>
      <c r="H6" s="65">
        <v>0.0859</v>
      </c>
      <c r="I6" s="70"/>
      <c r="J6" s="71"/>
      <c r="K6" s="64"/>
      <c r="L6" s="64"/>
    </row>
    <row r="7">
      <c r="A7" s="62" t="s">
        <v>78</v>
      </c>
      <c r="B7" s="63">
        <v>65.5</v>
      </c>
      <c r="C7" s="64">
        <v>187.0</v>
      </c>
      <c r="D7" s="64">
        <v>322.0</v>
      </c>
      <c r="E7" s="64">
        <v>862.0</v>
      </c>
      <c r="F7" s="64">
        <v>1402.0</v>
      </c>
      <c r="G7" s="64">
        <v>2752.0</v>
      </c>
      <c r="H7" s="65">
        <v>0.1042</v>
      </c>
      <c r="I7" s="63"/>
      <c r="J7" s="70"/>
      <c r="K7" s="63"/>
      <c r="L7" s="64"/>
      <c r="M7" s="67"/>
    </row>
    <row r="8">
      <c r="A8" s="62" t="s">
        <v>79</v>
      </c>
      <c r="B8" s="63">
        <v>75.4</v>
      </c>
      <c r="C8" s="63">
        <v>192.4</v>
      </c>
      <c r="D8" s="63">
        <v>322.4</v>
      </c>
      <c r="E8" s="63">
        <v>842.4</v>
      </c>
      <c r="F8" s="63">
        <v>1362.4</v>
      </c>
      <c r="G8" s="63">
        <v>2662.4</v>
      </c>
      <c r="H8" s="65">
        <v>0.1297</v>
      </c>
      <c r="I8" s="69"/>
      <c r="J8" s="69"/>
      <c r="K8" s="69"/>
      <c r="M8" s="69"/>
      <c r="N8" s="69"/>
    </row>
    <row r="9">
      <c r="I9" s="70"/>
      <c r="J9" s="71"/>
      <c r="K9" s="72"/>
      <c r="L9" s="64"/>
      <c r="M9" s="63"/>
      <c r="N9" s="64"/>
    </row>
    <row r="10">
      <c r="K10" s="70"/>
      <c r="L10" s="64"/>
      <c r="M10" s="63"/>
      <c r="N10" s="63"/>
    </row>
    <row r="11">
      <c r="K11" s="70"/>
      <c r="L11" s="64"/>
      <c r="M11" s="63"/>
      <c r="N11" s="63"/>
    </row>
    <row r="12">
      <c r="D12" s="18" t="s">
        <v>80</v>
      </c>
      <c r="E12" s="73">
        <v>1300.0</v>
      </c>
      <c r="K12" s="70"/>
      <c r="L12" s="64"/>
      <c r="M12" s="63"/>
      <c r="N12" s="63"/>
    </row>
    <row r="13">
      <c r="A13" s="15"/>
      <c r="B13" s="15"/>
      <c r="C13" s="15"/>
      <c r="D13" s="18" t="s">
        <v>81</v>
      </c>
      <c r="E13" s="18" t="s">
        <v>82</v>
      </c>
      <c r="F13" s="18" t="s">
        <v>83</v>
      </c>
      <c r="G13" s="18" t="s">
        <v>84</v>
      </c>
      <c r="H13" s="18" t="s">
        <v>85</v>
      </c>
      <c r="I13" s="15"/>
      <c r="J13" s="15"/>
      <c r="K13" s="74"/>
      <c r="L13" s="75"/>
      <c r="M13" s="76"/>
      <c r="N13" s="76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D14" s="73">
        <v>50000.0</v>
      </c>
      <c r="E14" s="19">
        <f>($E$12*2)*12</f>
        <v>31200</v>
      </c>
      <c r="F14" s="77">
        <v>0.06</v>
      </c>
      <c r="G14" s="78">
        <f>'Retirement Projections with own'!C1-'Retirement Projections with own'!C2</f>
        <v>25</v>
      </c>
      <c r="H14" s="8">
        <f>FV($F$14,$G$14,$E$14,$D$14) *-1</f>
        <v>1926366.31</v>
      </c>
      <c r="L14" s="70"/>
      <c r="M14" s="63"/>
      <c r="N14" s="63"/>
    </row>
  </sheetData>
  <drawing r:id="rId1"/>
</worksheet>
</file>