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EC68CF3-47B8-4122-859C-8EBD1FE9A1EC}" xr6:coauthVersionLast="45" xr6:coauthVersionMax="45" xr10:uidLastSave="{00000000-0000-0000-0000-000000000000}"/>
  <bookViews>
    <workbookView xWindow="-110" yWindow="-110" windowWidth="25820" windowHeight="15620" xr2:uid="{00000000-000D-0000-FFFF-FFFF00000000}"/>
  </bookViews>
  <sheets>
    <sheet name="DJ" sheetId="1" r:id="rId1"/>
    <sheet name="DJ (Полина)" sheetId="2" r:id="rId2"/>
    <sheet name="SP50" sheetId="3" r:id="rId3"/>
  </sheets>
  <definedNames>
    <definedName name="ExternalData_1" localSheetId="2">'SP50'!$A$1:$C$52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iL6b/D0/4bylD9btimExUicKX5xQ=="/>
    </ext>
  </extLst>
</workbook>
</file>

<file path=xl/calcChain.xml><?xml version="1.0" encoding="utf-8"?>
<calcChain xmlns="http://schemas.openxmlformats.org/spreadsheetml/2006/main">
  <c r="C53" i="3" l="1"/>
  <c r="E52" i="3" s="1"/>
  <c r="D52" i="3"/>
  <c r="D51" i="3"/>
  <c r="D50" i="3"/>
  <c r="D49" i="3"/>
  <c r="D48" i="3"/>
  <c r="D47" i="3"/>
  <c r="D46" i="3"/>
  <c r="D45" i="3"/>
  <c r="D44" i="3"/>
  <c r="D43" i="3"/>
  <c r="D42" i="3"/>
  <c r="E41" i="3"/>
  <c r="D41" i="3"/>
  <c r="D40" i="3"/>
  <c r="E39" i="3"/>
  <c r="D39" i="3"/>
  <c r="D38" i="3"/>
  <c r="E37" i="3"/>
  <c r="D37" i="3"/>
  <c r="D36" i="3"/>
  <c r="E35" i="3"/>
  <c r="D35" i="3"/>
  <c r="E34" i="3"/>
  <c r="D34" i="3"/>
  <c r="F34" i="3" s="1"/>
  <c r="G34" i="3" s="1"/>
  <c r="E33" i="3"/>
  <c r="D33" i="3"/>
  <c r="E32" i="3"/>
  <c r="D32" i="3"/>
  <c r="F32" i="3" s="1"/>
  <c r="G32" i="3" s="1"/>
  <c r="E31" i="3"/>
  <c r="D31" i="3"/>
  <c r="E30" i="3"/>
  <c r="D30" i="3"/>
  <c r="F30" i="3" s="1"/>
  <c r="G30" i="3" s="1"/>
  <c r="E29" i="3"/>
  <c r="D29" i="3"/>
  <c r="E28" i="3"/>
  <c r="D28" i="3"/>
  <c r="F28" i="3" s="1"/>
  <c r="G28" i="3" s="1"/>
  <c r="E27" i="3"/>
  <c r="D27" i="3"/>
  <c r="E26" i="3"/>
  <c r="D26" i="3"/>
  <c r="F26" i="3" s="1"/>
  <c r="G26" i="3" s="1"/>
  <c r="E25" i="3"/>
  <c r="D25" i="3"/>
  <c r="E24" i="3"/>
  <c r="D24" i="3"/>
  <c r="F24" i="3" s="1"/>
  <c r="G24" i="3" s="1"/>
  <c r="E23" i="3"/>
  <c r="D23" i="3"/>
  <c r="E22" i="3"/>
  <c r="D22" i="3"/>
  <c r="F22" i="3" s="1"/>
  <c r="G22" i="3" s="1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P53" i="2"/>
  <c r="B34" i="2"/>
  <c r="S32" i="2"/>
  <c r="R32" i="2"/>
  <c r="N32" i="2"/>
  <c r="L31" i="2"/>
  <c r="F31" i="2"/>
  <c r="E31" i="2"/>
  <c r="C31" i="2"/>
  <c r="B31" i="2"/>
  <c r="L30" i="2"/>
  <c r="F30" i="2"/>
  <c r="E30" i="2"/>
  <c r="O30" i="2" s="1"/>
  <c r="C30" i="2"/>
  <c r="B30" i="2"/>
  <c r="P29" i="2"/>
  <c r="L29" i="2"/>
  <c r="F29" i="2"/>
  <c r="E29" i="2"/>
  <c r="O29" i="2" s="1"/>
  <c r="C29" i="2"/>
  <c r="B29" i="2"/>
  <c r="L28" i="2"/>
  <c r="F28" i="2"/>
  <c r="P28" i="2" s="1"/>
  <c r="E28" i="2"/>
  <c r="C28" i="2"/>
  <c r="B28" i="2"/>
  <c r="L27" i="2"/>
  <c r="F27" i="2"/>
  <c r="P27" i="2" s="1"/>
  <c r="E27" i="2"/>
  <c r="O27" i="2" s="1"/>
  <c r="C27" i="2"/>
  <c r="B27" i="2"/>
  <c r="L26" i="2"/>
  <c r="F26" i="2"/>
  <c r="P26" i="2" s="1"/>
  <c r="E26" i="2"/>
  <c r="G26" i="2" s="1"/>
  <c r="C26" i="2"/>
  <c r="B26" i="2"/>
  <c r="L25" i="2"/>
  <c r="F25" i="2"/>
  <c r="E25" i="2"/>
  <c r="O25" i="2" s="1"/>
  <c r="C25" i="2"/>
  <c r="B25" i="2"/>
  <c r="L24" i="2"/>
  <c r="F24" i="2"/>
  <c r="P24" i="2" s="1"/>
  <c r="E24" i="2"/>
  <c r="G24" i="2" s="1"/>
  <c r="C24" i="2"/>
  <c r="B24" i="2"/>
  <c r="P23" i="2"/>
  <c r="L23" i="2"/>
  <c r="F23" i="2"/>
  <c r="E23" i="2"/>
  <c r="O23" i="2" s="1"/>
  <c r="C23" i="2"/>
  <c r="B23" i="2"/>
  <c r="L22" i="2"/>
  <c r="F22" i="2"/>
  <c r="P22" i="2" s="1"/>
  <c r="E22" i="2"/>
  <c r="C22" i="2"/>
  <c r="B22" i="2"/>
  <c r="L21" i="2"/>
  <c r="F21" i="2"/>
  <c r="P21" i="2" s="1"/>
  <c r="E21" i="2"/>
  <c r="O21" i="2" s="1"/>
  <c r="C21" i="2"/>
  <c r="B21" i="2"/>
  <c r="L20" i="2"/>
  <c r="F20" i="2"/>
  <c r="P20" i="2" s="1"/>
  <c r="E20" i="2"/>
  <c r="G20" i="2" s="1"/>
  <c r="C20" i="2"/>
  <c r="B20" i="2"/>
  <c r="L19" i="2"/>
  <c r="F19" i="2"/>
  <c r="E19" i="2"/>
  <c r="O19" i="2" s="1"/>
  <c r="C19" i="2"/>
  <c r="B19" i="2"/>
  <c r="L18" i="2"/>
  <c r="F18" i="2"/>
  <c r="P18" i="2" s="1"/>
  <c r="E18" i="2"/>
  <c r="G18" i="2" s="1"/>
  <c r="C18" i="2"/>
  <c r="B18" i="2"/>
  <c r="P17" i="2"/>
  <c r="L17" i="2"/>
  <c r="F17" i="2"/>
  <c r="E17" i="2"/>
  <c r="O17" i="2" s="1"/>
  <c r="C17" i="2"/>
  <c r="B17" i="2"/>
  <c r="P16" i="2"/>
  <c r="L16" i="2"/>
  <c r="F16" i="2"/>
  <c r="E16" i="2"/>
  <c r="C16" i="2"/>
  <c r="B16" i="2"/>
  <c r="L15" i="2"/>
  <c r="F15" i="2"/>
  <c r="P15" i="2" s="1"/>
  <c r="E15" i="2"/>
  <c r="O15" i="2" s="1"/>
  <c r="C15" i="2"/>
  <c r="B15" i="2"/>
  <c r="L14" i="2"/>
  <c r="F14" i="2"/>
  <c r="P14" i="2" s="1"/>
  <c r="E14" i="2"/>
  <c r="G14" i="2" s="1"/>
  <c r="C14" i="2"/>
  <c r="B14" i="2"/>
  <c r="L13" i="2"/>
  <c r="F13" i="2"/>
  <c r="E13" i="2"/>
  <c r="O13" i="2" s="1"/>
  <c r="C13" i="2"/>
  <c r="B13" i="2"/>
  <c r="L12" i="2"/>
  <c r="F12" i="2"/>
  <c r="P12" i="2" s="1"/>
  <c r="E12" i="2"/>
  <c r="G12" i="2" s="1"/>
  <c r="C12" i="2"/>
  <c r="B12" i="2"/>
  <c r="P11" i="2"/>
  <c r="L11" i="2"/>
  <c r="F11" i="2"/>
  <c r="E11" i="2"/>
  <c r="O11" i="2" s="1"/>
  <c r="C11" i="2"/>
  <c r="B11" i="2"/>
  <c r="P10" i="2"/>
  <c r="L10" i="2"/>
  <c r="F10" i="2"/>
  <c r="E10" i="2"/>
  <c r="C10" i="2"/>
  <c r="B10" i="2"/>
  <c r="L9" i="2"/>
  <c r="F9" i="2"/>
  <c r="P9" i="2" s="1"/>
  <c r="E9" i="2"/>
  <c r="O9" i="2" s="1"/>
  <c r="C9" i="2"/>
  <c r="B9" i="2"/>
  <c r="L8" i="2"/>
  <c r="F8" i="2"/>
  <c r="P8" i="2" s="1"/>
  <c r="E8" i="2"/>
  <c r="G8" i="2" s="1"/>
  <c r="C8" i="2"/>
  <c r="B8" i="2"/>
  <c r="L7" i="2"/>
  <c r="F7" i="2"/>
  <c r="E7" i="2"/>
  <c r="O7" i="2" s="1"/>
  <c r="C7" i="2"/>
  <c r="B7" i="2"/>
  <c r="L6" i="2"/>
  <c r="F6" i="2"/>
  <c r="P6" i="2" s="1"/>
  <c r="E6" i="2"/>
  <c r="G6" i="2" s="1"/>
  <c r="C6" i="2"/>
  <c r="B6" i="2"/>
  <c r="P5" i="2"/>
  <c r="L5" i="2"/>
  <c r="F5" i="2"/>
  <c r="E5" i="2"/>
  <c r="O5" i="2" s="1"/>
  <c r="C5" i="2"/>
  <c r="B5" i="2"/>
  <c r="P4" i="2"/>
  <c r="L4" i="2"/>
  <c r="F4" i="2"/>
  <c r="E4" i="2"/>
  <c r="C4" i="2"/>
  <c r="B4" i="2"/>
  <c r="L3" i="2"/>
  <c r="F3" i="2"/>
  <c r="P3" i="2" s="1"/>
  <c r="E3" i="2"/>
  <c r="O3" i="2" s="1"/>
  <c r="C3" i="2"/>
  <c r="B3" i="2"/>
  <c r="L2" i="2"/>
  <c r="F2" i="2"/>
  <c r="F32" i="2" s="1"/>
  <c r="E2" i="2"/>
  <c r="G2" i="2" s="1"/>
  <c r="C2" i="2"/>
  <c r="B2" i="2"/>
  <c r="S53" i="1"/>
  <c r="B34" i="1"/>
  <c r="N46" i="1" s="1"/>
  <c r="N47" i="1" s="1"/>
  <c r="N48" i="1" s="1"/>
  <c r="S32" i="1"/>
  <c r="R32" i="1"/>
  <c r="N32" i="1"/>
  <c r="L31" i="1"/>
  <c r="F31" i="1"/>
  <c r="P31" i="1" s="1"/>
  <c r="E31" i="1"/>
  <c r="C31" i="1"/>
  <c r="B31" i="1"/>
  <c r="L30" i="1"/>
  <c r="F30" i="1"/>
  <c r="P30" i="1" s="1"/>
  <c r="E30" i="1"/>
  <c r="C30" i="1"/>
  <c r="B30" i="1"/>
  <c r="P29" i="1"/>
  <c r="L29" i="1"/>
  <c r="F29" i="1"/>
  <c r="E29" i="1"/>
  <c r="C29" i="1"/>
  <c r="B29" i="1"/>
  <c r="L28" i="1"/>
  <c r="F28" i="1"/>
  <c r="P28" i="1" s="1"/>
  <c r="E28" i="1"/>
  <c r="O28" i="1" s="1"/>
  <c r="C28" i="1"/>
  <c r="B28" i="1"/>
  <c r="L27" i="1"/>
  <c r="F27" i="1"/>
  <c r="P27" i="1" s="1"/>
  <c r="E27" i="1"/>
  <c r="C27" i="1"/>
  <c r="B27" i="1"/>
  <c r="L26" i="1"/>
  <c r="F26" i="1"/>
  <c r="P26" i="1" s="1"/>
  <c r="E26" i="1"/>
  <c r="O26" i="1" s="1"/>
  <c r="C26" i="1"/>
  <c r="B26" i="1"/>
  <c r="P25" i="1"/>
  <c r="L25" i="1"/>
  <c r="F25" i="1"/>
  <c r="E25" i="1"/>
  <c r="C25" i="1"/>
  <c r="B25" i="1"/>
  <c r="P24" i="1"/>
  <c r="L24" i="1"/>
  <c r="F24" i="1"/>
  <c r="E24" i="1"/>
  <c r="O24" i="1" s="1"/>
  <c r="C24" i="1"/>
  <c r="B24" i="1"/>
  <c r="L23" i="1"/>
  <c r="F23" i="1"/>
  <c r="P23" i="1" s="1"/>
  <c r="E23" i="1"/>
  <c r="C23" i="1"/>
  <c r="B23" i="1"/>
  <c r="L22" i="1"/>
  <c r="F22" i="1"/>
  <c r="P22" i="1" s="1"/>
  <c r="E22" i="1"/>
  <c r="O22" i="1" s="1"/>
  <c r="C22" i="1"/>
  <c r="B22" i="1"/>
  <c r="L21" i="1"/>
  <c r="F21" i="1"/>
  <c r="P21" i="1" s="1"/>
  <c r="E21" i="1"/>
  <c r="C21" i="1"/>
  <c r="B21" i="1"/>
  <c r="L20" i="1"/>
  <c r="F20" i="1"/>
  <c r="P20" i="1" s="1"/>
  <c r="E20" i="1"/>
  <c r="O20" i="1" s="1"/>
  <c r="C20" i="1"/>
  <c r="B20" i="1"/>
  <c r="L19" i="1"/>
  <c r="F19" i="1"/>
  <c r="P19" i="1" s="1"/>
  <c r="E19" i="1"/>
  <c r="O19" i="1" s="1"/>
  <c r="C19" i="1"/>
  <c r="B19" i="1"/>
  <c r="P18" i="1"/>
  <c r="L18" i="1"/>
  <c r="F18" i="1"/>
  <c r="E18" i="1"/>
  <c r="O18" i="1" s="1"/>
  <c r="C18" i="1"/>
  <c r="B18" i="1"/>
  <c r="L17" i="1"/>
  <c r="F17" i="1"/>
  <c r="P17" i="1" s="1"/>
  <c r="E17" i="1"/>
  <c r="C17" i="1"/>
  <c r="B17" i="1"/>
  <c r="L16" i="1"/>
  <c r="F16" i="1"/>
  <c r="P16" i="1" s="1"/>
  <c r="E16" i="1"/>
  <c r="O16" i="1" s="1"/>
  <c r="C16" i="1"/>
  <c r="B16" i="1"/>
  <c r="L15" i="1"/>
  <c r="F15" i="1"/>
  <c r="P15" i="1" s="1"/>
  <c r="E15" i="1"/>
  <c r="O15" i="1" s="1"/>
  <c r="C15" i="1"/>
  <c r="B15" i="1"/>
  <c r="P14" i="1"/>
  <c r="L14" i="1"/>
  <c r="F14" i="1"/>
  <c r="E14" i="1"/>
  <c r="O14" i="1" s="1"/>
  <c r="C14" i="1"/>
  <c r="B14" i="1"/>
  <c r="L13" i="1"/>
  <c r="F13" i="1"/>
  <c r="E13" i="1"/>
  <c r="C13" i="1"/>
  <c r="B13" i="1"/>
  <c r="L12" i="1"/>
  <c r="F12" i="1"/>
  <c r="P12" i="1" s="1"/>
  <c r="E12" i="1"/>
  <c r="O12" i="1" s="1"/>
  <c r="C12" i="1"/>
  <c r="B12" i="1"/>
  <c r="L11" i="1"/>
  <c r="F11" i="1"/>
  <c r="P11" i="1" s="1"/>
  <c r="E11" i="1"/>
  <c r="O11" i="1" s="1"/>
  <c r="C11" i="1"/>
  <c r="B11" i="1"/>
  <c r="P10" i="1"/>
  <c r="L10" i="1"/>
  <c r="F10" i="1"/>
  <c r="E10" i="1"/>
  <c r="O10" i="1" s="1"/>
  <c r="C10" i="1"/>
  <c r="B10" i="1"/>
  <c r="P9" i="1"/>
  <c r="L9" i="1"/>
  <c r="F9" i="1"/>
  <c r="E9" i="1"/>
  <c r="O9" i="1" s="1"/>
  <c r="C9" i="1"/>
  <c r="B9" i="1"/>
  <c r="L8" i="1"/>
  <c r="F8" i="1"/>
  <c r="P8" i="1" s="1"/>
  <c r="E8" i="1"/>
  <c r="C8" i="1"/>
  <c r="B8" i="1"/>
  <c r="P7" i="1"/>
  <c r="L7" i="1"/>
  <c r="F7" i="1"/>
  <c r="E7" i="1"/>
  <c r="O7" i="1" s="1"/>
  <c r="C7" i="1"/>
  <c r="B7" i="1"/>
  <c r="L6" i="1"/>
  <c r="F6" i="1"/>
  <c r="P6" i="1" s="1"/>
  <c r="E6" i="1"/>
  <c r="O6" i="1" s="1"/>
  <c r="C6" i="1"/>
  <c r="B6" i="1"/>
  <c r="L5" i="1"/>
  <c r="F5" i="1"/>
  <c r="P5" i="1" s="1"/>
  <c r="E5" i="1"/>
  <c r="O5" i="1" s="1"/>
  <c r="C5" i="1"/>
  <c r="B5" i="1"/>
  <c r="L4" i="1"/>
  <c r="F4" i="1"/>
  <c r="P4" i="1" s="1"/>
  <c r="E4" i="1"/>
  <c r="O4" i="1" s="1"/>
  <c r="C4" i="1"/>
  <c r="B4" i="1"/>
  <c r="P3" i="1"/>
  <c r="L3" i="1"/>
  <c r="F3" i="1"/>
  <c r="E3" i="1"/>
  <c r="C3" i="1"/>
  <c r="B3" i="1"/>
  <c r="P2" i="1"/>
  <c r="L2" i="1"/>
  <c r="F2" i="1"/>
  <c r="E2" i="1"/>
  <c r="C2" i="1"/>
  <c r="B2" i="1"/>
  <c r="F3" i="3" l="1"/>
  <c r="G3" i="3" s="1"/>
  <c r="F9" i="3"/>
  <c r="G9" i="3" s="1"/>
  <c r="F15" i="3"/>
  <c r="G15" i="3" s="1"/>
  <c r="G29" i="2"/>
  <c r="F21" i="3"/>
  <c r="G21" i="3" s="1"/>
  <c r="G31" i="2"/>
  <c r="F4" i="3"/>
  <c r="G4" i="3" s="1"/>
  <c r="F10" i="3"/>
  <c r="G10" i="3" s="1"/>
  <c r="O6" i="2"/>
  <c r="F16" i="3"/>
  <c r="G16" i="3" s="1"/>
  <c r="O3" i="1"/>
  <c r="G7" i="2"/>
  <c r="F27" i="3"/>
  <c r="G27" i="3" s="1"/>
  <c r="O31" i="1"/>
  <c r="G27" i="2"/>
  <c r="G19" i="2"/>
  <c r="F33" i="3"/>
  <c r="G33" i="3" s="1"/>
  <c r="O18" i="2"/>
  <c r="G23" i="2"/>
  <c r="O12" i="2"/>
  <c r="G13" i="2"/>
  <c r="G3" i="2"/>
  <c r="G5" i="2"/>
  <c r="G9" i="2"/>
  <c r="G11" i="2"/>
  <c r="G15" i="2"/>
  <c r="G17" i="2"/>
  <c r="G21" i="2"/>
  <c r="G25" i="2"/>
  <c r="F5" i="3"/>
  <c r="G5" i="3" s="1"/>
  <c r="F11" i="3"/>
  <c r="G11" i="3" s="1"/>
  <c r="F17" i="3"/>
  <c r="G17" i="3" s="1"/>
  <c r="F23" i="3"/>
  <c r="G23" i="3" s="1"/>
  <c r="F29" i="3"/>
  <c r="G29" i="3" s="1"/>
  <c r="F35" i="3"/>
  <c r="G35" i="3" s="1"/>
  <c r="F6" i="3"/>
  <c r="G6" i="3" s="1"/>
  <c r="F12" i="3"/>
  <c r="G12" i="3" s="1"/>
  <c r="F18" i="3"/>
  <c r="G18" i="3" s="1"/>
  <c r="O30" i="1"/>
  <c r="F37" i="3"/>
  <c r="G37" i="3" s="1"/>
  <c r="G30" i="2"/>
  <c r="F7" i="3"/>
  <c r="G7" i="3" s="1"/>
  <c r="F13" i="3"/>
  <c r="G13" i="3" s="1"/>
  <c r="F19" i="3"/>
  <c r="G19" i="3" s="1"/>
  <c r="F25" i="3"/>
  <c r="G25" i="3" s="1"/>
  <c r="F31" i="3"/>
  <c r="G31" i="3" s="1"/>
  <c r="D53" i="3"/>
  <c r="F2" i="3"/>
  <c r="G2" i="3" s="1"/>
  <c r="F8" i="3"/>
  <c r="G8" i="3" s="1"/>
  <c r="F14" i="3"/>
  <c r="G14" i="3" s="1"/>
  <c r="F20" i="3"/>
  <c r="G20" i="3" s="1"/>
  <c r="F39" i="3"/>
  <c r="G39" i="3" s="1"/>
  <c r="O24" i="2"/>
  <c r="F41" i="3"/>
  <c r="G41" i="3" s="1"/>
  <c r="F52" i="3"/>
  <c r="G52" i="3" s="1"/>
  <c r="N51" i="1"/>
  <c r="N49" i="1"/>
  <c r="N50" i="1" s="1"/>
  <c r="L32" i="2"/>
  <c r="O10" i="2"/>
  <c r="G10" i="2"/>
  <c r="O23" i="1"/>
  <c r="O22" i="2"/>
  <c r="G22" i="2"/>
  <c r="O28" i="2"/>
  <c r="G28" i="2"/>
  <c r="P13" i="1"/>
  <c r="P33" i="1" s="1"/>
  <c r="O25" i="1"/>
  <c r="F32" i="1"/>
  <c r="O16" i="2"/>
  <c r="G16" i="2"/>
  <c r="O2" i="1"/>
  <c r="E32" i="1"/>
  <c r="O13" i="1"/>
  <c r="O27" i="1"/>
  <c r="O4" i="2"/>
  <c r="G4" i="2"/>
  <c r="L32" i="1"/>
  <c r="O8" i="1"/>
  <c r="O17" i="1"/>
  <c r="O21" i="1"/>
  <c r="P30" i="2"/>
  <c r="O31" i="2"/>
  <c r="O29" i="1"/>
  <c r="P7" i="2"/>
  <c r="P33" i="2" s="1"/>
  <c r="P13" i="2"/>
  <c r="P19" i="2"/>
  <c r="P25" i="2"/>
  <c r="P31" i="2"/>
  <c r="O2" i="2"/>
  <c r="O8" i="2"/>
  <c r="O14" i="2"/>
  <c r="O20" i="2"/>
  <c r="O26" i="2"/>
  <c r="E43" i="3"/>
  <c r="F43" i="3" s="1"/>
  <c r="G43" i="3" s="1"/>
  <c r="E45" i="3"/>
  <c r="F45" i="3" s="1"/>
  <c r="G45" i="3" s="1"/>
  <c r="E47" i="3"/>
  <c r="F47" i="3" s="1"/>
  <c r="G47" i="3" s="1"/>
  <c r="E49" i="3"/>
  <c r="F49" i="3" s="1"/>
  <c r="G49" i="3" s="1"/>
  <c r="E51" i="3"/>
  <c r="F51" i="3" s="1"/>
  <c r="G51" i="3" s="1"/>
  <c r="P2" i="2"/>
  <c r="E53" i="3"/>
  <c r="E32" i="2"/>
  <c r="E36" i="3"/>
  <c r="F36" i="3" s="1"/>
  <c r="G36" i="3" s="1"/>
  <c r="E38" i="3"/>
  <c r="F38" i="3" s="1"/>
  <c r="G38" i="3" s="1"/>
  <c r="E40" i="3"/>
  <c r="F40" i="3" s="1"/>
  <c r="G40" i="3" s="1"/>
  <c r="E42" i="3"/>
  <c r="F42" i="3" s="1"/>
  <c r="G42" i="3" s="1"/>
  <c r="E44" i="3"/>
  <c r="F44" i="3" s="1"/>
  <c r="G44" i="3" s="1"/>
  <c r="E46" i="3"/>
  <c r="F46" i="3" s="1"/>
  <c r="G46" i="3" s="1"/>
  <c r="E48" i="3"/>
  <c r="F48" i="3" s="1"/>
  <c r="G48" i="3" s="1"/>
  <c r="E50" i="3"/>
  <c r="F50" i="3" s="1"/>
  <c r="G50" i="3" s="1"/>
  <c r="G32" i="1" l="1"/>
  <c r="J29" i="1" s="1"/>
  <c r="P32" i="2"/>
  <c r="J15" i="1"/>
  <c r="J19" i="1"/>
  <c r="J16" i="1"/>
  <c r="J12" i="1"/>
  <c r="J14" i="1"/>
  <c r="J24" i="1"/>
  <c r="J5" i="1"/>
  <c r="J10" i="1"/>
  <c r="H29" i="1"/>
  <c r="D29" i="1" s="1"/>
  <c r="V29" i="1" s="1"/>
  <c r="H25" i="1"/>
  <c r="D25" i="1" s="1"/>
  <c r="V25" i="1" s="1"/>
  <c r="H21" i="1"/>
  <c r="D21" i="1" s="1"/>
  <c r="V21" i="1" s="1"/>
  <c r="H17" i="1"/>
  <c r="D17" i="1" s="1"/>
  <c r="V17" i="1" s="1"/>
  <c r="H28" i="1"/>
  <c r="D28" i="1" s="1"/>
  <c r="V28" i="1" s="1"/>
  <c r="H30" i="1"/>
  <c r="D30" i="1" s="1"/>
  <c r="V30" i="1" s="1"/>
  <c r="H12" i="1"/>
  <c r="D12" i="1" s="1"/>
  <c r="V12" i="1" s="1"/>
  <c r="H11" i="1"/>
  <c r="D11" i="1" s="1"/>
  <c r="V11" i="1" s="1"/>
  <c r="H4" i="1"/>
  <c r="D4" i="1" s="1"/>
  <c r="V4" i="1" s="1"/>
  <c r="H24" i="1"/>
  <c r="D24" i="1" s="1"/>
  <c r="V24" i="1" s="1"/>
  <c r="H10" i="1"/>
  <c r="D10" i="1" s="1"/>
  <c r="V10" i="1" s="1"/>
  <c r="H2" i="1"/>
  <c r="D2" i="1" s="1"/>
  <c r="H16" i="1"/>
  <c r="D16" i="1" s="1"/>
  <c r="V16" i="1" s="1"/>
  <c r="H26" i="1"/>
  <c r="D26" i="1" s="1"/>
  <c r="V26" i="1" s="1"/>
  <c r="H9" i="1"/>
  <c r="D9" i="1" s="1"/>
  <c r="V9" i="1" s="1"/>
  <c r="H5" i="1"/>
  <c r="D5" i="1" s="1"/>
  <c r="V5" i="1" s="1"/>
  <c r="H31" i="1"/>
  <c r="D31" i="1" s="1"/>
  <c r="V31" i="1" s="1"/>
  <c r="H8" i="1"/>
  <c r="D8" i="1" s="1"/>
  <c r="V8" i="1" s="1"/>
  <c r="H27" i="1"/>
  <c r="D27" i="1" s="1"/>
  <c r="V27" i="1" s="1"/>
  <c r="H7" i="1"/>
  <c r="D7" i="1" s="1"/>
  <c r="V7" i="1" s="1"/>
  <c r="H14" i="1"/>
  <c r="D14" i="1" s="1"/>
  <c r="V14" i="1" s="1"/>
  <c r="H18" i="1"/>
  <c r="D18" i="1" s="1"/>
  <c r="V18" i="1" s="1"/>
  <c r="H6" i="1"/>
  <c r="D6" i="1" s="1"/>
  <c r="V6" i="1" s="1"/>
  <c r="H22" i="1"/>
  <c r="D22" i="1" s="1"/>
  <c r="V22" i="1" s="1"/>
  <c r="H15" i="1"/>
  <c r="D15" i="1" s="1"/>
  <c r="V15" i="1" s="1"/>
  <c r="H23" i="1"/>
  <c r="D23" i="1" s="1"/>
  <c r="V23" i="1" s="1"/>
  <c r="H13" i="1"/>
  <c r="D13" i="1" s="1"/>
  <c r="V13" i="1" s="1"/>
  <c r="H3" i="1"/>
  <c r="D3" i="1" s="1"/>
  <c r="V3" i="1" s="1"/>
  <c r="H19" i="1"/>
  <c r="D19" i="1" s="1"/>
  <c r="V19" i="1" s="1"/>
  <c r="H20" i="1"/>
  <c r="D20" i="1" s="1"/>
  <c r="V20" i="1" s="1"/>
  <c r="J4" i="1"/>
  <c r="O32" i="1"/>
  <c r="J26" i="1"/>
  <c r="J7" i="1"/>
  <c r="J6" i="1"/>
  <c r="J22" i="1"/>
  <c r="J28" i="1"/>
  <c r="G32" i="2"/>
  <c r="J4" i="2" s="1"/>
  <c r="J9" i="1"/>
  <c r="P32" i="1"/>
  <c r="H31" i="2"/>
  <c r="D31" i="2" s="1"/>
  <c r="H25" i="2"/>
  <c r="D25" i="2" s="1"/>
  <c r="H19" i="2"/>
  <c r="D19" i="2" s="1"/>
  <c r="H13" i="2"/>
  <c r="D13" i="2" s="1"/>
  <c r="H7" i="2"/>
  <c r="D7" i="2" s="1"/>
  <c r="H30" i="2"/>
  <c r="D30" i="2" s="1"/>
  <c r="H24" i="2"/>
  <c r="D24" i="2" s="1"/>
  <c r="H18" i="2"/>
  <c r="D18" i="2" s="1"/>
  <c r="H12" i="2"/>
  <c r="D12" i="2" s="1"/>
  <c r="H6" i="2"/>
  <c r="D6" i="2" s="1"/>
  <c r="H29" i="2"/>
  <c r="D29" i="2" s="1"/>
  <c r="H23" i="2"/>
  <c r="D23" i="2" s="1"/>
  <c r="H17" i="2"/>
  <c r="D17" i="2" s="1"/>
  <c r="H11" i="2"/>
  <c r="D11" i="2" s="1"/>
  <c r="H5" i="2"/>
  <c r="D5" i="2" s="1"/>
  <c r="H28" i="2"/>
  <c r="D28" i="2" s="1"/>
  <c r="H22" i="2"/>
  <c r="D22" i="2" s="1"/>
  <c r="H16" i="2"/>
  <c r="D16" i="2" s="1"/>
  <c r="H10" i="2"/>
  <c r="D10" i="2" s="1"/>
  <c r="H4" i="2"/>
  <c r="D4" i="2" s="1"/>
  <c r="H27" i="2"/>
  <c r="D27" i="2" s="1"/>
  <c r="H21" i="2"/>
  <c r="D21" i="2" s="1"/>
  <c r="H15" i="2"/>
  <c r="D15" i="2" s="1"/>
  <c r="H9" i="2"/>
  <c r="D9" i="2" s="1"/>
  <c r="H3" i="2"/>
  <c r="D3" i="2" s="1"/>
  <c r="H26" i="2"/>
  <c r="D26" i="2" s="1"/>
  <c r="H20" i="2"/>
  <c r="D20" i="2" s="1"/>
  <c r="H14" i="2"/>
  <c r="D14" i="2" s="1"/>
  <c r="H8" i="2"/>
  <c r="D8" i="2" s="1"/>
  <c r="H2" i="2"/>
  <c r="D2" i="2" s="1"/>
  <c r="O32" i="2"/>
  <c r="J20" i="1"/>
  <c r="G53" i="3"/>
  <c r="H46" i="3" s="1"/>
  <c r="I46" i="3" s="1"/>
  <c r="J18" i="1" l="1"/>
  <c r="J2" i="1"/>
  <c r="J31" i="1"/>
  <c r="J21" i="1"/>
  <c r="K21" i="1" s="1"/>
  <c r="J17" i="1"/>
  <c r="J11" i="1"/>
  <c r="K11" i="1" s="1"/>
  <c r="J25" i="1"/>
  <c r="J13" i="1"/>
  <c r="K13" i="1" s="1"/>
  <c r="J8" i="1"/>
  <c r="K8" i="1" s="1"/>
  <c r="K31" i="1"/>
  <c r="J30" i="1"/>
  <c r="K30" i="1" s="1"/>
  <c r="J22" i="2"/>
  <c r="K22" i="2" s="1"/>
  <c r="J27" i="1"/>
  <c r="K27" i="1" s="1"/>
  <c r="H38" i="3"/>
  <c r="I38" i="3" s="1"/>
  <c r="J3" i="1"/>
  <c r="K26" i="1"/>
  <c r="J23" i="1"/>
  <c r="K4" i="1"/>
  <c r="K16" i="1"/>
  <c r="K28" i="1"/>
  <c r="K20" i="1"/>
  <c r="K24" i="1"/>
  <c r="K12" i="1"/>
  <c r="H36" i="3"/>
  <c r="I36" i="3" s="1"/>
  <c r="J28" i="2"/>
  <c r="K28" i="2" s="1"/>
  <c r="J10" i="2"/>
  <c r="K10" i="2" s="1"/>
  <c r="K6" i="1"/>
  <c r="J16" i="2"/>
  <c r="K16" i="2" s="1"/>
  <c r="K7" i="1"/>
  <c r="K4" i="2"/>
  <c r="K2" i="1"/>
  <c r="K17" i="1"/>
  <c r="K22" i="1"/>
  <c r="K14" i="1"/>
  <c r="K25" i="1"/>
  <c r="H51" i="3"/>
  <c r="I51" i="3" s="1"/>
  <c r="K15" i="1"/>
  <c r="D32" i="1"/>
  <c r="V2" i="1"/>
  <c r="V32" i="1" s="1"/>
  <c r="K10" i="1"/>
  <c r="H47" i="3"/>
  <c r="I47" i="3" s="1"/>
  <c r="K19" i="1"/>
  <c r="H42" i="3"/>
  <c r="I42" i="3" s="1"/>
  <c r="H45" i="3"/>
  <c r="I45" i="3" s="1"/>
  <c r="H49" i="3"/>
  <c r="I49" i="3" s="1"/>
  <c r="H43" i="3"/>
  <c r="I43" i="3" s="1"/>
  <c r="D32" i="2"/>
  <c r="E57" i="3"/>
  <c r="H53" i="3"/>
  <c r="H10" i="3"/>
  <c r="I10" i="3" s="1"/>
  <c r="H11" i="3"/>
  <c r="I11" i="3" s="1"/>
  <c r="H18" i="3"/>
  <c r="I18" i="3" s="1"/>
  <c r="H37" i="3"/>
  <c r="I37" i="3" s="1"/>
  <c r="H17" i="3"/>
  <c r="I17" i="3" s="1"/>
  <c r="H14" i="3"/>
  <c r="I14" i="3" s="1"/>
  <c r="H33" i="3"/>
  <c r="I33" i="3" s="1"/>
  <c r="H22" i="3"/>
  <c r="I22" i="3" s="1"/>
  <c r="H24" i="3"/>
  <c r="I24" i="3" s="1"/>
  <c r="H16" i="3"/>
  <c r="I16" i="3" s="1"/>
  <c r="H5" i="3"/>
  <c r="I5" i="3" s="1"/>
  <c r="H35" i="3"/>
  <c r="I35" i="3" s="1"/>
  <c r="H20" i="3"/>
  <c r="I20" i="3" s="1"/>
  <c r="H28" i="3"/>
  <c r="I28" i="3" s="1"/>
  <c r="H39" i="3"/>
  <c r="I39" i="3" s="1"/>
  <c r="H34" i="3"/>
  <c r="I34" i="3" s="1"/>
  <c r="H29" i="3"/>
  <c r="I29" i="3" s="1"/>
  <c r="H41" i="3"/>
  <c r="I41" i="3" s="1"/>
  <c r="H6" i="3"/>
  <c r="I6" i="3" s="1"/>
  <c r="H21" i="3"/>
  <c r="I21" i="3" s="1"/>
  <c r="H52" i="3"/>
  <c r="I52" i="3" s="1"/>
  <c r="H26" i="3"/>
  <c r="I26" i="3" s="1"/>
  <c r="H23" i="3"/>
  <c r="I23" i="3" s="1"/>
  <c r="H19" i="3"/>
  <c r="I19" i="3" s="1"/>
  <c r="H25" i="3"/>
  <c r="I25" i="3" s="1"/>
  <c r="H7" i="3"/>
  <c r="I7" i="3" s="1"/>
  <c r="H3" i="3"/>
  <c r="I3" i="3" s="1"/>
  <c r="H13" i="3"/>
  <c r="I13" i="3" s="1"/>
  <c r="H9" i="3"/>
  <c r="I9" i="3" s="1"/>
  <c r="H15" i="3"/>
  <c r="I15" i="3" s="1"/>
  <c r="H2" i="3"/>
  <c r="I2" i="3" s="1"/>
  <c r="H4" i="3"/>
  <c r="I4" i="3" s="1"/>
  <c r="H30" i="3"/>
  <c r="I30" i="3" s="1"/>
  <c r="H12" i="3"/>
  <c r="I12" i="3" s="1"/>
  <c r="H31" i="3"/>
  <c r="I31" i="3" s="1"/>
  <c r="H32" i="3"/>
  <c r="I32" i="3" s="1"/>
  <c r="H8" i="3"/>
  <c r="I8" i="3" s="1"/>
  <c r="H27" i="3"/>
  <c r="I27" i="3" s="1"/>
  <c r="H40" i="3"/>
  <c r="I40" i="3" s="1"/>
  <c r="K5" i="1"/>
  <c r="H48" i="3"/>
  <c r="I48" i="3" s="1"/>
  <c r="H50" i="3"/>
  <c r="I50" i="3" s="1"/>
  <c r="K23" i="1"/>
  <c r="K9" i="1"/>
  <c r="N45" i="2"/>
  <c r="N46" i="2" s="1"/>
  <c r="N47" i="2" s="1"/>
  <c r="N48" i="2" s="1"/>
  <c r="J2" i="2"/>
  <c r="J8" i="2"/>
  <c r="K8" i="2" s="1"/>
  <c r="J6" i="2"/>
  <c r="K6" i="2" s="1"/>
  <c r="J18" i="2"/>
  <c r="K18" i="2" s="1"/>
  <c r="J20" i="2"/>
  <c r="K20" i="2" s="1"/>
  <c r="J24" i="2"/>
  <c r="K24" i="2" s="1"/>
  <c r="J31" i="2"/>
  <c r="K31" i="2" s="1"/>
  <c r="J26" i="2"/>
  <c r="K26" i="2" s="1"/>
  <c r="J12" i="2"/>
  <c r="K12" i="2" s="1"/>
  <c r="J14" i="2"/>
  <c r="K14" i="2" s="1"/>
  <c r="J25" i="2"/>
  <c r="K25" i="2" s="1"/>
  <c r="J30" i="2"/>
  <c r="K30" i="2" s="1"/>
  <c r="J7" i="2"/>
  <c r="K7" i="2" s="1"/>
  <c r="J13" i="2"/>
  <c r="K13" i="2" s="1"/>
  <c r="J23" i="2"/>
  <c r="K23" i="2" s="1"/>
  <c r="J29" i="2"/>
  <c r="K29" i="2" s="1"/>
  <c r="J3" i="2"/>
  <c r="K3" i="2" s="1"/>
  <c r="J19" i="2"/>
  <c r="K19" i="2" s="1"/>
  <c r="J17" i="2"/>
  <c r="K17" i="2" s="1"/>
  <c r="J27" i="2"/>
  <c r="K27" i="2" s="1"/>
  <c r="J5" i="2"/>
  <c r="K5" i="2" s="1"/>
  <c r="J9" i="2"/>
  <c r="K9" i="2" s="1"/>
  <c r="J15" i="2"/>
  <c r="K15" i="2" s="1"/>
  <c r="J11" i="2"/>
  <c r="K11" i="2" s="1"/>
  <c r="J21" i="2"/>
  <c r="K21" i="2" s="1"/>
  <c r="H44" i="3"/>
  <c r="I44" i="3" s="1"/>
  <c r="K18" i="1"/>
  <c r="K29" i="1"/>
  <c r="J32" i="1" l="1"/>
  <c r="K3" i="1"/>
  <c r="I53" i="3"/>
  <c r="E58" i="3" s="1"/>
  <c r="J32" i="2"/>
  <c r="K2" i="2"/>
  <c r="K32" i="2" s="1"/>
  <c r="N51" i="2"/>
  <c r="N49" i="2"/>
  <c r="N50" i="2" s="1"/>
  <c r="K32" i="1"/>
  <c r="T27" i="1"/>
  <c r="M26" i="1" s="1"/>
  <c r="T25" i="1"/>
  <c r="M25" i="1" s="1"/>
  <c r="T8" i="1"/>
  <c r="M9" i="1" s="1"/>
  <c r="T30" i="1"/>
  <c r="M31" i="1" s="1"/>
  <c r="T3" i="1"/>
  <c r="M3" i="1" s="1"/>
  <c r="T29" i="1"/>
  <c r="M29" i="1" s="1"/>
  <c r="T13" i="1"/>
  <c r="M19" i="1" s="1"/>
  <c r="T17" i="1"/>
  <c r="M18" i="1" s="1"/>
  <c r="T21" i="1"/>
  <c r="M23" i="1" s="1"/>
  <c r="T31" i="1"/>
  <c r="M30" i="1" s="1"/>
  <c r="T18" i="1"/>
  <c r="M15" i="1" s="1"/>
  <c r="T2" i="1"/>
  <c r="T23" i="1"/>
  <c r="M16" i="1" s="1"/>
  <c r="T16" i="1"/>
  <c r="M14" i="1" s="1"/>
  <c r="T5" i="1"/>
  <c r="M5" i="1" s="1"/>
  <c r="T7" i="1"/>
  <c r="M6" i="1" s="1"/>
  <c r="T20" i="1"/>
  <c r="M20" i="1" s="1"/>
  <c r="T9" i="1"/>
  <c r="M8" i="1" s="1"/>
  <c r="T4" i="1"/>
  <c r="M4" i="1" s="1"/>
  <c r="T6" i="1"/>
  <c r="M7" i="1" s="1"/>
  <c r="T26" i="1"/>
  <c r="M27" i="1" s="1"/>
  <c r="T12" i="1"/>
  <c r="M12" i="1" s="1"/>
  <c r="T15" i="1"/>
  <c r="M10" i="1" s="1"/>
  <c r="T10" i="1"/>
  <c r="M11" i="1" s="1"/>
  <c r="T14" i="1"/>
  <c r="M17" i="1" s="1"/>
  <c r="T19" i="1"/>
  <c r="M21" i="1" s="1"/>
  <c r="T11" i="1"/>
  <c r="M13" i="1" s="1"/>
  <c r="T22" i="1"/>
  <c r="M24" i="1" s="1"/>
  <c r="T24" i="1"/>
  <c r="M22" i="1" s="1"/>
  <c r="T28" i="1"/>
  <c r="M28" i="1" s="1"/>
  <c r="T32" i="1" l="1"/>
  <c r="M2" i="1"/>
  <c r="M32" i="1" s="1"/>
  <c r="L33" i="1" s="1"/>
  <c r="T29" i="2"/>
  <c r="M29" i="2" s="1"/>
  <c r="T23" i="2"/>
  <c r="M16" i="2" s="1"/>
  <c r="T17" i="2"/>
  <c r="M18" i="2" s="1"/>
  <c r="T6" i="2"/>
  <c r="M7" i="2" s="1"/>
  <c r="T14" i="2"/>
  <c r="M17" i="2" s="1"/>
  <c r="T18" i="2"/>
  <c r="M15" i="2" s="1"/>
  <c r="T2" i="2"/>
  <c r="T5" i="2"/>
  <c r="M5" i="2" s="1"/>
  <c r="T12" i="2"/>
  <c r="M12" i="2" s="1"/>
  <c r="T8" i="2"/>
  <c r="M9" i="2" s="1"/>
  <c r="T21" i="2"/>
  <c r="M23" i="2" s="1"/>
  <c r="T25" i="2"/>
  <c r="M25" i="2" s="1"/>
  <c r="T26" i="2"/>
  <c r="M27" i="2" s="1"/>
  <c r="T3" i="2"/>
  <c r="M3" i="2" s="1"/>
  <c r="T30" i="2"/>
  <c r="M31" i="2" s="1"/>
  <c r="T7" i="2"/>
  <c r="M6" i="2" s="1"/>
  <c r="T13" i="2"/>
  <c r="M19" i="2" s="1"/>
  <c r="T11" i="2"/>
  <c r="M13" i="2" s="1"/>
  <c r="T27" i="2"/>
  <c r="M26" i="2" s="1"/>
  <c r="T9" i="2"/>
  <c r="M8" i="2" s="1"/>
  <c r="T15" i="2"/>
  <c r="M10" i="2" s="1"/>
  <c r="T31" i="2"/>
  <c r="M30" i="2" s="1"/>
  <c r="T19" i="2"/>
  <c r="M21" i="2" s="1"/>
  <c r="T24" i="2"/>
  <c r="M22" i="2" s="1"/>
  <c r="T20" i="2"/>
  <c r="M20" i="2" s="1"/>
  <c r="T16" i="2"/>
  <c r="M14" i="2" s="1"/>
  <c r="T4" i="2"/>
  <c r="M4" i="2" s="1"/>
  <c r="T10" i="2"/>
  <c r="M11" i="2" s="1"/>
  <c r="T28" i="2"/>
  <c r="M28" i="2" s="1"/>
  <c r="T22" i="2"/>
  <c r="M24" i="2" s="1"/>
  <c r="T32" i="2" l="1"/>
  <c r="M2" i="2"/>
  <c r="M32" i="2" s="1"/>
  <c r="L33" i="2" s="1"/>
  <c r="L34" i="1"/>
  <c r="M34" i="1" s="1"/>
  <c r="M33" i="1"/>
  <c r="M33" i="2" l="1"/>
  <c r="L34" i="2"/>
  <c r="M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ID#AAAAZBDbYKg
    (2022-05-06 12:22:59)
Вводить ручками((((</t>
        </r>
      </text>
    </comment>
    <comment ref="L33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ID#AAAAXiAFAyU
Владимир Покусай    (2022-04-16 08:20:54)
реальная средняя див доходность
без учета налога</t>
        </r>
      </text>
    </comment>
    <comment ref="L3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ID#AAAAXiAFAyY
Владимир Покусай    (2022-04-16 08:21:18)
реальная, с учетом налога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df53vNq07AStJ6JMUufmByiPL+g=="/>
    </ext>
  </extLst>
</comments>
</file>

<file path=xl/sharedStrings.xml><?xml version="1.0" encoding="utf-8"?>
<sst xmlns="http://schemas.openxmlformats.org/spreadsheetml/2006/main" count="349" uniqueCount="179">
  <si>
    <t>Компания</t>
  </si>
  <si>
    <t>Тикер</t>
  </si>
  <si>
    <t>Вес в индексе, %</t>
  </si>
  <si>
    <t>Текущая цена, $</t>
  </si>
  <si>
    <t>Мои акции</t>
  </si>
  <si>
    <t>Суммарная стоимость позиции</t>
  </si>
  <si>
    <t>Стоимость Dow</t>
  </si>
  <si>
    <t>Тикер от 02.07.22</t>
  </si>
  <si>
    <t>реальная доля портфеля</t>
  </si>
  <si>
    <t>ошибка слежения</t>
  </si>
  <si>
    <t>средние 
дивы на
акцию %</t>
  </si>
  <si>
    <t>средние 
дивы на мои
акции $</t>
  </si>
  <si>
    <t>Дивы на акцию 
фактически</t>
  </si>
  <si>
    <t>Дивы 
фактически %</t>
  </si>
  <si>
    <t>Дивы всего</t>
  </si>
  <si>
    <t>Исходные</t>
  </si>
  <si>
    <t>количетсво забивать сюда!</t>
  </si>
  <si>
    <t>продается?</t>
  </si>
  <si>
    <t>доля того что могу купить</t>
  </si>
  <si>
    <t>UNH</t>
  </si>
  <si>
    <t>GS</t>
  </si>
  <si>
    <t>HD</t>
  </si>
  <si>
    <t>MSFT</t>
  </si>
  <si>
    <t>MCD</t>
  </si>
  <si>
    <t>AMGN</t>
  </si>
  <si>
    <t>V</t>
  </si>
  <si>
    <t>CAT</t>
  </si>
  <si>
    <t>JNJ</t>
  </si>
  <si>
    <t>HON</t>
  </si>
  <si>
    <t>CRM</t>
  </si>
  <si>
    <t>TRV</t>
  </si>
  <si>
    <t>BA</t>
  </si>
  <si>
    <t>CVX</t>
  </si>
  <si>
    <t>AXP</t>
  </si>
  <si>
    <t>PG</t>
  </si>
  <si>
    <t>IBM</t>
  </si>
  <si>
    <t>AAPL</t>
  </si>
  <si>
    <t>WMT</t>
  </si>
  <si>
    <t>MMM</t>
  </si>
  <si>
    <t>NKE</t>
  </si>
  <si>
    <t>JPM</t>
  </si>
  <si>
    <t>DIS</t>
  </si>
  <si>
    <t>MRK</t>
  </si>
  <si>
    <t>KO</t>
  </si>
  <si>
    <t>DOW</t>
  </si>
  <si>
    <t>VZ</t>
  </si>
  <si>
    <t>CSCO</t>
  </si>
  <si>
    <t>WBA</t>
  </si>
  <si>
    <t>INTC</t>
  </si>
  <si>
    <t>доллар</t>
  </si>
  <si>
    <t>СУММА</t>
  </si>
  <si>
    <t>Раз в месяц обновлять фонд по ссылке</t>
  </si>
  <si>
    <t>https://www.ssga.com/us/en/intermediary/etfs/funds/spdr-dow-jones-industrial-average-etf-trust-dia</t>
  </si>
  <si>
    <t xml:space="preserve">Раз в месяц отслеживаем новости фонда по ссылке, галочку на index annou </t>
  </si>
  <si>
    <t xml:space="preserve">https://www.spglobal.com/spdji/en/indices/equity/dow-jones-industrial-average/#news-research </t>
  </si>
  <si>
    <t>1 по тикеру находится название компании</t>
  </si>
  <si>
    <t>2. по тикеру цена акции обновляется раз в день</t>
  </si>
  <si>
    <t>3. Считается сумма всех акций, и переносится в отдельный столбец применительно в каждой строке</t>
  </si>
  <si>
    <t>Расчет доходности за несколько лет</t>
  </si>
  <si>
    <t>4. расчитыавется вас каждой акции, как отношение суммы на текущую цену * 100%</t>
  </si>
  <si>
    <t>Движение средств</t>
  </si>
  <si>
    <t>Дата</t>
  </si>
  <si>
    <t>Комментарий</t>
  </si>
  <si>
    <t>5. Вбиваем количетсво купленный акций</t>
  </si>
  <si>
    <t>6. от количества считается сумма позиций в портфеле</t>
  </si>
  <si>
    <t>7. Место для обновление информации по фонду через тикеры</t>
  </si>
  <si>
    <t>8. определяется дивиденды на акцию</t>
  </si>
  <si>
    <t>в наличиии Р</t>
  </si>
  <si>
    <t>9. расчитывается % доходность</t>
  </si>
  <si>
    <t>в наличиии $</t>
  </si>
  <si>
    <t>10. считает дивово всего!</t>
  </si>
  <si>
    <t>ср.дивов год</t>
  </si>
  <si>
    <t>11. Красным обозначено где меняем значения</t>
  </si>
  <si>
    <t>без налогов</t>
  </si>
  <si>
    <t>в месяц чист.</t>
  </si>
  <si>
    <t>в месяц Р</t>
  </si>
  <si>
    <t>в год Р</t>
  </si>
  <si>
    <t>Среднегодовая доходность %</t>
  </si>
  <si>
    <t>количетсво</t>
  </si>
  <si>
    <t>от большой ЗП, купили $ по 79.3</t>
  </si>
  <si>
    <t>ЗП, купили 727 $ по 54.3</t>
  </si>
  <si>
    <t>Ticker</t>
  </si>
  <si>
    <t>Company</t>
  </si>
  <si>
    <t>% of Fund</t>
  </si>
  <si>
    <t>цена</t>
  </si>
  <si>
    <t>цена в портфеле</t>
  </si>
  <si>
    <t>количетсво 
акций</t>
  </si>
  <si>
    <t>сколько по факту куплю</t>
  </si>
  <si>
    <t>реальная 
доля в портфеле</t>
  </si>
  <si>
    <t>Apple Inc</t>
  </si>
  <si>
    <t>Microsoft Corp</t>
  </si>
  <si>
    <t>NVDA</t>
  </si>
  <si>
    <t>NVIDIA Corp</t>
  </si>
  <si>
    <t>Visa Inc</t>
  </si>
  <si>
    <t>MA</t>
  </si>
  <si>
    <t>Mastercard Inc</t>
  </si>
  <si>
    <t>AVGO</t>
  </si>
  <si>
    <t>Broadcom Inc</t>
  </si>
  <si>
    <t>Cisco Systems Inc</t>
  </si>
  <si>
    <t>ACN</t>
  </si>
  <si>
    <t>Accenture PLC</t>
  </si>
  <si>
    <t>ADBE</t>
  </si>
  <si>
    <t>Adobe Inc</t>
  </si>
  <si>
    <t>Salesforce Inc</t>
  </si>
  <si>
    <t>Intel Corp</t>
  </si>
  <si>
    <t>TXN</t>
  </si>
  <si>
    <t>Texas Instruments Inc</t>
  </si>
  <si>
    <t>PYPL</t>
  </si>
  <si>
    <t>PayPal Holdings Inc</t>
  </si>
  <si>
    <t>ORCL</t>
  </si>
  <si>
    <t>Oracle Corp</t>
  </si>
  <si>
    <t>GOOGL</t>
  </si>
  <si>
    <t>Alphabet Inc</t>
  </si>
  <si>
    <t>GOOG</t>
  </si>
  <si>
    <t>FB</t>
  </si>
  <si>
    <t>Meta Platforms Inc</t>
  </si>
  <si>
    <t>Walt Disney Co/The</t>
  </si>
  <si>
    <t>Verizon Communications Inc</t>
  </si>
  <si>
    <t>CMCSA</t>
  </si>
  <si>
    <t>Comcast Corp</t>
  </si>
  <si>
    <t>NFLX</t>
  </si>
  <si>
    <t>Netflix Inc</t>
  </si>
  <si>
    <t>T</t>
  </si>
  <si>
    <t>AT&amp;T Inc</t>
  </si>
  <si>
    <t>AMZN</t>
  </si>
  <si>
    <t>Amazon.com Inc</t>
  </si>
  <si>
    <t>TSLA</t>
  </si>
  <si>
    <t>Tesla Inc</t>
  </si>
  <si>
    <t>Home Depot Inc/The</t>
  </si>
  <si>
    <t>McDonald's Corp</t>
  </si>
  <si>
    <t>NIKE Inc</t>
  </si>
  <si>
    <t>UnitedHealth Group Inc</t>
  </si>
  <si>
    <t>Johnson &amp; Johnson</t>
  </si>
  <si>
    <t>PFE</t>
  </si>
  <si>
    <t>Pfizer Inc</t>
  </si>
  <si>
    <t>ABBV</t>
  </si>
  <si>
    <t>AbbVie Inc</t>
  </si>
  <si>
    <t>LLY</t>
  </si>
  <si>
    <t>Eli Lilly &amp; Co</t>
  </si>
  <si>
    <t>TMO</t>
  </si>
  <si>
    <t>Thermo Fisher Scientific Inc</t>
  </si>
  <si>
    <t>Merck &amp; Co Inc</t>
  </si>
  <si>
    <t>ABT</t>
  </si>
  <si>
    <t>Abbott Laboratories</t>
  </si>
  <si>
    <t>BMY</t>
  </si>
  <si>
    <t>Bristol-Myers Squibb Co</t>
  </si>
  <si>
    <t>MDT</t>
  </si>
  <si>
    <t>Medtronic PLC</t>
  </si>
  <si>
    <t>BRK/B</t>
  </si>
  <si>
    <t>Berkshire Hathaway Inc</t>
  </si>
  <si>
    <t>JPMorgan Chase &amp; Co</t>
  </si>
  <si>
    <t>BAC</t>
  </si>
  <si>
    <t>Bank of America Corp</t>
  </si>
  <si>
    <t>WFC</t>
  </si>
  <si>
    <t>Wells Fargo &amp; Co</t>
  </si>
  <si>
    <t>C</t>
  </si>
  <si>
    <t>Citigroup Inc</t>
  </si>
  <si>
    <t>Procter &amp; Gamble Co/The</t>
  </si>
  <si>
    <t>COST</t>
  </si>
  <si>
    <t>Costco Wholesale Corp</t>
  </si>
  <si>
    <t>Coca-Cola Co/The</t>
  </si>
  <si>
    <t>PEP</t>
  </si>
  <si>
    <t>PepsiCo Inc</t>
  </si>
  <si>
    <t>Walmart Inc</t>
  </si>
  <si>
    <t>PM</t>
  </si>
  <si>
    <t>Philip Morris International Inc</t>
  </si>
  <si>
    <t>XOM</t>
  </si>
  <si>
    <t>Exxon Mobil Corp</t>
  </si>
  <si>
    <t>Chevron Corp</t>
  </si>
  <si>
    <t>UNP</t>
  </si>
  <si>
    <t>Union Pacific Corp</t>
  </si>
  <si>
    <t>ссылка для фонда, от сюда подгружать данные</t>
  </si>
  <si>
    <t>стоимость фонда</t>
  </si>
  <si>
    <t>https://www.invesco.com/us/financial-products/etfs/holdings?audienceType=Investor&amp;ticker=XLG</t>
  </si>
  <si>
    <t>по факту куплю на</t>
  </si>
  <si>
    <t>1. вводим стоимость фонда</t>
  </si>
  <si>
    <t>2. обновляем данные по составу</t>
  </si>
  <si>
    <t>3. Дальне он сам все считает, нужно только вбивать количество купленных акций, пока там вбито сколько минимум нужно купить</t>
  </si>
  <si>
    <t>свои 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</si>
</sst>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.mm\.yyyy"/>
    <numFmt numFmtId="166" formatCode="d\.m\.yyyy"/>
    <numFmt numFmtId="167" formatCode="#,##0.00;\(#,##0.00\)"/>
  </numFmts>
  <fonts count="21">
    <font>
      <sz val="10"/>
      <color rgb="FF000000"/>
      <name val="Arial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1"/>
      <color rgb="FF373A3C"/>
      <name val="Arial"/>
      <family val="2"/>
      <charset val="204"/>
    </font>
    <font>
      <b/>
      <sz val="11"/>
      <color rgb="FFEA4335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2780E3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rgb="FFF7981D"/>
      <name val="Arial"/>
      <family val="2"/>
      <charset val="204"/>
    </font>
    <font>
      <b/>
      <sz val="12"/>
      <color rgb="FF111111"/>
      <name val="Montserrat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Roboto"/>
    </font>
    <font>
      <u/>
      <sz val="10"/>
      <color rgb="FF0000FF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8DB5F8"/>
        <bgColor rgb="FF8DB5F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3" borderId="1" xfId="0" applyFont="1" applyFill="1" applyBorder="1"/>
    <xf numFmtId="0" fontId="7" fillId="0" borderId="0" xfId="0" applyFont="1" applyAlignment="1">
      <alignment horizontal="center" vertical="top"/>
    </xf>
    <xf numFmtId="2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5" fillId="0" borderId="0" xfId="0" applyFont="1"/>
    <xf numFmtId="0" fontId="10" fillId="0" borderId="0" xfId="0" applyFont="1" applyAlignment="1"/>
    <xf numFmtId="0" fontId="10" fillId="0" borderId="0" xfId="0" applyFont="1"/>
    <xf numFmtId="0" fontId="6" fillId="3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/>
    <xf numFmtId="2" fontId="6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6" fillId="0" borderId="0" xfId="0" applyNumberFormat="1" applyFont="1"/>
    <xf numFmtId="164" fontId="6" fillId="0" borderId="0" xfId="0" applyNumberFormat="1" applyFont="1"/>
    <xf numFmtId="0" fontId="12" fillId="3" borderId="1" xfId="0" applyFont="1" applyFill="1" applyBorder="1" applyAlignment="1">
      <alignment horizontal="left"/>
    </xf>
    <xf numFmtId="2" fontId="13" fillId="0" borderId="0" xfId="0" applyNumberFormat="1" applyFont="1"/>
    <xf numFmtId="10" fontId="6" fillId="0" borderId="0" xfId="0" applyNumberFormat="1" applyFont="1"/>
    <xf numFmtId="0" fontId="8" fillId="4" borderId="1" xfId="0" applyFont="1" applyFill="1" applyBorder="1"/>
    <xf numFmtId="0" fontId="6" fillId="4" borderId="1" xfId="0" applyFont="1" applyFill="1" applyBorder="1"/>
    <xf numFmtId="0" fontId="8" fillId="3" borderId="1" xfId="0" applyFont="1" applyFill="1" applyBorder="1"/>
    <xf numFmtId="0" fontId="5" fillId="0" borderId="0" xfId="0" applyFont="1" applyAlignment="1">
      <alignment horizontal="center"/>
    </xf>
    <xf numFmtId="4" fontId="5" fillId="0" borderId="0" xfId="0" applyNumberFormat="1" applyFont="1"/>
    <xf numFmtId="0" fontId="5" fillId="0" borderId="0" xfId="0" applyFont="1" applyAlignment="1">
      <alignment horizontal="left"/>
    </xf>
    <xf numFmtId="0" fontId="14" fillId="0" borderId="0" xfId="0" applyFont="1"/>
    <xf numFmtId="0" fontId="15" fillId="5" borderId="2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3" fontId="13" fillId="0" borderId="2" xfId="0" applyNumberFormat="1" applyFont="1" applyBorder="1" applyAlignment="1">
      <alignment horizontal="center"/>
    </xf>
    <xf numFmtId="165" fontId="13" fillId="0" borderId="2" xfId="0" applyNumberFormat="1" applyFont="1" applyBorder="1" applyAlignment="1">
      <alignment horizontal="center"/>
    </xf>
    <xf numFmtId="0" fontId="13" fillId="0" borderId="4" xfId="0" applyFont="1" applyBorder="1"/>
    <xf numFmtId="3" fontId="13" fillId="0" borderId="2" xfId="0" applyNumberFormat="1" applyFont="1" applyBorder="1" applyAlignment="1">
      <alignment horizontal="center"/>
    </xf>
    <xf numFmtId="165" fontId="13" fillId="0" borderId="5" xfId="0" applyNumberFormat="1" applyFont="1" applyBorder="1" applyAlignment="1">
      <alignment horizontal="center"/>
    </xf>
    <xf numFmtId="0" fontId="13" fillId="0" borderId="0" xfId="0" applyFont="1"/>
    <xf numFmtId="3" fontId="13" fillId="0" borderId="0" xfId="0" applyNumberFormat="1" applyFont="1"/>
    <xf numFmtId="166" fontId="13" fillId="6" borderId="7" xfId="0" applyNumberFormat="1" applyFont="1" applyFill="1" applyBorder="1" applyAlignment="1">
      <alignment horizontal="center"/>
    </xf>
    <xf numFmtId="0" fontId="13" fillId="6" borderId="8" xfId="0" applyFont="1" applyFill="1" applyBorder="1"/>
    <xf numFmtId="165" fontId="13" fillId="0" borderId="5" xfId="0" applyNumberFormat="1" applyFont="1" applyBorder="1" applyAlignment="1">
      <alignment horizontal="center"/>
    </xf>
    <xf numFmtId="0" fontId="13" fillId="0" borderId="6" xfId="0" applyFont="1" applyBorder="1"/>
    <xf numFmtId="3" fontId="5" fillId="0" borderId="0" xfId="0" applyNumberFormat="1" applyFont="1" applyAlignment="1">
      <alignment horizontal="center"/>
    </xf>
    <xf numFmtId="165" fontId="13" fillId="6" borderId="7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166" fontId="13" fillId="0" borderId="5" xfId="0" applyNumberFormat="1" applyFont="1" applyBorder="1" applyAlignment="1">
      <alignment horizontal="center"/>
    </xf>
    <xf numFmtId="0" fontId="15" fillId="7" borderId="7" xfId="0" applyFont="1" applyFill="1" applyBorder="1"/>
    <xf numFmtId="9" fontId="5" fillId="0" borderId="0" xfId="0" applyNumberFormat="1" applyFont="1"/>
    <xf numFmtId="0" fontId="17" fillId="2" borderId="1" xfId="0" applyFont="1" applyFill="1" applyBorder="1" applyAlignment="1">
      <alignment horizontal="center" vertical="center" wrapText="1"/>
    </xf>
    <xf numFmtId="0" fontId="18" fillId="0" borderId="2" xfId="0" applyFont="1" applyBorder="1" applyAlignment="1"/>
    <xf numFmtId="0" fontId="18" fillId="0" borderId="0" xfId="0" applyFont="1" applyAlignment="1"/>
    <xf numFmtId="3" fontId="13" fillId="8" borderId="2" xfId="0" applyNumberFormat="1" applyFont="1" applyFill="1" applyBorder="1" applyAlignment="1">
      <alignment horizontal="center"/>
    </xf>
    <xf numFmtId="0" fontId="19" fillId="3" borderId="0" xfId="0" applyFont="1" applyFill="1" applyAlignment="1"/>
    <xf numFmtId="165" fontId="13" fillId="8" borderId="7" xfId="0" applyNumberFormat="1" applyFont="1" applyFill="1" applyBorder="1" applyAlignment="1">
      <alignment horizontal="center"/>
    </xf>
    <xf numFmtId="0" fontId="13" fillId="8" borderId="8" xfId="0" applyFont="1" applyFill="1" applyBorder="1"/>
    <xf numFmtId="0" fontId="1" fillId="9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wrapText="1"/>
    </xf>
    <xf numFmtId="3" fontId="2" fillId="9" borderId="1" xfId="0" applyNumberFormat="1" applyFont="1" applyFill="1" applyBorder="1" applyAlignment="1">
      <alignment horizontal="center" wrapText="1"/>
    </xf>
    <xf numFmtId="1" fontId="2" fillId="9" borderId="1" xfId="0" applyNumberFormat="1" applyFont="1" applyFill="1" applyBorder="1" applyAlignment="1">
      <alignment horizontal="center" wrapText="1"/>
    </xf>
    <xf numFmtId="4" fontId="2" fillId="9" borderId="1" xfId="0" applyNumberFormat="1" applyFont="1" applyFill="1" applyBorder="1" applyAlignment="1">
      <alignment horizontal="center" wrapText="1"/>
    </xf>
    <xf numFmtId="2" fontId="2" fillId="9" borderId="1" xfId="0" applyNumberFormat="1" applyFont="1" applyFill="1" applyBorder="1" applyAlignment="1">
      <alignment horizontal="center" wrapText="1"/>
    </xf>
    <xf numFmtId="0" fontId="8" fillId="8" borderId="2" xfId="0" applyFont="1" applyFill="1" applyBorder="1"/>
    <xf numFmtId="2" fontId="8" fillId="8" borderId="2" xfId="0" applyNumberFormat="1" applyFont="1" applyFill="1" applyBorder="1"/>
    <xf numFmtId="3" fontId="8" fillId="8" borderId="2" xfId="0" applyNumberFormat="1" applyFont="1" applyFill="1" applyBorder="1"/>
    <xf numFmtId="1" fontId="8" fillId="8" borderId="2" xfId="0" applyNumberFormat="1" applyFont="1" applyFill="1" applyBorder="1"/>
    <xf numFmtId="4" fontId="8" fillId="8" borderId="2" xfId="0" applyNumberFormat="1" applyFont="1" applyFill="1" applyBorder="1"/>
    <xf numFmtId="0" fontId="8" fillId="8" borderId="1" xfId="0" applyFont="1" applyFill="1" applyBorder="1"/>
    <xf numFmtId="4" fontId="8" fillId="4" borderId="1" xfId="0" applyNumberFormat="1" applyFont="1" applyFill="1" applyBorder="1"/>
    <xf numFmtId="167" fontId="8" fillId="4" borderId="1" xfId="0" applyNumberFormat="1" applyFont="1" applyFill="1" applyBorder="1"/>
    <xf numFmtId="3" fontId="8" fillId="4" borderId="1" xfId="0" applyNumberFormat="1" applyFont="1" applyFill="1" applyBorder="1"/>
    <xf numFmtId="10" fontId="8" fillId="4" borderId="1" xfId="0" applyNumberFormat="1" applyFont="1" applyFill="1" applyBorder="1"/>
    <xf numFmtId="3" fontId="5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167" fontId="5" fillId="9" borderId="1" xfId="0" applyNumberFormat="1" applyFont="1" applyFill="1" applyBorder="1"/>
    <xf numFmtId="1" fontId="20" fillId="0" borderId="0" xfId="0" applyNumberFormat="1" applyFont="1"/>
    <xf numFmtId="167" fontId="5" fillId="4" borderId="1" xfId="0" applyNumberFormat="1" applyFont="1" applyFill="1" applyBorder="1"/>
    <xf numFmtId="10" fontId="5" fillId="0" borderId="0" xfId="0" applyNumberFormat="1" applyFont="1"/>
  </cellXfs>
  <cellStyles count="1">
    <cellStyle name="Обычный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spglobal.com/spdji/en/indices/equity/dow-jones-industrial-average/" TargetMode="External"/><Relationship Id="rId1" Type="http://schemas.openxmlformats.org/officeDocument/2006/relationships/hyperlink" Target="https://www.ssga.com/us/en/intermediary/etfs/funds/spdr-dow-jones-industrial-average-etf-trust-dia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global.com/spdji/en/indices/equity/dow-jones-industrial-average/" TargetMode="External"/><Relationship Id="rId1" Type="http://schemas.openxmlformats.org/officeDocument/2006/relationships/hyperlink" Target="https://www.ssga.com/us/en/intermediary/etfs/funds/spdr-dow-jones-industrial-average-etf-trust-d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co.com/us/financial-products/etfs/holdings?audienceType=Investor&amp;ticker=X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ySplit="1" topLeftCell="A2" activePane="bottomLeft" state="frozen"/>
      <selection pane="bottomLeft" activeCell="G31" sqref="G31"/>
    </sheetView>
  </sheetViews>
  <sheetFormatPr defaultColWidth="12.6328125" defaultRowHeight="15" customHeight="1"/>
  <cols>
    <col min="1" max="1" width="2.6328125" customWidth="1"/>
    <col min="2" max="2" width="11.90625" customWidth="1"/>
    <col min="3" max="3" width="4.90625" customWidth="1"/>
    <col min="4" max="4" width="7.453125" customWidth="1"/>
    <col min="5" max="5" width="6.36328125" customWidth="1"/>
    <col min="6" max="6" width="6.453125" customWidth="1"/>
    <col min="7" max="7" width="10.36328125" customWidth="1"/>
    <col min="8" max="8" width="0.6328125" hidden="1" customWidth="1"/>
    <col min="9" max="9" width="8.6328125" customWidth="1"/>
    <col min="10" max="11" width="9.453125" customWidth="1"/>
    <col min="12" max="12" width="7.453125" customWidth="1"/>
    <col min="13" max="13" width="13.26953125" customWidth="1"/>
    <col min="14" max="14" width="11.08984375" customWidth="1"/>
    <col min="15" max="15" width="10.90625" customWidth="1"/>
    <col min="16" max="16" width="6.453125" customWidth="1"/>
    <col min="17" max="17" width="10" customWidth="1"/>
    <col min="18" max="18" width="11.36328125" customWidth="1"/>
    <col min="19" max="19" width="10.36328125" customWidth="1"/>
    <col min="20" max="20" width="10.26953125" customWidth="1"/>
    <col min="21" max="28" width="8.36328125" customWidth="1"/>
  </cols>
  <sheetData>
    <row r="1" spans="1:28" ht="71.25" customHeight="1">
      <c r="A1" s="1"/>
      <c r="B1" s="2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 t="s">
        <v>16</v>
      </c>
      <c r="S1" s="4" t="s">
        <v>10</v>
      </c>
      <c r="T1" s="4" t="s">
        <v>11</v>
      </c>
      <c r="U1" s="7" t="s">
        <v>17</v>
      </c>
      <c r="V1" s="7" t="s">
        <v>18</v>
      </c>
      <c r="W1" s="8"/>
      <c r="X1" s="8"/>
      <c r="Y1" s="8"/>
      <c r="Z1" s="8"/>
      <c r="AA1" s="8"/>
      <c r="AB1" s="8"/>
    </row>
    <row r="2" spans="1:28" ht="15.75" customHeight="1">
      <c r="A2" s="9">
        <v>1</v>
      </c>
      <c r="B2" s="10" t="str">
        <f ca="1">IFERROR(__xludf.DUMMYFUNCTION("GOOGLEFINANCE(C2, ""name"")"),"UnitedHealth Group Inc")</f>
        <v>UnitedHealth Group Inc</v>
      </c>
      <c r="C2" s="11" t="str">
        <f t="shared" ref="C2:C31" si="0">I2</f>
        <v>UNH</v>
      </c>
      <c r="D2" s="12">
        <f t="shared" ref="D2:D31" ca="1" si="1">E2/H2*100</f>
        <v>10.916836475056957</v>
      </c>
      <c r="E2" s="9">
        <f ca="1">IFERROR(__xludf.DUMMYFUNCTION("GOOGLEFINANCE(C2, ""price"")"),508.42)</f>
        <v>508.42</v>
      </c>
      <c r="F2" s="13">
        <f t="shared" ref="F2:F31" si="2">VLOOKUP(I2,$Q$1:$R$31, 2, 0)</f>
        <v>1</v>
      </c>
      <c r="G2" s="13">
        <v>1</v>
      </c>
      <c r="H2" s="9">
        <f ca="1">E32</f>
        <v>4657.2099999999991</v>
      </c>
      <c r="I2" s="14" t="s">
        <v>19</v>
      </c>
      <c r="J2" s="15">
        <f t="shared" ref="J2:J31" si="3">G2/$G$32*100</f>
        <v>3.3333333333333335</v>
      </c>
      <c r="K2" s="16">
        <f t="shared" ref="K2:K31" ca="1" si="4">ABS(J2-D2)</f>
        <v>7.5835031417236234</v>
      </c>
      <c r="L2" s="16">
        <f t="shared" ref="L2:L31" si="5">VLOOKUP(I2,$Q$1:$S$31,3,0)</f>
        <v>1.29</v>
      </c>
      <c r="M2" s="17">
        <f t="shared" ref="M2:M31" si="6">VLOOKUP(I2,$Q$1:$T$31, 4,0)</f>
        <v>1.2900000000000003E-2</v>
      </c>
      <c r="N2" s="18">
        <v>0</v>
      </c>
      <c r="O2" s="19">
        <f t="shared" ref="O2:O31" ca="1" si="7">N2/E2</f>
        <v>0</v>
      </c>
      <c r="P2" s="19">
        <f t="shared" ref="P2:P31" si="8">N2*F2</f>
        <v>0</v>
      </c>
      <c r="Q2" s="20" t="s">
        <v>19</v>
      </c>
      <c r="R2" s="21">
        <v>1</v>
      </c>
      <c r="S2" s="16">
        <v>1.29</v>
      </c>
      <c r="T2" s="17">
        <f t="shared" ref="T2:T31" si="9">S2*G2/$J$32</f>
        <v>1.2900000000000003E-2</v>
      </c>
      <c r="U2" s="22">
        <v>0</v>
      </c>
      <c r="V2" s="23">
        <f t="shared" ref="V2:V31" ca="1" si="10">U2*D2</f>
        <v>0</v>
      </c>
    </row>
    <row r="3" spans="1:28" ht="15.75" customHeight="1">
      <c r="A3" s="9">
        <v>2</v>
      </c>
      <c r="B3" s="10" t="str">
        <f ca="1">IFERROR(__xludf.DUMMYFUNCTION("GOOGLEFINANCE(C3, ""name"")"),"Goldman Sachs Group Inc")</f>
        <v>Goldman Sachs Group Inc</v>
      </c>
      <c r="C3" s="11" t="str">
        <f t="shared" si="0"/>
        <v>GS</v>
      </c>
      <c r="D3" s="12">
        <f t="shared" ca="1" si="1"/>
        <v>6.1880396202876842</v>
      </c>
      <c r="E3" s="24">
        <f ca="1">IFERROR(__xludf.DUMMYFUNCTION("GOOGLEFINANCE(C3, ""price"")"),288.19)</f>
        <v>288.19</v>
      </c>
      <c r="F3" s="13">
        <f t="shared" si="2"/>
        <v>1</v>
      </c>
      <c r="G3" s="13">
        <v>1</v>
      </c>
      <c r="H3" s="25">
        <f ca="1">E32</f>
        <v>4657.2099999999991</v>
      </c>
      <c r="I3" s="14" t="s">
        <v>20</v>
      </c>
      <c r="J3" s="15">
        <f t="shared" si="3"/>
        <v>3.3333333333333335</v>
      </c>
      <c r="K3" s="16">
        <f t="shared" ca="1" si="4"/>
        <v>2.8547062869543507</v>
      </c>
      <c r="L3" s="16">
        <f t="shared" si="5"/>
        <v>1.67</v>
      </c>
      <c r="M3" s="17">
        <f t="shared" si="6"/>
        <v>1.6700000000000003E-2</v>
      </c>
      <c r="N3" s="18">
        <v>0</v>
      </c>
      <c r="O3" s="19">
        <f t="shared" ca="1" si="7"/>
        <v>0</v>
      </c>
      <c r="P3" s="19">
        <f t="shared" si="8"/>
        <v>0</v>
      </c>
      <c r="Q3" s="20" t="s">
        <v>20</v>
      </c>
      <c r="R3" s="26">
        <v>1</v>
      </c>
      <c r="S3" s="16">
        <v>1.67</v>
      </c>
      <c r="T3" s="17">
        <f t="shared" si="9"/>
        <v>1.6700000000000003E-2</v>
      </c>
      <c r="U3" s="22">
        <v>1</v>
      </c>
      <c r="V3" s="23">
        <f t="shared" ca="1" si="10"/>
        <v>6.1880396202876842</v>
      </c>
    </row>
    <row r="4" spans="1:28" ht="15.75" customHeight="1">
      <c r="A4" s="9">
        <v>3</v>
      </c>
      <c r="B4" s="10" t="str">
        <f ca="1">IFERROR(__xludf.DUMMYFUNCTION("GOOGLEFINANCE(C4, ""name"")"),"Home Depot Inc")</f>
        <v>Home Depot Inc</v>
      </c>
      <c r="C4" s="11" t="str">
        <f t="shared" si="0"/>
        <v>HD</v>
      </c>
      <c r="D4" s="12">
        <f t="shared" ca="1" si="1"/>
        <v>6.0607101676754978</v>
      </c>
      <c r="E4" s="24">
        <f ca="1">IFERROR(__xludf.DUMMYFUNCTION("GOOGLEFINANCE(C4, ""price"")"),282.26)</f>
        <v>282.26</v>
      </c>
      <c r="F4" s="13">
        <f t="shared" si="2"/>
        <v>1</v>
      </c>
      <c r="G4" s="13">
        <v>1</v>
      </c>
      <c r="H4" s="25">
        <f ca="1">E32</f>
        <v>4657.2099999999991</v>
      </c>
      <c r="I4" s="14" t="s">
        <v>21</v>
      </c>
      <c r="J4" s="15">
        <f t="shared" si="3"/>
        <v>3.3333333333333335</v>
      </c>
      <c r="K4" s="16">
        <f t="shared" ca="1" si="4"/>
        <v>2.7273768343421643</v>
      </c>
      <c r="L4" s="16">
        <f t="shared" si="5"/>
        <v>1.18</v>
      </c>
      <c r="M4" s="17">
        <f t="shared" si="6"/>
        <v>1.1800000000000003E-2</v>
      </c>
      <c r="N4" s="18">
        <v>0</v>
      </c>
      <c r="O4" s="19">
        <f t="shared" ca="1" si="7"/>
        <v>0</v>
      </c>
      <c r="P4" s="19">
        <f t="shared" si="8"/>
        <v>0</v>
      </c>
      <c r="Q4" s="20" t="s">
        <v>21</v>
      </c>
      <c r="R4" s="26">
        <v>1</v>
      </c>
      <c r="S4" s="16">
        <v>1.18</v>
      </c>
      <c r="T4" s="17">
        <f t="shared" si="9"/>
        <v>1.1800000000000003E-2</v>
      </c>
      <c r="U4" s="22">
        <v>1</v>
      </c>
      <c r="V4" s="23">
        <f t="shared" ca="1" si="10"/>
        <v>6.0607101676754978</v>
      </c>
    </row>
    <row r="5" spans="1:28" ht="15.75" customHeight="1">
      <c r="A5" s="9">
        <v>4</v>
      </c>
      <c r="B5" s="10" t="str">
        <f ca="1">IFERROR(__xludf.DUMMYFUNCTION("GOOGLEFINANCE(C5, ""name"")"),"Microsoft Corporation")</f>
        <v>Microsoft Corporation</v>
      </c>
      <c r="C5" s="11" t="str">
        <f t="shared" si="0"/>
        <v>MSFT</v>
      </c>
      <c r="D5" s="12">
        <f t="shared" ca="1" si="1"/>
        <v>5.363941072015221</v>
      </c>
      <c r="E5" s="24">
        <f ca="1">IFERROR(__xludf.DUMMYFUNCTION("GOOGLEFINANCE(C5, ""price"")"),249.81)</f>
        <v>249.81</v>
      </c>
      <c r="F5" s="13">
        <f t="shared" si="2"/>
        <v>1</v>
      </c>
      <c r="G5" s="13">
        <v>1</v>
      </c>
      <c r="H5" s="25">
        <f ca="1">E32</f>
        <v>4657.2099999999991</v>
      </c>
      <c r="I5" s="14" t="s">
        <v>22</v>
      </c>
      <c r="J5" s="15">
        <f t="shared" si="3"/>
        <v>3.3333333333333335</v>
      </c>
      <c r="K5" s="16">
        <f t="shared" ca="1" si="4"/>
        <v>2.0306077386818875</v>
      </c>
      <c r="L5" s="16">
        <f t="shared" si="5"/>
        <v>2.0499999999999998</v>
      </c>
      <c r="M5" s="17">
        <f t="shared" si="6"/>
        <v>2.0500000000000004E-2</v>
      </c>
      <c r="N5" s="18">
        <v>0</v>
      </c>
      <c r="O5" s="19">
        <f t="shared" ca="1" si="7"/>
        <v>0</v>
      </c>
      <c r="P5" s="19">
        <f t="shared" si="8"/>
        <v>0</v>
      </c>
      <c r="Q5" s="20" t="s">
        <v>22</v>
      </c>
      <c r="R5" s="26">
        <v>1</v>
      </c>
      <c r="S5" s="16">
        <v>2.0499999999999998</v>
      </c>
      <c r="T5" s="17">
        <f t="shared" si="9"/>
        <v>2.0500000000000004E-2</v>
      </c>
      <c r="U5" s="22">
        <v>1</v>
      </c>
      <c r="V5" s="23">
        <f t="shared" ca="1" si="10"/>
        <v>5.363941072015221</v>
      </c>
    </row>
    <row r="6" spans="1:28" ht="15.75" customHeight="1">
      <c r="A6" s="9">
        <v>5</v>
      </c>
      <c r="B6" s="10" t="str">
        <f ca="1">IFERROR(__xludf.DUMMYFUNCTION("GOOGLEFINANCE(C6, ""name"")"),"McDonald's Corp")</f>
        <v>McDonald's Corp</v>
      </c>
      <c r="C6" s="11" t="str">
        <f t="shared" si="0"/>
        <v>MCD</v>
      </c>
      <c r="D6" s="12">
        <f t="shared" ca="1" si="1"/>
        <v>5.3841248301021434</v>
      </c>
      <c r="E6" s="9">
        <f ca="1">IFERROR(__xludf.DUMMYFUNCTION("GOOGLEFINANCE(C6, ""price"")"),250.75)</f>
        <v>250.75</v>
      </c>
      <c r="F6" s="13">
        <f t="shared" si="2"/>
        <v>0</v>
      </c>
      <c r="G6" s="13">
        <v>1</v>
      </c>
      <c r="H6" s="25">
        <f ca="1">E32</f>
        <v>4657.2099999999991</v>
      </c>
      <c r="I6" s="14" t="s">
        <v>23</v>
      </c>
      <c r="J6" s="15">
        <f t="shared" si="3"/>
        <v>3.3333333333333335</v>
      </c>
      <c r="K6" s="16">
        <f t="shared" ca="1" si="4"/>
        <v>2.0507914967688099</v>
      </c>
      <c r="L6" s="16">
        <f t="shared" si="5"/>
        <v>2.74</v>
      </c>
      <c r="M6" s="17">
        <f t="shared" si="6"/>
        <v>2.7400000000000011E-2</v>
      </c>
      <c r="N6" s="18">
        <v>0</v>
      </c>
      <c r="O6" s="19">
        <f t="shared" ca="1" si="7"/>
        <v>0</v>
      </c>
      <c r="P6" s="19">
        <f t="shared" si="8"/>
        <v>0</v>
      </c>
      <c r="Q6" s="20" t="s">
        <v>24</v>
      </c>
      <c r="R6" s="21">
        <v>0</v>
      </c>
      <c r="S6" s="16">
        <v>2.2400000000000002</v>
      </c>
      <c r="T6" s="17">
        <f t="shared" si="9"/>
        <v>2.240000000000001E-2</v>
      </c>
      <c r="U6" s="22">
        <v>1</v>
      </c>
      <c r="V6" s="23">
        <f t="shared" ca="1" si="10"/>
        <v>5.3841248301021434</v>
      </c>
    </row>
    <row r="7" spans="1:28" ht="15.75" customHeight="1">
      <c r="A7" s="9">
        <v>6</v>
      </c>
      <c r="B7" s="10" t="str">
        <f ca="1">IFERROR(__xludf.DUMMYFUNCTION("GOOGLEFINANCE(C7, ""name"")"),"Amgen, Inc.")</f>
        <v>Amgen, Inc.</v>
      </c>
      <c r="C7" s="11" t="str">
        <f t="shared" si="0"/>
        <v>AMGN</v>
      </c>
      <c r="D7" s="12">
        <f t="shared" ca="1" si="1"/>
        <v>5.2997395436323469</v>
      </c>
      <c r="E7" s="24">
        <f ca="1">IFERROR(__xludf.DUMMYFUNCTION("GOOGLEFINANCE(C7, ""price"")"),246.82)</f>
        <v>246.82</v>
      </c>
      <c r="F7" s="13">
        <f t="shared" si="2"/>
        <v>0</v>
      </c>
      <c r="G7" s="13">
        <v>1</v>
      </c>
      <c r="H7" s="25">
        <f ca="1">E32</f>
        <v>4657.2099999999991</v>
      </c>
      <c r="I7" s="14" t="s">
        <v>24</v>
      </c>
      <c r="J7" s="15">
        <f t="shared" si="3"/>
        <v>3.3333333333333335</v>
      </c>
      <c r="K7" s="16">
        <f t="shared" ca="1" si="4"/>
        <v>1.9664062102990134</v>
      </c>
      <c r="L7" s="16">
        <f t="shared" si="5"/>
        <v>2.2400000000000002</v>
      </c>
      <c r="M7" s="17">
        <f t="shared" si="6"/>
        <v>2.240000000000001E-2</v>
      </c>
      <c r="N7" s="18">
        <v>0</v>
      </c>
      <c r="O7" s="19">
        <f t="shared" ca="1" si="7"/>
        <v>0</v>
      </c>
      <c r="P7" s="19">
        <f t="shared" si="8"/>
        <v>0</v>
      </c>
      <c r="Q7" s="20" t="s">
        <v>23</v>
      </c>
      <c r="R7" s="21">
        <v>0</v>
      </c>
      <c r="S7" s="16">
        <v>2.74</v>
      </c>
      <c r="T7" s="17">
        <f t="shared" si="9"/>
        <v>2.7400000000000011E-2</v>
      </c>
      <c r="U7" s="22">
        <v>0</v>
      </c>
      <c r="V7" s="23">
        <f t="shared" ca="1" si="10"/>
        <v>0</v>
      </c>
    </row>
    <row r="8" spans="1:28" ht="15.75" customHeight="1">
      <c r="A8" s="9">
        <v>7</v>
      </c>
      <c r="B8" s="10" t="str">
        <f ca="1">IFERROR(__xludf.DUMMYFUNCTION("GOOGLEFINANCE(C8, ""name"")"),"Visa Inc")</f>
        <v>Visa Inc</v>
      </c>
      <c r="C8" s="11" t="str">
        <f t="shared" si="0"/>
        <v>V</v>
      </c>
      <c r="D8" s="12">
        <f t="shared" ca="1" si="1"/>
        <v>4.3141709306644973</v>
      </c>
      <c r="E8" s="24">
        <f ca="1">IFERROR(__xludf.DUMMYFUNCTION("GOOGLEFINANCE(C8, ""price"")"),200.92)</f>
        <v>200.92</v>
      </c>
      <c r="F8" s="13">
        <f t="shared" si="2"/>
        <v>0</v>
      </c>
      <c r="G8" s="13">
        <v>1</v>
      </c>
      <c r="H8" s="25">
        <f ca="1">E32</f>
        <v>4657.2099999999991</v>
      </c>
      <c r="I8" s="14" t="s">
        <v>25</v>
      </c>
      <c r="J8" s="15">
        <f t="shared" si="3"/>
        <v>3.3333333333333335</v>
      </c>
      <c r="K8" s="16">
        <f t="shared" ca="1" si="4"/>
        <v>0.98083759733116382</v>
      </c>
      <c r="L8" s="16">
        <f t="shared" si="5"/>
        <v>2.2599999999999998</v>
      </c>
      <c r="M8" s="17">
        <f t="shared" si="6"/>
        <v>2.2600000000000006E-2</v>
      </c>
      <c r="N8" s="18">
        <v>0</v>
      </c>
      <c r="O8" s="19">
        <f t="shared" ca="1" si="7"/>
        <v>0</v>
      </c>
      <c r="P8" s="19">
        <f t="shared" si="8"/>
        <v>0</v>
      </c>
      <c r="Q8" s="20" t="s">
        <v>26</v>
      </c>
      <c r="R8" s="21">
        <v>0</v>
      </c>
      <c r="S8" s="16">
        <v>0.57999999999999996</v>
      </c>
      <c r="T8" s="17">
        <f t="shared" si="9"/>
        <v>5.8000000000000013E-3</v>
      </c>
      <c r="U8" s="22">
        <v>0</v>
      </c>
      <c r="V8" s="23">
        <f t="shared" ca="1" si="10"/>
        <v>0</v>
      </c>
    </row>
    <row r="9" spans="1:28" ht="15.75" customHeight="1">
      <c r="A9" s="9">
        <v>8</v>
      </c>
      <c r="B9" s="10" t="str">
        <f ca="1">IFERROR(__xludf.DUMMYFUNCTION("GOOGLEFINANCE(C9, ""name"")"),"Caterpillar Inc.")</f>
        <v>Caterpillar Inc.</v>
      </c>
      <c r="C9" s="11" t="str">
        <f t="shared" si="0"/>
        <v>CAT</v>
      </c>
      <c r="D9" s="12">
        <f t="shared" ca="1" si="1"/>
        <v>3.7279830628208743</v>
      </c>
      <c r="E9" s="24">
        <f ca="1">IFERROR(__xludf.DUMMYFUNCTION("GOOGLEFINANCE(C9, ""price"")"),173.62)</f>
        <v>173.62</v>
      </c>
      <c r="F9" s="13">
        <f t="shared" si="2"/>
        <v>0</v>
      </c>
      <c r="G9" s="13">
        <v>1</v>
      </c>
      <c r="H9" s="25">
        <f ca="1">E32</f>
        <v>4657.2099999999991</v>
      </c>
      <c r="I9" s="14" t="s">
        <v>26</v>
      </c>
      <c r="J9" s="15">
        <f t="shared" si="3"/>
        <v>3.3333333333333335</v>
      </c>
      <c r="K9" s="16">
        <f t="shared" ca="1" si="4"/>
        <v>0.39464972948754085</v>
      </c>
      <c r="L9" s="16">
        <f t="shared" si="5"/>
        <v>0.57999999999999996</v>
      </c>
      <c r="M9" s="17">
        <f t="shared" si="6"/>
        <v>5.8000000000000013E-3</v>
      </c>
      <c r="N9" s="18">
        <v>0</v>
      </c>
      <c r="O9" s="19">
        <f t="shared" ca="1" si="7"/>
        <v>0</v>
      </c>
      <c r="P9" s="19">
        <f t="shared" si="8"/>
        <v>0</v>
      </c>
      <c r="Q9" s="20" t="s">
        <v>25</v>
      </c>
      <c r="R9" s="21">
        <v>0</v>
      </c>
      <c r="S9" s="16">
        <v>2.2599999999999998</v>
      </c>
      <c r="T9" s="17">
        <f t="shared" si="9"/>
        <v>2.2600000000000006E-2</v>
      </c>
      <c r="U9" s="22">
        <v>1</v>
      </c>
      <c r="V9" s="23">
        <f t="shared" ca="1" si="10"/>
        <v>3.7279830628208743</v>
      </c>
    </row>
    <row r="10" spans="1:28" ht="15.75" customHeight="1">
      <c r="A10" s="9">
        <v>9</v>
      </c>
      <c r="B10" s="10" t="str">
        <f ca="1">IFERROR(__xludf.DUMMYFUNCTION("GOOGLEFINANCE(C10, ""name"")"),"Johnson &amp; Johnson")</f>
        <v>Johnson &amp; Johnson</v>
      </c>
      <c r="C10" s="11" t="str">
        <f t="shared" si="0"/>
        <v>JNJ</v>
      </c>
      <c r="D10" s="12">
        <f t="shared" ca="1" si="1"/>
        <v>3.7614795124119387</v>
      </c>
      <c r="E10" s="9">
        <f ca="1">IFERROR(__xludf.DUMMYFUNCTION("GOOGLEFINANCE(C10, ""price"")"),175.18)</f>
        <v>175.18</v>
      </c>
      <c r="F10" s="13">
        <f t="shared" si="2"/>
        <v>0</v>
      </c>
      <c r="G10" s="13">
        <v>1</v>
      </c>
      <c r="H10" s="25">
        <f ca="1">E32</f>
        <v>4657.2099999999991</v>
      </c>
      <c r="I10" s="14" t="s">
        <v>27</v>
      </c>
      <c r="J10" s="15">
        <f t="shared" si="3"/>
        <v>3.3333333333333335</v>
      </c>
      <c r="K10" s="16">
        <f t="shared" ca="1" si="4"/>
        <v>0.42814617907860519</v>
      </c>
      <c r="L10" s="16">
        <f t="shared" si="5"/>
        <v>2.5299999999999998</v>
      </c>
      <c r="M10" s="17">
        <f t="shared" si="6"/>
        <v>2.5300000000000007E-2</v>
      </c>
      <c r="N10" s="18">
        <v>0</v>
      </c>
      <c r="O10" s="19">
        <f t="shared" ca="1" si="7"/>
        <v>0</v>
      </c>
      <c r="P10" s="19">
        <f t="shared" si="8"/>
        <v>0</v>
      </c>
      <c r="Q10" s="20" t="s">
        <v>28</v>
      </c>
      <c r="R10" s="21">
        <v>0</v>
      </c>
      <c r="S10" s="16">
        <v>0</v>
      </c>
      <c r="T10" s="17">
        <f t="shared" si="9"/>
        <v>0</v>
      </c>
      <c r="U10" s="22">
        <v>0</v>
      </c>
      <c r="V10" s="23">
        <f t="shared" ca="1" si="10"/>
        <v>0</v>
      </c>
    </row>
    <row r="11" spans="1:28" ht="15.75" customHeight="1">
      <c r="A11" s="9">
        <v>10</v>
      </c>
      <c r="B11" s="10" t="str">
        <f ca="1">IFERROR(__xludf.DUMMYFUNCTION("GOOGLEFINANCE(C11, ""name"")"),"Honeywell International Inc")</f>
        <v>Honeywell International Inc</v>
      </c>
      <c r="C11" s="11" t="str">
        <f t="shared" si="0"/>
        <v>HON</v>
      </c>
      <c r="D11" s="27">
        <f t="shared" ca="1" si="1"/>
        <v>3.675161738465734</v>
      </c>
      <c r="E11" s="24">
        <f ca="1">IFERROR(__xludf.DUMMYFUNCTION("GOOGLEFINANCE(C11, ""price"")"),171.16)</f>
        <v>171.16</v>
      </c>
      <c r="F11" s="13">
        <f t="shared" si="2"/>
        <v>0</v>
      </c>
      <c r="G11" s="13">
        <v>1</v>
      </c>
      <c r="H11" s="25">
        <f ca="1">E32</f>
        <v>4657.2099999999991</v>
      </c>
      <c r="I11" s="14" t="s">
        <v>28</v>
      </c>
      <c r="J11" s="15">
        <f t="shared" si="3"/>
        <v>3.3333333333333335</v>
      </c>
      <c r="K11" s="16">
        <f t="shared" ca="1" si="4"/>
        <v>0.34182840513240054</v>
      </c>
      <c r="L11" s="16">
        <f t="shared" si="5"/>
        <v>0</v>
      </c>
      <c r="M11" s="17">
        <f t="shared" si="6"/>
        <v>0</v>
      </c>
      <c r="N11" s="18">
        <v>0</v>
      </c>
      <c r="O11" s="19">
        <f t="shared" ca="1" si="7"/>
        <v>0</v>
      </c>
      <c r="P11" s="19">
        <f t="shared" si="8"/>
        <v>0</v>
      </c>
      <c r="Q11" s="20" t="s">
        <v>29</v>
      </c>
      <c r="R11" s="21">
        <v>0</v>
      </c>
      <c r="S11" s="16">
        <v>1.89</v>
      </c>
      <c r="T11" s="17">
        <f t="shared" si="9"/>
        <v>1.8900000000000004E-2</v>
      </c>
      <c r="U11" s="22">
        <v>1</v>
      </c>
      <c r="V11" s="23">
        <f t="shared" ca="1" si="10"/>
        <v>3.675161738465734</v>
      </c>
    </row>
    <row r="12" spans="1:28" ht="15.75" customHeight="1">
      <c r="A12" s="9">
        <v>11</v>
      </c>
      <c r="B12" s="10" t="str">
        <f ca="1">IFERROR(__xludf.DUMMYFUNCTION("GOOGLEFINANCE(C12, ""name"")"),"Travelers Companies Inc")</f>
        <v>Travelers Companies Inc</v>
      </c>
      <c r="C12" s="11" t="str">
        <f t="shared" si="0"/>
        <v>TRV</v>
      </c>
      <c r="D12" s="12">
        <f t="shared" ca="1" si="1"/>
        <v>3.537955127640799</v>
      </c>
      <c r="E12" s="24">
        <f ca="1">IFERROR(__xludf.DUMMYFUNCTION("GOOGLEFINANCE(C12, ""price"")"),164.77)</f>
        <v>164.77</v>
      </c>
      <c r="F12" s="13">
        <f t="shared" si="2"/>
        <v>0</v>
      </c>
      <c r="G12" s="13">
        <v>1</v>
      </c>
      <c r="H12" s="25">
        <f ca="1">E32</f>
        <v>4657.2099999999991</v>
      </c>
      <c r="I12" s="14" t="s">
        <v>30</v>
      </c>
      <c r="J12" s="15">
        <f t="shared" si="3"/>
        <v>3.3333333333333335</v>
      </c>
      <c r="K12" s="16">
        <f t="shared" ca="1" si="4"/>
        <v>0.20462179430746552</v>
      </c>
      <c r="L12" s="16">
        <f t="shared" si="5"/>
        <v>1.29</v>
      </c>
      <c r="M12" s="17">
        <f t="shared" si="6"/>
        <v>1.2900000000000003E-2</v>
      </c>
      <c r="N12" s="18">
        <v>0</v>
      </c>
      <c r="O12" s="19">
        <f t="shared" ca="1" si="7"/>
        <v>0</v>
      </c>
      <c r="P12" s="19">
        <f t="shared" si="8"/>
        <v>0</v>
      </c>
      <c r="Q12" s="20" t="s">
        <v>30</v>
      </c>
      <c r="R12" s="21">
        <v>0</v>
      </c>
      <c r="S12" s="16">
        <v>1.29</v>
      </c>
      <c r="T12" s="17">
        <f t="shared" si="9"/>
        <v>1.2900000000000003E-2</v>
      </c>
      <c r="U12" s="22">
        <v>1</v>
      </c>
      <c r="V12" s="23">
        <f t="shared" ca="1" si="10"/>
        <v>3.537955127640799</v>
      </c>
    </row>
    <row r="13" spans="1:28" ht="15.75" customHeight="1">
      <c r="A13" s="9">
        <v>12</v>
      </c>
      <c r="B13" s="10" t="str">
        <f ca="1">IFERROR(__xludf.DUMMYFUNCTION("GOOGLEFINANCE(C13, ""name"")"),"Salesforce Inc")</f>
        <v>Salesforce Inc</v>
      </c>
      <c r="C13" s="11" t="str">
        <f t="shared" si="0"/>
        <v>CRM</v>
      </c>
      <c r="D13" s="12">
        <f t="shared" ca="1" si="1"/>
        <v>3.5005937030969192</v>
      </c>
      <c r="E13" s="9">
        <f ca="1">IFERROR(__xludf.DUMMYFUNCTION("GOOGLEFINANCE(C13, ""price"")"),163.03)</f>
        <v>163.03</v>
      </c>
      <c r="F13" s="13">
        <f t="shared" si="2"/>
        <v>0</v>
      </c>
      <c r="G13" s="13">
        <v>1</v>
      </c>
      <c r="H13" s="25">
        <f ca="1">E32</f>
        <v>4657.2099999999991</v>
      </c>
      <c r="I13" s="14" t="s">
        <v>29</v>
      </c>
      <c r="J13" s="15">
        <f t="shared" si="3"/>
        <v>3.3333333333333335</v>
      </c>
      <c r="K13" s="16">
        <f t="shared" ca="1" si="4"/>
        <v>0.16726036976358571</v>
      </c>
      <c r="L13" s="16">
        <f t="shared" si="5"/>
        <v>1.89</v>
      </c>
      <c r="M13" s="17">
        <f t="shared" si="6"/>
        <v>1.8900000000000004E-2</v>
      </c>
      <c r="N13" s="18">
        <v>0</v>
      </c>
      <c r="O13" s="19">
        <f t="shared" ca="1" si="7"/>
        <v>0</v>
      </c>
      <c r="P13" s="19">
        <f t="shared" si="8"/>
        <v>0</v>
      </c>
      <c r="Q13" s="20" t="s">
        <v>31</v>
      </c>
      <c r="R13" s="21">
        <v>0</v>
      </c>
      <c r="S13" s="16">
        <v>2</v>
      </c>
      <c r="T13" s="17">
        <f t="shared" si="9"/>
        <v>2.0000000000000007E-2</v>
      </c>
      <c r="U13" s="22">
        <v>1</v>
      </c>
      <c r="V13" s="23">
        <f t="shared" ca="1" si="10"/>
        <v>3.5005937030969192</v>
      </c>
    </row>
    <row r="14" spans="1:28" ht="15.75" customHeight="1">
      <c r="A14" s="9">
        <v>13</v>
      </c>
      <c r="B14" s="10" t="str">
        <f ca="1">IFERROR(__xludf.DUMMYFUNCTION("GOOGLEFINANCE(C14, ""name"")"),"Chevron Corporation")</f>
        <v>Chevron Corporation</v>
      </c>
      <c r="C14" s="11" t="str">
        <f t="shared" si="0"/>
        <v>CVX</v>
      </c>
      <c r="D14" s="12">
        <f t="shared" ca="1" si="1"/>
        <v>3.0146804631957766</v>
      </c>
      <c r="E14" s="9">
        <f ca="1">IFERROR(__xludf.DUMMYFUNCTION("GOOGLEFINANCE(C14, ""price"")"),140.4)</f>
        <v>140.4</v>
      </c>
      <c r="F14" s="13">
        <f t="shared" si="2"/>
        <v>0</v>
      </c>
      <c r="G14" s="13">
        <v>1</v>
      </c>
      <c r="H14" s="25">
        <f ca="1">E32</f>
        <v>4657.2099999999991</v>
      </c>
      <c r="I14" s="14" t="s">
        <v>32</v>
      </c>
      <c r="J14" s="15">
        <f t="shared" si="3"/>
        <v>3.3333333333333335</v>
      </c>
      <c r="K14" s="16">
        <f t="shared" ca="1" si="4"/>
        <v>0.31865287013755683</v>
      </c>
      <c r="L14" s="16">
        <f t="shared" si="5"/>
        <v>0.9</v>
      </c>
      <c r="M14" s="17">
        <f t="shared" si="6"/>
        <v>9.0000000000000028E-3</v>
      </c>
      <c r="N14" s="18">
        <v>0</v>
      </c>
      <c r="O14" s="19">
        <f t="shared" ca="1" si="7"/>
        <v>0</v>
      </c>
      <c r="P14" s="19">
        <f t="shared" si="8"/>
        <v>0</v>
      </c>
      <c r="Q14" s="20" t="s">
        <v>33</v>
      </c>
      <c r="R14" s="21">
        <v>0</v>
      </c>
      <c r="S14" s="16">
        <v>2.2799999999999998</v>
      </c>
      <c r="T14" s="17">
        <f t="shared" si="9"/>
        <v>2.2800000000000004E-2</v>
      </c>
      <c r="U14" s="22">
        <v>1</v>
      </c>
      <c r="V14" s="23">
        <f t="shared" ca="1" si="10"/>
        <v>3.0146804631957766</v>
      </c>
    </row>
    <row r="15" spans="1:28" ht="15.75" customHeight="1">
      <c r="A15" s="9">
        <v>14</v>
      </c>
      <c r="B15" s="10" t="str">
        <f ca="1">IFERROR(__xludf.DUMMYFUNCTION("GOOGLEFINANCE(C15, ""name"")"),"Procter &amp; Gamble Co")</f>
        <v>Procter &amp; Gamble Co</v>
      </c>
      <c r="C15" s="11" t="str">
        <f t="shared" si="0"/>
        <v>PG</v>
      </c>
      <c r="D15" s="12">
        <f t="shared" ca="1" si="1"/>
        <v>3.1134520453232737</v>
      </c>
      <c r="E15" s="9">
        <f ca="1">IFERROR(__xludf.DUMMYFUNCTION("GOOGLEFINANCE(C15, ""price"")"),145)</f>
        <v>145</v>
      </c>
      <c r="F15" s="13">
        <f t="shared" si="2"/>
        <v>0</v>
      </c>
      <c r="G15" s="13">
        <v>1</v>
      </c>
      <c r="H15" s="25">
        <f ca="1">E32</f>
        <v>4657.2099999999991</v>
      </c>
      <c r="I15" s="14" t="s">
        <v>34</v>
      </c>
      <c r="J15" s="15">
        <f t="shared" si="3"/>
        <v>3.3333333333333335</v>
      </c>
      <c r="K15" s="16">
        <f t="shared" ca="1" si="4"/>
        <v>0.21988128801005979</v>
      </c>
      <c r="L15" s="16">
        <f t="shared" si="5"/>
        <v>2.77</v>
      </c>
      <c r="M15" s="17">
        <f t="shared" si="6"/>
        <v>2.7700000000000009E-2</v>
      </c>
      <c r="N15" s="18">
        <v>0</v>
      </c>
      <c r="O15" s="19">
        <f t="shared" ca="1" si="7"/>
        <v>0</v>
      </c>
      <c r="P15" s="19">
        <f t="shared" si="8"/>
        <v>0</v>
      </c>
      <c r="Q15" s="20" t="s">
        <v>27</v>
      </c>
      <c r="R15" s="21">
        <v>0</v>
      </c>
      <c r="S15" s="16">
        <v>2.5299999999999998</v>
      </c>
      <c r="T15" s="17">
        <f t="shared" si="9"/>
        <v>2.5300000000000007E-2</v>
      </c>
      <c r="U15" s="22">
        <v>1</v>
      </c>
      <c r="V15" s="23">
        <f t="shared" ca="1" si="10"/>
        <v>3.1134520453232737</v>
      </c>
    </row>
    <row r="16" spans="1:28" ht="15.75" customHeight="1">
      <c r="A16" s="9">
        <v>15</v>
      </c>
      <c r="B16" s="10" t="str">
        <f ca="1">IFERROR(__xludf.DUMMYFUNCTION("GOOGLEFINANCE(C16, ""name"")"),"IBM Common Stock")</f>
        <v>IBM Common Stock</v>
      </c>
      <c r="C16" s="11" t="str">
        <f t="shared" si="0"/>
        <v>IBM</v>
      </c>
      <c r="D16" s="12">
        <f t="shared" ca="1" si="1"/>
        <v>2.9399576141080179</v>
      </c>
      <c r="E16" s="9">
        <f ca="1">IFERROR(__xludf.DUMMYFUNCTION("GOOGLEFINANCE(C16, ""price"")"),136.92)</f>
        <v>136.91999999999999</v>
      </c>
      <c r="F16" s="13">
        <f t="shared" si="2"/>
        <v>0</v>
      </c>
      <c r="G16" s="13">
        <v>1</v>
      </c>
      <c r="H16" s="25">
        <f ca="1">E32</f>
        <v>4657.2099999999991</v>
      </c>
      <c r="I16" s="14" t="s">
        <v>35</v>
      </c>
      <c r="J16" s="15">
        <f t="shared" si="3"/>
        <v>3.3333333333333335</v>
      </c>
      <c r="K16" s="16">
        <f t="shared" ca="1" si="4"/>
        <v>0.39337571922531556</v>
      </c>
      <c r="L16" s="16">
        <f t="shared" si="5"/>
        <v>0.97</v>
      </c>
      <c r="M16" s="17">
        <f t="shared" si="6"/>
        <v>9.700000000000002E-3</v>
      </c>
      <c r="N16" s="18">
        <v>0</v>
      </c>
      <c r="O16" s="19">
        <f t="shared" ca="1" si="7"/>
        <v>0</v>
      </c>
      <c r="P16" s="19">
        <f t="shared" si="8"/>
        <v>0</v>
      </c>
      <c r="Q16" s="20" t="s">
        <v>32</v>
      </c>
      <c r="R16" s="21">
        <v>0</v>
      </c>
      <c r="S16" s="16">
        <v>0.9</v>
      </c>
      <c r="T16" s="17">
        <f t="shared" si="9"/>
        <v>9.0000000000000028E-3</v>
      </c>
      <c r="U16" s="22">
        <v>1</v>
      </c>
      <c r="V16" s="23">
        <f t="shared" ca="1" si="10"/>
        <v>2.9399576141080179</v>
      </c>
    </row>
    <row r="17" spans="1:22" ht="15.75" customHeight="1">
      <c r="A17" s="9">
        <v>16</v>
      </c>
      <c r="B17" s="10" t="str">
        <f ca="1">IFERROR(__xludf.DUMMYFUNCTION("GOOGLEFINANCE(C17, ""name"")"),"American Express Company")</f>
        <v>American Express Company</v>
      </c>
      <c r="C17" s="11" t="str">
        <f t="shared" si="0"/>
        <v>AXP</v>
      </c>
      <c r="D17" s="12">
        <f t="shared" ca="1" si="1"/>
        <v>2.9710921345612507</v>
      </c>
      <c r="E17" s="9">
        <f ca="1">IFERROR(__xludf.DUMMYFUNCTION("GOOGLEFINANCE(C17, ""price"")"),138.37)</f>
        <v>138.37</v>
      </c>
      <c r="F17" s="13">
        <f t="shared" si="2"/>
        <v>0</v>
      </c>
      <c r="G17" s="13">
        <v>1</v>
      </c>
      <c r="H17" s="25">
        <f ca="1">E32</f>
        <v>4657.2099999999991</v>
      </c>
      <c r="I17" s="14" t="s">
        <v>33</v>
      </c>
      <c r="J17" s="15">
        <f t="shared" si="3"/>
        <v>3.3333333333333335</v>
      </c>
      <c r="K17" s="16">
        <f t="shared" ca="1" si="4"/>
        <v>0.36224119877208283</v>
      </c>
      <c r="L17" s="16">
        <f t="shared" si="5"/>
        <v>2.2799999999999998</v>
      </c>
      <c r="M17" s="17">
        <f t="shared" si="6"/>
        <v>2.2800000000000004E-2</v>
      </c>
      <c r="N17" s="18">
        <v>0</v>
      </c>
      <c r="O17" s="19">
        <f t="shared" ca="1" si="7"/>
        <v>0</v>
      </c>
      <c r="P17" s="19">
        <f t="shared" si="8"/>
        <v>0</v>
      </c>
      <c r="Q17" s="20" t="s">
        <v>36</v>
      </c>
      <c r="R17" s="21">
        <v>0</v>
      </c>
      <c r="S17" s="16">
        <v>4.32</v>
      </c>
      <c r="T17" s="17">
        <f t="shared" si="9"/>
        <v>4.3200000000000016E-2</v>
      </c>
      <c r="U17" s="22">
        <v>1</v>
      </c>
      <c r="V17" s="23">
        <f t="shared" ca="1" si="10"/>
        <v>2.9710921345612507</v>
      </c>
    </row>
    <row r="18" spans="1:22" ht="15.75" customHeight="1">
      <c r="A18" s="9">
        <v>17</v>
      </c>
      <c r="B18" s="10" t="str">
        <f ca="1">IFERROR(__xludf.DUMMYFUNCTION("GOOGLEFINANCE(C18, ""name"")"),"Apple Inc")</f>
        <v>Apple Inc</v>
      </c>
      <c r="C18" s="11" t="str">
        <f t="shared" si="0"/>
        <v>AAPL</v>
      </c>
      <c r="D18" s="12">
        <f t="shared" ca="1" si="1"/>
        <v>3.1106606745240182</v>
      </c>
      <c r="E18" s="9">
        <f ca="1">IFERROR(__xludf.DUMMYFUNCTION("GOOGLEFINANCE(C18, ""price"")"),144.87)</f>
        <v>144.87</v>
      </c>
      <c r="F18" s="13">
        <f t="shared" si="2"/>
        <v>0</v>
      </c>
      <c r="G18" s="13">
        <v>1</v>
      </c>
      <c r="H18" s="25">
        <f ca="1">E32</f>
        <v>4657.2099999999991</v>
      </c>
      <c r="I18" s="14" t="s">
        <v>36</v>
      </c>
      <c r="J18" s="15">
        <f t="shared" si="3"/>
        <v>3.3333333333333335</v>
      </c>
      <c r="K18" s="16">
        <f t="shared" ca="1" si="4"/>
        <v>0.2226726588093153</v>
      </c>
      <c r="L18" s="16">
        <f t="shared" si="5"/>
        <v>4.32</v>
      </c>
      <c r="M18" s="17">
        <f t="shared" si="6"/>
        <v>4.3200000000000016E-2</v>
      </c>
      <c r="N18" s="18">
        <v>0</v>
      </c>
      <c r="O18" s="19">
        <f t="shared" ca="1" si="7"/>
        <v>0</v>
      </c>
      <c r="P18" s="19">
        <f t="shared" si="8"/>
        <v>0</v>
      </c>
      <c r="Q18" s="20" t="s">
        <v>34</v>
      </c>
      <c r="R18" s="21">
        <v>0</v>
      </c>
      <c r="S18" s="16">
        <v>2.77</v>
      </c>
      <c r="T18" s="17">
        <f t="shared" si="9"/>
        <v>2.7700000000000009E-2</v>
      </c>
      <c r="U18" s="22">
        <v>1</v>
      </c>
      <c r="V18" s="23">
        <f t="shared" ca="1" si="10"/>
        <v>3.1106606745240182</v>
      </c>
    </row>
    <row r="19" spans="1:22" ht="15.75" customHeight="1">
      <c r="A19" s="9">
        <v>18</v>
      </c>
      <c r="B19" s="10" t="str">
        <f ca="1">IFERROR(__xludf.DUMMYFUNCTION("GOOGLEFINANCE(C19, ""name"")"),"Boeing Co")</f>
        <v>Boeing Co</v>
      </c>
      <c r="C19" s="11" t="str">
        <f t="shared" si="0"/>
        <v>BA</v>
      </c>
      <c r="D19" s="12">
        <f t="shared" ca="1" si="1"/>
        <v>3.1059368162483554</v>
      </c>
      <c r="E19" s="24">
        <f ca="1">IFERROR(__xludf.DUMMYFUNCTION("GOOGLEFINANCE(C19, ""price"")"),144.65)</f>
        <v>144.65</v>
      </c>
      <c r="F19" s="13">
        <f t="shared" si="2"/>
        <v>0</v>
      </c>
      <c r="G19" s="13">
        <v>1</v>
      </c>
      <c r="H19" s="25">
        <f ca="1">E32</f>
        <v>4657.2099999999991</v>
      </c>
      <c r="I19" s="14" t="s">
        <v>31</v>
      </c>
      <c r="J19" s="15">
        <f t="shared" si="3"/>
        <v>3.3333333333333335</v>
      </c>
      <c r="K19" s="16">
        <f t="shared" ca="1" si="4"/>
        <v>0.2273965170849781</v>
      </c>
      <c r="L19" s="16">
        <f t="shared" si="5"/>
        <v>2</v>
      </c>
      <c r="M19" s="17">
        <f t="shared" si="6"/>
        <v>2.0000000000000007E-2</v>
      </c>
      <c r="N19" s="18">
        <v>0</v>
      </c>
      <c r="O19" s="19">
        <f t="shared" ca="1" si="7"/>
        <v>0</v>
      </c>
      <c r="P19" s="19">
        <f t="shared" si="8"/>
        <v>0</v>
      </c>
      <c r="Q19" s="20" t="s">
        <v>37</v>
      </c>
      <c r="R19" s="21">
        <v>0</v>
      </c>
      <c r="S19" s="16">
        <v>1.77</v>
      </c>
      <c r="T19" s="17">
        <f t="shared" si="9"/>
        <v>1.7700000000000004E-2</v>
      </c>
      <c r="U19" s="22">
        <v>1</v>
      </c>
      <c r="V19" s="23">
        <f t="shared" ca="1" si="10"/>
        <v>3.1059368162483554</v>
      </c>
    </row>
    <row r="20" spans="1:22" ht="15.75" customHeight="1">
      <c r="A20" s="9">
        <v>19</v>
      </c>
      <c r="B20" s="10" t="str">
        <f ca="1">IFERROR(__xludf.DUMMYFUNCTION("GOOGLEFINANCE(C20, ""name"")"),"3M Co")</f>
        <v>3M Co</v>
      </c>
      <c r="C20" s="11" t="str">
        <f t="shared" si="0"/>
        <v>MMM</v>
      </c>
      <c r="D20" s="12">
        <f t="shared" ca="1" si="1"/>
        <v>2.7576596288335731</v>
      </c>
      <c r="E20" s="9">
        <f ca="1">IFERROR(__xludf.DUMMYFUNCTION("GOOGLEFINANCE(C20, ""price"")"),128.43)</f>
        <v>128.43</v>
      </c>
      <c r="F20" s="13">
        <f t="shared" si="2"/>
        <v>0</v>
      </c>
      <c r="G20" s="13">
        <v>1</v>
      </c>
      <c r="H20" s="25">
        <f ca="1">E32</f>
        <v>4657.2099999999991</v>
      </c>
      <c r="I20" s="14" t="s">
        <v>38</v>
      </c>
      <c r="J20" s="15">
        <f t="shared" si="3"/>
        <v>3.3333333333333335</v>
      </c>
      <c r="K20" s="16">
        <f t="shared" ca="1" si="4"/>
        <v>0.57567370449976041</v>
      </c>
      <c r="L20" s="16">
        <f t="shared" si="5"/>
        <v>2.9</v>
      </c>
      <c r="M20" s="17">
        <f t="shared" si="6"/>
        <v>2.9000000000000008E-2</v>
      </c>
      <c r="N20" s="18">
        <v>0</v>
      </c>
      <c r="O20" s="19">
        <f t="shared" ca="1" si="7"/>
        <v>0</v>
      </c>
      <c r="P20" s="19">
        <f t="shared" si="8"/>
        <v>0</v>
      </c>
      <c r="Q20" s="20" t="s">
        <v>38</v>
      </c>
      <c r="R20" s="21">
        <v>0</v>
      </c>
      <c r="S20" s="16">
        <v>2.9</v>
      </c>
      <c r="T20" s="17">
        <f t="shared" si="9"/>
        <v>2.9000000000000008E-2</v>
      </c>
      <c r="U20" s="22">
        <v>1</v>
      </c>
      <c r="V20" s="23">
        <f t="shared" ca="1" si="10"/>
        <v>2.7576596288335731</v>
      </c>
    </row>
    <row r="21" spans="1:22" ht="15.75" customHeight="1">
      <c r="A21" s="9">
        <v>20</v>
      </c>
      <c r="B21" s="10" t="str">
        <f ca="1">IFERROR(__xludf.DUMMYFUNCTION("GOOGLEFINANCE(C21, ""name"")"),"Walmart Inc")</f>
        <v>Walmart Inc</v>
      </c>
      <c r="C21" s="11" t="str">
        <f t="shared" si="0"/>
        <v>WMT</v>
      </c>
      <c r="D21" s="12">
        <f t="shared" ca="1" si="1"/>
        <v>2.6741332256866244</v>
      </c>
      <c r="E21" s="9">
        <f ca="1">IFERROR(__xludf.DUMMYFUNCTION("GOOGLEFINANCE(C21, ""price"")"),124.54)</f>
        <v>124.54</v>
      </c>
      <c r="F21" s="13">
        <f t="shared" si="2"/>
        <v>0</v>
      </c>
      <c r="G21" s="13">
        <v>1</v>
      </c>
      <c r="H21" s="25">
        <f ca="1">E32</f>
        <v>4657.2099999999991</v>
      </c>
      <c r="I21" s="14" t="s">
        <v>37</v>
      </c>
      <c r="J21" s="15">
        <f t="shared" si="3"/>
        <v>3.3333333333333335</v>
      </c>
      <c r="K21" s="16">
        <f t="shared" ca="1" si="4"/>
        <v>0.65920010764670911</v>
      </c>
      <c r="L21" s="16">
        <f t="shared" si="5"/>
        <v>1.77</v>
      </c>
      <c r="M21" s="17">
        <f t="shared" si="6"/>
        <v>1.7700000000000004E-2</v>
      </c>
      <c r="N21" s="18">
        <v>0</v>
      </c>
      <c r="O21" s="19">
        <f t="shared" ca="1" si="7"/>
        <v>0</v>
      </c>
      <c r="P21" s="19">
        <f t="shared" si="8"/>
        <v>0</v>
      </c>
      <c r="Q21" s="20" t="s">
        <v>39</v>
      </c>
      <c r="R21" s="21">
        <v>0</v>
      </c>
      <c r="S21" s="16">
        <v>1.5</v>
      </c>
      <c r="T21" s="17">
        <f t="shared" si="9"/>
        <v>1.5000000000000005E-2</v>
      </c>
      <c r="U21" s="22">
        <v>1</v>
      </c>
      <c r="V21" s="23">
        <f t="shared" ca="1" si="10"/>
        <v>2.6741332256866244</v>
      </c>
    </row>
    <row r="22" spans="1:22" ht="15.75" customHeight="1">
      <c r="A22" s="9">
        <v>21</v>
      </c>
      <c r="B22" s="10" t="str">
        <f ca="1">IFERROR(__xludf.DUMMYFUNCTION("GOOGLEFINANCE(C22, ""name"")"),"JPMorgan Chase &amp; Co")</f>
        <v>JPMorgan Chase &amp; Co</v>
      </c>
      <c r="C22" s="11" t="str">
        <f t="shared" si="0"/>
        <v>JPM</v>
      </c>
      <c r="D22" s="12">
        <f t="shared" ca="1" si="1"/>
        <v>2.39070172914685</v>
      </c>
      <c r="E22" s="9">
        <f ca="1">IFERROR(__xludf.DUMMYFUNCTION("GOOGLEFINANCE(C22, ""price"")"),111.34)</f>
        <v>111.34</v>
      </c>
      <c r="F22" s="13">
        <f t="shared" si="2"/>
        <v>0</v>
      </c>
      <c r="G22" s="13">
        <v>1</v>
      </c>
      <c r="H22" s="25">
        <f ca="1">E32</f>
        <v>4657.2099999999991</v>
      </c>
      <c r="I22" s="14" t="s">
        <v>40</v>
      </c>
      <c r="J22" s="15">
        <f t="shared" si="3"/>
        <v>3.3333333333333335</v>
      </c>
      <c r="K22" s="16">
        <f t="shared" ca="1" si="4"/>
        <v>0.94263160418648351</v>
      </c>
      <c r="L22" s="16">
        <f t="shared" si="5"/>
        <v>4.96</v>
      </c>
      <c r="M22" s="17">
        <f t="shared" si="6"/>
        <v>4.9600000000000012E-2</v>
      </c>
      <c r="N22" s="18">
        <v>0</v>
      </c>
      <c r="O22" s="19">
        <f t="shared" ca="1" si="7"/>
        <v>0</v>
      </c>
      <c r="P22" s="19">
        <f t="shared" si="8"/>
        <v>0</v>
      </c>
      <c r="Q22" s="20" t="s">
        <v>41</v>
      </c>
      <c r="R22" s="21">
        <v>0</v>
      </c>
      <c r="S22" s="16">
        <v>2.4</v>
      </c>
      <c r="T22" s="17">
        <f t="shared" si="9"/>
        <v>2.4000000000000007E-2</v>
      </c>
      <c r="U22" s="22">
        <v>0</v>
      </c>
      <c r="V22" s="23">
        <f t="shared" ca="1" si="10"/>
        <v>0</v>
      </c>
    </row>
    <row r="23" spans="1:22" ht="15.75" customHeight="1">
      <c r="A23" s="9">
        <v>22</v>
      </c>
      <c r="B23" s="10" t="str">
        <f ca="1">IFERROR(__xludf.DUMMYFUNCTION("GOOGLEFINANCE(C23, ""name"")"),"Nike Inc")</f>
        <v>Nike Inc</v>
      </c>
      <c r="C23" s="11" t="str">
        <f t="shared" si="0"/>
        <v>NKE</v>
      </c>
      <c r="D23" s="12">
        <f t="shared" ca="1" si="1"/>
        <v>2.2107656730102359</v>
      </c>
      <c r="E23" s="9">
        <f ca="1">IFERROR(__xludf.DUMMYFUNCTION("GOOGLEFINANCE(C23, ""price"")"),102.96)</f>
        <v>102.96</v>
      </c>
      <c r="F23" s="13">
        <f t="shared" si="2"/>
        <v>0</v>
      </c>
      <c r="G23" s="13">
        <v>1</v>
      </c>
      <c r="H23" s="25">
        <f ca="1">E32</f>
        <v>4657.2099999999991</v>
      </c>
      <c r="I23" s="14" t="s">
        <v>39</v>
      </c>
      <c r="J23" s="15">
        <f t="shared" si="3"/>
        <v>3.3333333333333335</v>
      </c>
      <c r="K23" s="16">
        <f t="shared" ca="1" si="4"/>
        <v>1.1225676603230976</v>
      </c>
      <c r="L23" s="16">
        <f t="shared" si="5"/>
        <v>1.5</v>
      </c>
      <c r="M23" s="17">
        <f t="shared" si="6"/>
        <v>1.5000000000000005E-2</v>
      </c>
      <c r="N23" s="18">
        <v>0</v>
      </c>
      <c r="O23" s="19">
        <f t="shared" ca="1" si="7"/>
        <v>0</v>
      </c>
      <c r="P23" s="19">
        <f t="shared" si="8"/>
        <v>0</v>
      </c>
      <c r="Q23" s="20" t="s">
        <v>35</v>
      </c>
      <c r="R23" s="21">
        <v>0</v>
      </c>
      <c r="S23" s="16">
        <v>0.97</v>
      </c>
      <c r="T23" s="17">
        <f t="shared" si="9"/>
        <v>9.700000000000002E-3</v>
      </c>
      <c r="U23" s="22">
        <v>1</v>
      </c>
      <c r="V23" s="23">
        <f t="shared" ca="1" si="10"/>
        <v>2.2107656730102359</v>
      </c>
    </row>
    <row r="24" spans="1:22" ht="15.75" customHeight="1">
      <c r="A24" s="9">
        <v>23</v>
      </c>
      <c r="B24" s="10" t="str">
        <f ca="1">IFERROR(__xludf.DUMMYFUNCTION("GOOGLEFINANCE(C24, ""name"")"),"Walt Disney Co")</f>
        <v>Walt Disney Co</v>
      </c>
      <c r="C24" s="11" t="str">
        <f t="shared" si="0"/>
        <v>DIS</v>
      </c>
      <c r="D24" s="12">
        <f t="shared" ca="1" si="1"/>
        <v>1.9726402717506839</v>
      </c>
      <c r="E24" s="9">
        <f ca="1">IFERROR(__xludf.DUMMYFUNCTION("GOOGLEFINANCE(C24, ""price"")"),91.87)</f>
        <v>91.87</v>
      </c>
      <c r="F24" s="13">
        <f t="shared" si="2"/>
        <v>0</v>
      </c>
      <c r="G24" s="13">
        <v>1</v>
      </c>
      <c r="H24" s="25">
        <f ca="1">E32</f>
        <v>4657.2099999999991</v>
      </c>
      <c r="I24" s="14" t="s">
        <v>41</v>
      </c>
      <c r="J24" s="15">
        <f t="shared" si="3"/>
        <v>3.3333333333333335</v>
      </c>
      <c r="K24" s="16">
        <f t="shared" ca="1" si="4"/>
        <v>1.3606930615826496</v>
      </c>
      <c r="L24" s="16">
        <f t="shared" si="5"/>
        <v>2.4</v>
      </c>
      <c r="M24" s="17">
        <f t="shared" si="6"/>
        <v>2.4000000000000007E-2</v>
      </c>
      <c r="N24" s="18">
        <v>0</v>
      </c>
      <c r="O24" s="19">
        <f t="shared" ca="1" si="7"/>
        <v>0</v>
      </c>
      <c r="P24" s="19">
        <f t="shared" si="8"/>
        <v>0</v>
      </c>
      <c r="Q24" s="20" t="s">
        <v>40</v>
      </c>
      <c r="R24" s="21">
        <v>0</v>
      </c>
      <c r="S24" s="16">
        <v>4.96</v>
      </c>
      <c r="T24" s="17">
        <f t="shared" si="9"/>
        <v>4.9600000000000012E-2</v>
      </c>
      <c r="U24" s="22">
        <v>0</v>
      </c>
      <c r="V24" s="23">
        <f t="shared" ca="1" si="10"/>
        <v>0</v>
      </c>
    </row>
    <row r="25" spans="1:22" ht="15.75" customHeight="1">
      <c r="A25" s="9">
        <v>24</v>
      </c>
      <c r="B25" s="10" t="str">
        <f ca="1">IFERROR(__xludf.DUMMYFUNCTION("GOOGLEFINANCE(C25, ""name"")"),"Merck &amp; Co., Inc.")</f>
        <v>Merck &amp; Co., Inc.</v>
      </c>
      <c r="C25" s="11" t="str">
        <f t="shared" si="0"/>
        <v>MRK</v>
      </c>
      <c r="D25" s="12">
        <f t="shared" ca="1" si="1"/>
        <v>2.0125783462631062</v>
      </c>
      <c r="E25" s="9">
        <f ca="1">IFERROR(__xludf.DUMMYFUNCTION("GOOGLEFINANCE(C25, ""price"")"),93.73)</f>
        <v>93.73</v>
      </c>
      <c r="F25" s="13">
        <f t="shared" si="2"/>
        <v>0</v>
      </c>
      <c r="G25" s="13">
        <v>1</v>
      </c>
      <c r="H25" s="25">
        <f ca="1">E32</f>
        <v>4657.2099999999991</v>
      </c>
      <c r="I25" s="14" t="s">
        <v>42</v>
      </c>
      <c r="J25" s="15">
        <f t="shared" si="3"/>
        <v>3.3333333333333335</v>
      </c>
      <c r="K25" s="16">
        <f t="shared" ca="1" si="4"/>
        <v>1.3207549870702273</v>
      </c>
      <c r="L25" s="16">
        <f t="shared" si="5"/>
        <v>3.19</v>
      </c>
      <c r="M25" s="17">
        <f t="shared" si="6"/>
        <v>3.1900000000000012E-2</v>
      </c>
      <c r="N25" s="18">
        <v>0</v>
      </c>
      <c r="O25" s="19">
        <f t="shared" ca="1" si="7"/>
        <v>0</v>
      </c>
      <c r="P25" s="19">
        <f t="shared" si="8"/>
        <v>0</v>
      </c>
      <c r="Q25" s="20" t="s">
        <v>42</v>
      </c>
      <c r="R25" s="21">
        <v>0</v>
      </c>
      <c r="S25" s="16">
        <v>3.19</v>
      </c>
      <c r="T25" s="17">
        <f t="shared" si="9"/>
        <v>3.1900000000000012E-2</v>
      </c>
      <c r="U25" s="22">
        <v>1</v>
      </c>
      <c r="V25" s="23">
        <f t="shared" ca="1" si="10"/>
        <v>2.0125783462631062</v>
      </c>
    </row>
    <row r="26" spans="1:22" ht="15.75" customHeight="1">
      <c r="A26" s="9">
        <v>25</v>
      </c>
      <c r="B26" s="10" t="str">
        <f ca="1">IFERROR(__xludf.DUMMYFUNCTION("GOOGLEFINANCE(C26, ""name"")"),"Coca-Cola Co")</f>
        <v>Coca-Cola Co</v>
      </c>
      <c r="C26" s="11" t="str">
        <f t="shared" si="0"/>
        <v>KO</v>
      </c>
      <c r="D26" s="12">
        <f t="shared" ca="1" si="1"/>
        <v>1.3385696586582956</v>
      </c>
      <c r="E26" s="9">
        <f ca="1">IFERROR(__xludf.DUMMYFUNCTION("GOOGLEFINANCE(C26, ""price"")"),62.34)</f>
        <v>62.34</v>
      </c>
      <c r="F26" s="13">
        <f t="shared" si="2"/>
        <v>1</v>
      </c>
      <c r="G26" s="13">
        <v>1</v>
      </c>
      <c r="H26" s="25">
        <f ca="1">E32</f>
        <v>4657.2099999999991</v>
      </c>
      <c r="I26" s="14" t="s">
        <v>43</v>
      </c>
      <c r="J26" s="15">
        <f t="shared" si="3"/>
        <v>3.3333333333333335</v>
      </c>
      <c r="K26" s="16">
        <f t="shared" ca="1" si="4"/>
        <v>1.9947636746750379</v>
      </c>
      <c r="L26" s="16">
        <f t="shared" si="5"/>
        <v>3</v>
      </c>
      <c r="M26" s="17">
        <f t="shared" si="6"/>
        <v>3.0000000000000009E-2</v>
      </c>
      <c r="N26" s="18">
        <v>0</v>
      </c>
      <c r="O26" s="19">
        <f t="shared" ca="1" si="7"/>
        <v>0</v>
      </c>
      <c r="P26" s="19">
        <f t="shared" si="8"/>
        <v>0</v>
      </c>
      <c r="Q26" s="20" t="s">
        <v>44</v>
      </c>
      <c r="R26" s="21">
        <v>1</v>
      </c>
      <c r="S26" s="16">
        <v>4.3899999999999997</v>
      </c>
      <c r="T26" s="17">
        <f t="shared" si="9"/>
        <v>4.3900000000000008E-2</v>
      </c>
      <c r="U26" s="22">
        <v>0</v>
      </c>
      <c r="V26" s="23">
        <f t="shared" ca="1" si="10"/>
        <v>0</v>
      </c>
    </row>
    <row r="27" spans="1:22" ht="15.75" customHeight="1">
      <c r="A27" s="9">
        <v>26</v>
      </c>
      <c r="B27" s="10" t="str">
        <f ca="1">IFERROR(__xludf.DUMMYFUNCTION("GOOGLEFINANCE(C27, ""name"")"),"Dow Inc")</f>
        <v>Dow Inc</v>
      </c>
      <c r="C27" s="11" t="str">
        <f t="shared" si="0"/>
        <v>DOW</v>
      </c>
      <c r="D27" s="12">
        <f t="shared" ca="1" si="1"/>
        <v>1.0641564370084238</v>
      </c>
      <c r="E27" s="9">
        <f ca="1">IFERROR(__xludf.DUMMYFUNCTION("GOOGLEFINANCE(C27, ""price"")"),49.56)</f>
        <v>49.56</v>
      </c>
      <c r="F27" s="13">
        <f t="shared" si="2"/>
        <v>1</v>
      </c>
      <c r="G27" s="13">
        <v>1</v>
      </c>
      <c r="H27" s="25">
        <f ca="1">E32</f>
        <v>4657.2099999999991</v>
      </c>
      <c r="I27" s="14" t="s">
        <v>44</v>
      </c>
      <c r="J27" s="15">
        <f t="shared" si="3"/>
        <v>3.3333333333333335</v>
      </c>
      <c r="K27" s="16">
        <f t="shared" ca="1" si="4"/>
        <v>2.2691768963249097</v>
      </c>
      <c r="L27" s="16">
        <f t="shared" si="5"/>
        <v>4.3899999999999997</v>
      </c>
      <c r="M27" s="17">
        <f t="shared" si="6"/>
        <v>4.3900000000000008E-2</v>
      </c>
      <c r="N27" s="18">
        <v>0</v>
      </c>
      <c r="O27" s="19">
        <f t="shared" ca="1" si="7"/>
        <v>0</v>
      </c>
      <c r="P27" s="19">
        <f t="shared" si="8"/>
        <v>0</v>
      </c>
      <c r="Q27" s="20" t="s">
        <v>43</v>
      </c>
      <c r="R27" s="26">
        <v>1</v>
      </c>
      <c r="S27" s="16">
        <v>3</v>
      </c>
      <c r="T27" s="17">
        <f t="shared" si="9"/>
        <v>3.0000000000000009E-2</v>
      </c>
      <c r="U27" s="22">
        <v>0</v>
      </c>
      <c r="V27" s="23">
        <f t="shared" ca="1" si="10"/>
        <v>0</v>
      </c>
    </row>
    <row r="28" spans="1:22" ht="15.75" customHeight="1">
      <c r="A28" s="9">
        <v>27</v>
      </c>
      <c r="B28" s="10" t="str">
        <f ca="1">IFERROR(__xludf.DUMMYFUNCTION("GOOGLEFINANCE(C28, ""name"")"),"Verizon Communications Inc.")</f>
        <v>Verizon Communications Inc.</v>
      </c>
      <c r="C28" s="11" t="str">
        <f t="shared" si="0"/>
        <v>VZ</v>
      </c>
      <c r="D28" s="12">
        <f t="shared" ca="1" si="1"/>
        <v>1.0849843575874829</v>
      </c>
      <c r="E28" s="9">
        <f ca="1">IFERROR(__xludf.DUMMYFUNCTION("GOOGLEFINANCE(C28, ""price"")"),50.53)</f>
        <v>50.53</v>
      </c>
      <c r="F28" s="13">
        <f t="shared" si="2"/>
        <v>0</v>
      </c>
      <c r="G28" s="13">
        <v>1</v>
      </c>
      <c r="H28" s="25">
        <f ca="1">E32</f>
        <v>4657.2099999999991</v>
      </c>
      <c r="I28" s="14" t="s">
        <v>45</v>
      </c>
      <c r="J28" s="15">
        <f t="shared" si="3"/>
        <v>3.3333333333333335</v>
      </c>
      <c r="K28" s="16">
        <f t="shared" ca="1" si="4"/>
        <v>2.2483489757458504</v>
      </c>
      <c r="L28" s="16">
        <f t="shared" si="5"/>
        <v>2.78</v>
      </c>
      <c r="M28" s="17">
        <f t="shared" si="6"/>
        <v>2.7800000000000005E-2</v>
      </c>
      <c r="N28" s="18">
        <v>0</v>
      </c>
      <c r="O28" s="19">
        <f t="shared" ca="1" si="7"/>
        <v>0</v>
      </c>
      <c r="P28" s="19">
        <f t="shared" si="8"/>
        <v>0</v>
      </c>
      <c r="Q28" s="20" t="s">
        <v>45</v>
      </c>
      <c r="R28" s="21">
        <v>0</v>
      </c>
      <c r="S28" s="16">
        <v>2.78</v>
      </c>
      <c r="T28" s="17">
        <f t="shared" si="9"/>
        <v>2.7800000000000005E-2</v>
      </c>
      <c r="U28" s="22">
        <v>1</v>
      </c>
      <c r="V28" s="23">
        <f t="shared" ca="1" si="10"/>
        <v>1.0849843575874829</v>
      </c>
    </row>
    <row r="29" spans="1:22" ht="15.75" customHeight="1">
      <c r="A29" s="9">
        <v>28</v>
      </c>
      <c r="B29" s="10" t="str">
        <f ca="1">IFERROR(__xludf.DUMMYFUNCTION("GOOGLEFINANCE(C29, ""name"")"),"Cisco Systems Inc")</f>
        <v>Cisco Systems Inc</v>
      </c>
      <c r="C29" s="11" t="str">
        <f t="shared" si="0"/>
        <v>CSCO</v>
      </c>
      <c r="D29" s="12">
        <f t="shared" ca="1" si="1"/>
        <v>0.90676606809656435</v>
      </c>
      <c r="E29" s="9">
        <f ca="1">IFERROR(__xludf.DUMMYFUNCTION("GOOGLEFINANCE(C29, ""price"")"),42.23)</f>
        <v>42.23</v>
      </c>
      <c r="F29" s="13">
        <f t="shared" si="2"/>
        <v>0</v>
      </c>
      <c r="G29" s="13">
        <v>1</v>
      </c>
      <c r="H29" s="25">
        <f ca="1">E32</f>
        <v>4657.2099999999991</v>
      </c>
      <c r="I29" s="14" t="s">
        <v>46</v>
      </c>
      <c r="J29" s="15">
        <f t="shared" si="3"/>
        <v>3.3333333333333335</v>
      </c>
      <c r="K29" s="16">
        <f t="shared" ca="1" si="4"/>
        <v>2.4265672652367689</v>
      </c>
      <c r="L29" s="16">
        <f t="shared" si="5"/>
        <v>4.3</v>
      </c>
      <c r="M29" s="17">
        <f t="shared" si="6"/>
        <v>4.300000000000001E-2</v>
      </c>
      <c r="N29" s="18">
        <v>0</v>
      </c>
      <c r="O29" s="19">
        <f t="shared" ca="1" si="7"/>
        <v>0</v>
      </c>
      <c r="P29" s="19">
        <f t="shared" si="8"/>
        <v>0</v>
      </c>
      <c r="Q29" s="20" t="s">
        <v>46</v>
      </c>
      <c r="R29" s="21">
        <v>0</v>
      </c>
      <c r="S29" s="16">
        <v>4.3</v>
      </c>
      <c r="T29" s="17">
        <f t="shared" si="9"/>
        <v>4.300000000000001E-2</v>
      </c>
      <c r="U29" s="22">
        <v>1</v>
      </c>
      <c r="V29" s="23">
        <f t="shared" ca="1" si="10"/>
        <v>0.90676606809656435</v>
      </c>
    </row>
    <row r="30" spans="1:22" ht="15.75" customHeight="1">
      <c r="A30" s="9">
        <v>29</v>
      </c>
      <c r="B30" s="10" t="str">
        <f ca="1">IFERROR(__xludf.DUMMYFUNCTION("GOOGLEFINANCE(C30, ""name"")"),"Walgreens Boots Alliance Inc")</f>
        <v>Walgreens Boots Alliance Inc</v>
      </c>
      <c r="C30" s="11" t="str">
        <f t="shared" si="0"/>
        <v>WBA</v>
      </c>
      <c r="D30" s="12">
        <f t="shared" ca="1" si="1"/>
        <v>0.80455895267767619</v>
      </c>
      <c r="E30" s="9">
        <f ca="1">IFERROR(__xludf.DUMMYFUNCTION("GOOGLEFINANCE(C30, ""price"")"),37.47)</f>
        <v>37.47</v>
      </c>
      <c r="F30" s="13">
        <f t="shared" si="2"/>
        <v>1</v>
      </c>
      <c r="G30" s="13">
        <v>1</v>
      </c>
      <c r="H30" s="25">
        <f ca="1">E32</f>
        <v>4657.2099999999991</v>
      </c>
      <c r="I30" s="14" t="s">
        <v>47</v>
      </c>
      <c r="J30" s="15">
        <f t="shared" si="3"/>
        <v>3.3333333333333335</v>
      </c>
      <c r="K30" s="16">
        <f t="shared" ca="1" si="4"/>
        <v>2.5287743806556575</v>
      </c>
      <c r="L30" s="16">
        <f t="shared" si="5"/>
        <v>2.95</v>
      </c>
      <c r="M30" s="17">
        <f t="shared" si="6"/>
        <v>2.9500000000000009E-2</v>
      </c>
      <c r="N30" s="18">
        <v>0</v>
      </c>
      <c r="O30" s="19">
        <f t="shared" ca="1" si="7"/>
        <v>0</v>
      </c>
      <c r="P30" s="19">
        <f t="shared" si="8"/>
        <v>0</v>
      </c>
      <c r="Q30" s="20" t="s">
        <v>48</v>
      </c>
      <c r="R30" s="26">
        <v>1</v>
      </c>
      <c r="S30" s="16">
        <v>2.4900000000000002</v>
      </c>
      <c r="T30" s="17">
        <f t="shared" si="9"/>
        <v>2.4900000000000009E-2</v>
      </c>
      <c r="U30" s="22">
        <v>1</v>
      </c>
      <c r="V30" s="23">
        <f t="shared" ca="1" si="10"/>
        <v>0.80455895267767619</v>
      </c>
    </row>
    <row r="31" spans="1:22" ht="15.75" customHeight="1">
      <c r="A31" s="9">
        <v>30</v>
      </c>
      <c r="B31" s="10" t="str">
        <f ca="1">IFERROR(__xludf.DUMMYFUNCTION("GOOGLEFINANCE(C31, ""name"")"),"Intel Corporation")</f>
        <v>Intel Corporation</v>
      </c>
      <c r="C31" s="11" t="str">
        <f t="shared" si="0"/>
        <v>INTC</v>
      </c>
      <c r="D31" s="12">
        <f t="shared" ca="1" si="1"/>
        <v>0.79597011944919827</v>
      </c>
      <c r="E31" s="9">
        <f ca="1">IFERROR(__xludf.DUMMYFUNCTION("GOOGLEFINANCE(C31, ""price"")"),37.07)</f>
        <v>37.07</v>
      </c>
      <c r="F31" s="13">
        <f t="shared" si="2"/>
        <v>1</v>
      </c>
      <c r="G31" s="13">
        <v>1</v>
      </c>
      <c r="H31" s="25">
        <f ca="1">E32</f>
        <v>4657.2099999999991</v>
      </c>
      <c r="I31" s="14" t="s">
        <v>48</v>
      </c>
      <c r="J31" s="15">
        <f t="shared" si="3"/>
        <v>3.3333333333333335</v>
      </c>
      <c r="K31" s="16">
        <f t="shared" ca="1" si="4"/>
        <v>2.5373632138841353</v>
      </c>
      <c r="L31" s="16">
        <f t="shared" si="5"/>
        <v>2.4900000000000002</v>
      </c>
      <c r="M31" s="17">
        <f t="shared" si="6"/>
        <v>2.4900000000000009E-2</v>
      </c>
      <c r="N31" s="18">
        <v>0</v>
      </c>
      <c r="O31" s="19">
        <f t="shared" ca="1" si="7"/>
        <v>0</v>
      </c>
      <c r="P31" s="19">
        <f t="shared" si="8"/>
        <v>0</v>
      </c>
      <c r="Q31" s="20" t="s">
        <v>47</v>
      </c>
      <c r="R31" s="26">
        <v>1</v>
      </c>
      <c r="S31" s="16">
        <v>2.95</v>
      </c>
      <c r="T31" s="17">
        <f t="shared" si="9"/>
        <v>2.9500000000000009E-2</v>
      </c>
      <c r="U31" s="22">
        <v>0</v>
      </c>
      <c r="V31" s="23">
        <f t="shared" ca="1" si="10"/>
        <v>0</v>
      </c>
    </row>
    <row r="32" spans="1:22" ht="15.75" customHeight="1">
      <c r="A32" s="9"/>
      <c r="B32" s="19"/>
      <c r="C32" s="9"/>
      <c r="D32" s="28">
        <f t="shared" ref="D32:G32" ca="1" si="11">SUM(D2:D31)</f>
        <v>100.00000000000001</v>
      </c>
      <c r="E32" s="29">
        <f t="shared" ca="1" si="11"/>
        <v>4657.2099999999991</v>
      </c>
      <c r="F32" s="30">
        <f t="shared" si="11"/>
        <v>8</v>
      </c>
      <c r="G32" s="30">
        <f t="shared" si="11"/>
        <v>30</v>
      </c>
      <c r="H32" s="29"/>
      <c r="I32" s="19"/>
      <c r="J32" s="31">
        <f t="shared" ref="J32:K32" si="12">SUM(J2:J31)</f>
        <v>99.999999999999972</v>
      </c>
      <c r="K32" s="16">
        <f t="shared" ca="1" si="12"/>
        <v>43.461471567741199</v>
      </c>
      <c r="L32" s="32">
        <f>AVERAGE(L2:L31)</f>
        <v>2.3196666666666661</v>
      </c>
      <c r="M32" s="17">
        <f>SUM(M2:M31)</f>
        <v>0.69590000000000041</v>
      </c>
      <c r="N32" s="19">
        <f t="shared" ref="N32:P32" si="13">AVERAGE(N2:N31)</f>
        <v>0</v>
      </c>
      <c r="O32" s="19">
        <f t="shared" ca="1" si="13"/>
        <v>0</v>
      </c>
      <c r="P32" s="19">
        <f t="shared" si="13"/>
        <v>0</v>
      </c>
      <c r="Q32" s="33"/>
      <c r="R32" s="21">
        <f>SUM(R2:R31)</f>
        <v>8</v>
      </c>
      <c r="S32" s="32">
        <f>AVERAGE(S2:S31)</f>
        <v>2.319666666666667</v>
      </c>
      <c r="T32" s="34">
        <f>SUM(T2:T31)</f>
        <v>0.69590000000000041</v>
      </c>
      <c r="V32" s="23">
        <f ca="1">SUM(V2:V31)</f>
        <v>68.14573532222083</v>
      </c>
    </row>
    <row r="33" spans="1:20" ht="15.75" customHeight="1">
      <c r="A33" s="9"/>
      <c r="B33" s="9" t="s">
        <v>49</v>
      </c>
      <c r="C33" s="9"/>
      <c r="D33" s="9"/>
      <c r="E33" s="9"/>
      <c r="F33" s="9"/>
      <c r="G33" s="9"/>
      <c r="H33" s="9"/>
      <c r="I33" s="19"/>
      <c r="J33" s="31"/>
      <c r="K33" s="18"/>
      <c r="L33" s="35">
        <f>M32/G32</f>
        <v>2.3196666666666681E-2</v>
      </c>
      <c r="M33" s="18">
        <f t="shared" ref="M33:M34" si="14">L33*G33</f>
        <v>0</v>
      </c>
      <c r="N33" s="19"/>
      <c r="O33" s="36" t="s">
        <v>50</v>
      </c>
      <c r="P33" s="37">
        <f>SUM(P5:P31)</f>
        <v>0</v>
      </c>
    </row>
    <row r="34" spans="1:20" ht="15.75" customHeight="1">
      <c r="A34" s="9"/>
      <c r="B34" s="38">
        <f ca="1">IFERROR(__xludf.DUMMYFUNCTION("GOOGLEFINANCE(""CURRENCY:USDRUB"")"),58.4749)</f>
        <v>58.474899999999998</v>
      </c>
      <c r="C34" s="9"/>
      <c r="D34" s="19"/>
      <c r="E34" s="19"/>
      <c r="F34" s="9"/>
      <c r="G34" s="19"/>
      <c r="H34" s="9"/>
      <c r="I34" s="19"/>
      <c r="J34" s="31"/>
      <c r="K34" s="18"/>
      <c r="L34" s="35">
        <f>L33/100*90</f>
        <v>2.0877000000000014E-2</v>
      </c>
      <c r="M34" s="18">
        <f t="shared" si="14"/>
        <v>0</v>
      </c>
      <c r="N34" s="19"/>
      <c r="O34" s="19"/>
      <c r="P34" s="19"/>
    </row>
    <row r="35" spans="1:20" ht="15.75" customHeight="1">
      <c r="A35" s="39"/>
      <c r="B35" s="21"/>
      <c r="C35" s="39"/>
      <c r="D35" s="39"/>
      <c r="E35" s="39"/>
      <c r="F35" s="39"/>
      <c r="G35" s="39"/>
      <c r="H35" s="39"/>
      <c r="I35" s="21"/>
      <c r="J35" s="40"/>
    </row>
    <row r="36" spans="1:20" ht="15.75" customHeight="1">
      <c r="A36" s="39"/>
      <c r="B36" s="39"/>
      <c r="C36" s="41" t="s">
        <v>51</v>
      </c>
      <c r="D36" s="39"/>
      <c r="E36" s="39"/>
      <c r="F36" s="39"/>
      <c r="G36" s="42" t="s">
        <v>52</v>
      </c>
      <c r="H36" s="39"/>
      <c r="I36" s="21"/>
      <c r="J36" s="40"/>
    </row>
    <row r="37" spans="1:20" ht="15.75" customHeight="1">
      <c r="A37" s="39"/>
      <c r="B37" s="21"/>
      <c r="C37" s="41" t="s">
        <v>53</v>
      </c>
      <c r="E37" s="39"/>
      <c r="F37" s="39"/>
      <c r="G37" s="39"/>
      <c r="H37" s="39"/>
      <c r="I37" s="21"/>
      <c r="J37" s="40"/>
      <c r="O37" s="42" t="s">
        <v>54</v>
      </c>
    </row>
    <row r="38" spans="1:20" ht="15.75" customHeight="1">
      <c r="A38" s="39"/>
      <c r="B38" s="21"/>
      <c r="C38" s="41" t="s">
        <v>55</v>
      </c>
      <c r="D38" s="39"/>
      <c r="E38" s="39"/>
      <c r="F38" s="39"/>
      <c r="G38" s="39"/>
      <c r="H38" s="39"/>
      <c r="I38" s="21"/>
      <c r="J38" s="40"/>
    </row>
    <row r="39" spans="1:20" ht="15.75" customHeight="1">
      <c r="A39" s="39"/>
      <c r="B39" s="21"/>
      <c r="C39" s="41" t="s">
        <v>56</v>
      </c>
      <c r="D39" s="39"/>
      <c r="E39" s="39"/>
      <c r="F39" s="39"/>
      <c r="G39" s="39"/>
      <c r="H39" s="39"/>
      <c r="I39" s="21"/>
      <c r="J39" s="40"/>
    </row>
    <row r="40" spans="1:20" ht="15.75" customHeight="1">
      <c r="A40" s="39"/>
      <c r="B40" s="21"/>
      <c r="C40" s="41" t="s">
        <v>57</v>
      </c>
      <c r="D40" s="39"/>
      <c r="E40" s="39"/>
      <c r="F40" s="39"/>
      <c r="G40" s="39"/>
      <c r="H40" s="39"/>
      <c r="I40" s="21"/>
      <c r="J40" s="40"/>
      <c r="R40" s="21" t="s">
        <v>58</v>
      </c>
    </row>
    <row r="41" spans="1:20" ht="15.75" customHeight="1">
      <c r="A41" s="39"/>
      <c r="B41" s="21"/>
      <c r="C41" s="41" t="s">
        <v>59</v>
      </c>
      <c r="D41" s="39"/>
      <c r="E41" s="39"/>
      <c r="F41" s="39"/>
      <c r="G41" s="39"/>
      <c r="H41" s="39"/>
      <c r="I41" s="21"/>
      <c r="J41" s="40"/>
      <c r="R41" s="43" t="s">
        <v>60</v>
      </c>
      <c r="S41" s="44" t="s">
        <v>61</v>
      </c>
      <c r="T41" s="44" t="s">
        <v>62</v>
      </c>
    </row>
    <row r="42" spans="1:20" ht="15.75" customHeight="1">
      <c r="A42" s="39"/>
      <c r="B42" s="21"/>
      <c r="C42" s="45" t="s">
        <v>63</v>
      </c>
      <c r="D42" s="39"/>
      <c r="E42" s="39"/>
      <c r="F42" s="39"/>
      <c r="G42" s="39"/>
      <c r="H42" s="39"/>
      <c r="I42" s="21"/>
      <c r="J42" s="40"/>
      <c r="R42" s="46" t="s">
        <v>178</v>
      </c>
      <c r="S42" s="49" t="s">
        <v>178</v>
      </c>
      <c r="T42" s="49" t="s">
        <v>178</v>
      </c>
    </row>
    <row r="43" spans="1:20" ht="15.75" customHeight="1">
      <c r="A43" s="39"/>
      <c r="B43" s="21"/>
      <c r="C43" s="41" t="s">
        <v>64</v>
      </c>
      <c r="D43" s="39"/>
      <c r="E43" s="39"/>
      <c r="F43" s="39"/>
      <c r="G43" s="39"/>
      <c r="H43" s="39"/>
      <c r="I43" s="21"/>
      <c r="J43" s="40"/>
      <c r="R43" s="49" t="s">
        <v>178</v>
      </c>
      <c r="S43" s="49" t="s">
        <v>178</v>
      </c>
      <c r="T43" s="49" t="s">
        <v>178</v>
      </c>
    </row>
    <row r="44" spans="1:20" ht="15.75" customHeight="1">
      <c r="A44" s="39"/>
      <c r="B44" s="21"/>
      <c r="C44" s="45" t="s">
        <v>65</v>
      </c>
      <c r="D44" s="39"/>
      <c r="E44" s="39"/>
      <c r="F44" s="39"/>
      <c r="G44" s="39"/>
      <c r="H44" s="39"/>
      <c r="I44" s="21"/>
      <c r="J44" s="40"/>
      <c r="R44" s="49" t="s">
        <v>178</v>
      </c>
      <c r="S44" s="49" t="s">
        <v>178</v>
      </c>
      <c r="T44" s="49" t="s">
        <v>178</v>
      </c>
    </row>
    <row r="45" spans="1:20" ht="15.75" customHeight="1">
      <c r="A45" s="39"/>
      <c r="B45" s="21"/>
      <c r="C45" s="41" t="s">
        <v>66</v>
      </c>
      <c r="D45" s="39"/>
      <c r="E45" s="39"/>
      <c r="F45" s="39"/>
      <c r="G45" s="39"/>
      <c r="H45" s="39"/>
      <c r="I45" s="21"/>
      <c r="J45" s="40"/>
      <c r="M45" s="51" t="s">
        <v>67</v>
      </c>
      <c r="N45" s="49" t="s">
        <v>178</v>
      </c>
      <c r="R45" s="46"/>
      <c r="S45" s="53"/>
      <c r="T45" s="54"/>
    </row>
    <row r="46" spans="1:20" ht="15.75" customHeight="1">
      <c r="A46" s="39"/>
      <c r="B46" s="21"/>
      <c r="C46" s="41" t="s">
        <v>68</v>
      </c>
      <c r="D46" s="39"/>
      <c r="E46" s="39"/>
      <c r="F46" s="39"/>
      <c r="G46" s="39"/>
      <c r="H46" s="39"/>
      <c r="I46" s="21"/>
      <c r="J46" s="40"/>
      <c r="M46" s="51" t="s">
        <v>69</v>
      </c>
      <c r="N46" s="52" t="e">
        <f ca="1">N45/B34</f>
        <v>#VALUE!</v>
      </c>
      <c r="R46" s="46"/>
      <c r="S46" s="55"/>
      <c r="T46" s="56"/>
    </row>
    <row r="47" spans="1:20" ht="15.75" customHeight="1">
      <c r="A47" s="39"/>
      <c r="B47" s="21"/>
      <c r="C47" s="41" t="s">
        <v>70</v>
      </c>
      <c r="D47" s="39"/>
      <c r="E47" s="39"/>
      <c r="F47" s="39"/>
      <c r="G47" s="39"/>
      <c r="H47" s="39"/>
      <c r="I47" s="21"/>
      <c r="J47" s="40"/>
      <c r="M47" s="51" t="s">
        <v>71</v>
      </c>
      <c r="N47" s="52" t="e">
        <f ca="1">N46/100*S32</f>
        <v>#VALUE!</v>
      </c>
      <c r="R47" s="46"/>
      <c r="S47" s="55"/>
      <c r="T47" s="56"/>
    </row>
    <row r="48" spans="1:20" ht="15.75" customHeight="1">
      <c r="A48" s="39"/>
      <c r="B48" s="21"/>
      <c r="C48" s="41" t="s">
        <v>72</v>
      </c>
      <c r="D48" s="39"/>
      <c r="E48" s="39"/>
      <c r="F48" s="39"/>
      <c r="G48" s="39"/>
      <c r="H48" s="39"/>
      <c r="I48" s="21"/>
      <c r="J48" s="40"/>
      <c r="M48" s="51" t="s">
        <v>73</v>
      </c>
      <c r="N48" s="52" t="e">
        <f ca="1">N47/100*87</f>
        <v>#VALUE!</v>
      </c>
      <c r="R48" s="46"/>
      <c r="S48" s="55"/>
      <c r="T48" s="56"/>
    </row>
    <row r="49" spans="1:20" ht="15.75" customHeight="1">
      <c r="A49" s="39"/>
      <c r="B49" s="21"/>
      <c r="C49" s="41"/>
      <c r="D49" s="39"/>
      <c r="E49" s="39"/>
      <c r="F49" s="39"/>
      <c r="G49" s="57"/>
      <c r="H49" s="39"/>
      <c r="I49" s="21"/>
      <c r="J49" s="40"/>
      <c r="M49" s="51" t="s">
        <v>74</v>
      </c>
      <c r="N49" s="52" t="e">
        <f ca="1">N48/12</f>
        <v>#VALUE!</v>
      </c>
      <c r="R49" s="46"/>
      <c r="S49" s="58"/>
      <c r="T49" s="54"/>
    </row>
    <row r="50" spans="1:20" ht="15.75" customHeight="1">
      <c r="A50" s="39"/>
      <c r="B50" s="21"/>
      <c r="C50" s="39"/>
      <c r="D50" s="39"/>
      <c r="E50" s="39"/>
      <c r="F50" s="39"/>
      <c r="G50" s="39"/>
      <c r="H50" s="39"/>
      <c r="I50" s="21"/>
      <c r="J50" s="40"/>
      <c r="M50" s="51" t="s">
        <v>75</v>
      </c>
      <c r="N50" s="52" t="e">
        <f ca="1">N49*B34</f>
        <v>#VALUE!</v>
      </c>
      <c r="R50" s="46"/>
      <c r="S50" s="55"/>
      <c r="T50" s="56"/>
    </row>
    <row r="51" spans="1:20" ht="15.75" customHeight="1">
      <c r="A51" s="39"/>
      <c r="B51" s="21"/>
      <c r="C51" s="39"/>
      <c r="D51" s="39"/>
      <c r="E51" s="39"/>
      <c r="F51" s="39"/>
      <c r="G51" s="39"/>
      <c r="H51" s="39"/>
      <c r="I51" s="21"/>
      <c r="J51" s="40"/>
      <c r="M51" s="51" t="s">
        <v>76</v>
      </c>
      <c r="N51" s="52" t="e">
        <f ca="1">N48*B34</f>
        <v>#VALUE!</v>
      </c>
      <c r="R51" s="46"/>
      <c r="S51" s="58"/>
      <c r="T51" s="54"/>
    </row>
    <row r="52" spans="1:20" ht="15.75" customHeight="1">
      <c r="A52" s="39"/>
      <c r="B52" s="21"/>
      <c r="C52" s="39"/>
      <c r="D52" s="39"/>
      <c r="E52" s="39"/>
      <c r="F52" s="39"/>
      <c r="G52" s="39"/>
      <c r="H52" s="39"/>
      <c r="I52" s="21"/>
      <c r="J52" s="40"/>
      <c r="R52" s="59">
        <v>-600000</v>
      </c>
      <c r="S52" s="60">
        <v>43830</v>
      </c>
      <c r="T52" s="56"/>
    </row>
    <row r="53" spans="1:20" ht="15.75" customHeight="1">
      <c r="A53" s="39"/>
      <c r="B53" s="21"/>
      <c r="C53" s="39"/>
      <c r="D53" s="39"/>
      <c r="E53" s="39"/>
      <c r="F53" s="39"/>
      <c r="G53" s="39"/>
      <c r="H53" s="39"/>
      <c r="I53" s="21"/>
      <c r="J53" s="40"/>
      <c r="R53" s="61" t="s">
        <v>77</v>
      </c>
      <c r="S53" s="62" t="e">
        <f>XIRR(R42:R52,S42:S52)</f>
        <v>#VALUE!</v>
      </c>
    </row>
    <row r="54" spans="1:20" ht="15.75" customHeight="1">
      <c r="A54" s="39"/>
      <c r="B54" s="21"/>
      <c r="C54" s="39"/>
      <c r="D54" s="39"/>
      <c r="E54" s="39"/>
      <c r="F54" s="39"/>
      <c r="G54" s="39"/>
      <c r="H54" s="39"/>
      <c r="I54" s="21"/>
      <c r="J54" s="40"/>
    </row>
    <row r="55" spans="1:20" ht="15.75" customHeight="1">
      <c r="A55" s="39"/>
      <c r="B55" s="21"/>
      <c r="C55" s="39"/>
      <c r="D55" s="39"/>
      <c r="E55" s="39"/>
      <c r="F55" s="39"/>
      <c r="G55" s="39"/>
      <c r="H55" s="39"/>
      <c r="I55" s="21"/>
      <c r="J55" s="40"/>
    </row>
    <row r="56" spans="1:20" ht="15.75" customHeight="1">
      <c r="A56" s="39"/>
      <c r="B56" s="21"/>
      <c r="C56" s="39"/>
      <c r="D56" s="39"/>
      <c r="E56" s="39"/>
      <c r="F56" s="39"/>
      <c r="G56" s="39"/>
      <c r="H56" s="39"/>
      <c r="I56" s="21"/>
      <c r="J56" s="40"/>
    </row>
    <row r="57" spans="1:20" ht="15.75" customHeight="1">
      <c r="A57" s="39"/>
      <c r="B57" s="21"/>
      <c r="C57" s="39"/>
      <c r="D57" s="39"/>
      <c r="E57" s="39"/>
      <c r="F57" s="39"/>
      <c r="G57" s="39"/>
      <c r="H57" s="39"/>
      <c r="I57" s="21"/>
      <c r="J57" s="40"/>
    </row>
    <row r="58" spans="1:20" ht="15.75" customHeight="1">
      <c r="A58" s="39"/>
      <c r="B58" s="21"/>
      <c r="C58" s="39"/>
      <c r="D58" s="39"/>
      <c r="E58" s="39"/>
      <c r="F58" s="39"/>
      <c r="G58" s="39"/>
      <c r="H58" s="39"/>
      <c r="I58" s="21"/>
      <c r="J58" s="40"/>
    </row>
    <row r="59" spans="1:20" ht="15.75" customHeight="1">
      <c r="A59" s="39"/>
      <c r="B59" s="21"/>
      <c r="C59" s="39"/>
      <c r="D59" s="39"/>
      <c r="E59" s="39"/>
      <c r="F59" s="39"/>
      <c r="G59" s="39"/>
      <c r="H59" s="39"/>
      <c r="I59" s="21"/>
      <c r="J59" s="40"/>
    </row>
    <row r="60" spans="1:20" ht="15.75" customHeight="1">
      <c r="A60" s="39"/>
      <c r="C60" s="39"/>
      <c r="D60" s="39"/>
      <c r="E60" s="39"/>
      <c r="F60" s="39"/>
      <c r="G60" s="39"/>
      <c r="H60" s="39"/>
      <c r="J60" s="40"/>
    </row>
    <row r="61" spans="1:20" ht="15.75" customHeight="1">
      <c r="A61" s="39"/>
      <c r="C61" s="39"/>
      <c r="D61" s="39"/>
      <c r="E61" s="39"/>
      <c r="F61" s="39"/>
      <c r="G61" s="39"/>
      <c r="H61" s="39"/>
      <c r="J61" s="40"/>
    </row>
    <row r="62" spans="1:20" ht="15.75" customHeight="1">
      <c r="A62" s="39"/>
      <c r="C62" s="39"/>
      <c r="D62" s="39"/>
      <c r="E62" s="39"/>
      <c r="F62" s="39"/>
      <c r="G62" s="39"/>
      <c r="H62" s="39"/>
      <c r="J62" s="40"/>
    </row>
    <row r="63" spans="1:20" ht="15.75" customHeight="1">
      <c r="A63" s="39"/>
      <c r="C63" s="39"/>
      <c r="D63" s="39"/>
      <c r="E63" s="39"/>
      <c r="F63" s="39"/>
      <c r="G63" s="39"/>
      <c r="H63" s="39"/>
      <c r="J63" s="40"/>
    </row>
    <row r="64" spans="1:20" ht="15.75" customHeight="1">
      <c r="A64" s="39"/>
      <c r="C64" s="39"/>
      <c r="D64" s="39"/>
      <c r="E64" s="39"/>
      <c r="F64" s="39"/>
      <c r="G64" s="39"/>
      <c r="H64" s="39"/>
      <c r="J64" s="40"/>
    </row>
    <row r="65" spans="1:10" ht="15.75" customHeight="1">
      <c r="A65" s="39"/>
      <c r="C65" s="39"/>
      <c r="D65" s="39"/>
      <c r="E65" s="39"/>
      <c r="F65" s="39"/>
      <c r="G65" s="39"/>
      <c r="H65" s="39"/>
      <c r="J65" s="40"/>
    </row>
    <row r="66" spans="1:10" ht="15.75" customHeight="1">
      <c r="A66" s="39"/>
      <c r="C66" s="39"/>
      <c r="D66" s="39"/>
      <c r="E66" s="39"/>
      <c r="F66" s="39"/>
      <c r="G66" s="39"/>
      <c r="H66" s="39"/>
      <c r="J66" s="40"/>
    </row>
    <row r="67" spans="1:10" ht="15.75" customHeight="1">
      <c r="A67" s="39"/>
      <c r="C67" s="39"/>
      <c r="D67" s="39"/>
      <c r="E67" s="39"/>
      <c r="F67" s="39"/>
      <c r="G67" s="39"/>
      <c r="H67" s="39"/>
      <c r="J67" s="40"/>
    </row>
    <row r="68" spans="1:10" ht="15.75" customHeight="1">
      <c r="A68" s="39"/>
      <c r="C68" s="39"/>
      <c r="D68" s="39"/>
      <c r="E68" s="39"/>
      <c r="F68" s="39"/>
      <c r="G68" s="39"/>
      <c r="H68" s="39"/>
      <c r="J68" s="40"/>
    </row>
    <row r="69" spans="1:10" ht="15.75" customHeight="1">
      <c r="A69" s="39"/>
      <c r="C69" s="39"/>
      <c r="D69" s="39"/>
      <c r="E69" s="39"/>
      <c r="F69" s="39"/>
      <c r="G69" s="39"/>
      <c r="H69" s="39"/>
      <c r="J69" s="40"/>
    </row>
    <row r="70" spans="1:10" ht="15.75" customHeight="1">
      <c r="A70" s="39"/>
      <c r="C70" s="39"/>
      <c r="D70" s="39"/>
      <c r="E70" s="39"/>
      <c r="F70" s="39"/>
      <c r="G70" s="39"/>
      <c r="H70" s="39"/>
      <c r="J70" s="40"/>
    </row>
    <row r="71" spans="1:10" ht="15.75" customHeight="1">
      <c r="A71" s="39"/>
      <c r="C71" s="39"/>
      <c r="D71" s="39"/>
      <c r="E71" s="39"/>
      <c r="F71" s="39"/>
      <c r="G71" s="39"/>
      <c r="H71" s="39"/>
      <c r="J71" s="40"/>
    </row>
    <row r="72" spans="1:10" ht="15.75" customHeight="1">
      <c r="A72" s="39"/>
      <c r="C72" s="39"/>
      <c r="D72" s="39"/>
      <c r="E72" s="39"/>
      <c r="F72" s="39"/>
      <c r="G72" s="39"/>
      <c r="H72" s="39"/>
      <c r="J72" s="40"/>
    </row>
    <row r="73" spans="1:10" ht="15.75" customHeight="1">
      <c r="A73" s="39"/>
      <c r="C73" s="39"/>
      <c r="D73" s="39"/>
      <c r="E73" s="39"/>
      <c r="F73" s="39"/>
      <c r="G73" s="39"/>
      <c r="H73" s="39"/>
      <c r="J73" s="40"/>
    </row>
    <row r="74" spans="1:10" ht="15.75" customHeight="1">
      <c r="A74" s="39"/>
      <c r="C74" s="39"/>
      <c r="D74" s="39"/>
      <c r="E74" s="39"/>
      <c r="F74" s="39"/>
      <c r="G74" s="39"/>
      <c r="H74" s="39"/>
      <c r="J74" s="40"/>
    </row>
    <row r="75" spans="1:10" ht="15.75" customHeight="1">
      <c r="A75" s="39"/>
      <c r="C75" s="39"/>
      <c r="D75" s="39"/>
      <c r="E75" s="39"/>
      <c r="F75" s="39"/>
      <c r="G75" s="39"/>
      <c r="H75" s="39"/>
      <c r="J75" s="40"/>
    </row>
    <row r="76" spans="1:10" ht="15.75" customHeight="1">
      <c r="A76" s="39"/>
      <c r="C76" s="39"/>
      <c r="D76" s="39"/>
      <c r="E76" s="39"/>
      <c r="F76" s="39"/>
      <c r="G76" s="39"/>
      <c r="H76" s="39"/>
      <c r="J76" s="40"/>
    </row>
    <row r="77" spans="1:10" ht="15.75" customHeight="1">
      <c r="A77" s="39"/>
      <c r="C77" s="39"/>
      <c r="D77" s="39"/>
      <c r="E77" s="39"/>
      <c r="F77" s="39"/>
      <c r="G77" s="39"/>
      <c r="H77" s="39"/>
      <c r="J77" s="40"/>
    </row>
    <row r="78" spans="1:10" ht="15.75" customHeight="1">
      <c r="A78" s="39"/>
      <c r="C78" s="39"/>
      <c r="D78" s="39"/>
      <c r="E78" s="39"/>
      <c r="F78" s="39"/>
      <c r="G78" s="39"/>
      <c r="H78" s="39"/>
      <c r="J78" s="40"/>
    </row>
    <row r="79" spans="1:10" ht="15.75" customHeight="1">
      <c r="A79" s="39"/>
      <c r="C79" s="39"/>
      <c r="D79" s="39"/>
      <c r="E79" s="39"/>
      <c r="F79" s="39"/>
      <c r="G79" s="39"/>
      <c r="H79" s="39"/>
      <c r="J79" s="40"/>
    </row>
    <row r="80" spans="1:10" ht="15.75" customHeight="1">
      <c r="A80" s="39"/>
      <c r="C80" s="39"/>
      <c r="D80" s="39"/>
      <c r="E80" s="39"/>
      <c r="F80" s="39"/>
      <c r="G80" s="39"/>
      <c r="H80" s="39"/>
      <c r="J80" s="40"/>
    </row>
    <row r="81" spans="1:10" ht="15.75" customHeight="1">
      <c r="A81" s="39"/>
      <c r="C81" s="39"/>
      <c r="D81" s="39"/>
      <c r="E81" s="39"/>
      <c r="F81" s="39"/>
      <c r="G81" s="39"/>
      <c r="H81" s="39"/>
      <c r="J81" s="40"/>
    </row>
    <row r="82" spans="1:10" ht="15.75" customHeight="1">
      <c r="A82" s="39"/>
      <c r="C82" s="39"/>
      <c r="D82" s="39"/>
      <c r="E82" s="39"/>
      <c r="F82" s="39"/>
      <c r="G82" s="39"/>
      <c r="H82" s="39"/>
      <c r="J82" s="40"/>
    </row>
    <row r="83" spans="1:10" ht="15.75" customHeight="1">
      <c r="A83" s="39"/>
      <c r="C83" s="39"/>
      <c r="D83" s="39"/>
      <c r="E83" s="39"/>
      <c r="F83" s="39"/>
      <c r="G83" s="39"/>
      <c r="H83" s="39"/>
      <c r="J83" s="40"/>
    </row>
    <row r="84" spans="1:10" ht="15.75" customHeight="1">
      <c r="A84" s="39"/>
      <c r="C84" s="39"/>
      <c r="D84" s="39"/>
      <c r="E84" s="39"/>
      <c r="F84" s="39"/>
      <c r="G84" s="39"/>
      <c r="H84" s="39"/>
      <c r="J84" s="40"/>
    </row>
    <row r="85" spans="1:10" ht="15.75" customHeight="1">
      <c r="A85" s="39"/>
      <c r="C85" s="39"/>
      <c r="D85" s="39"/>
      <c r="E85" s="39"/>
      <c r="F85" s="39"/>
      <c r="G85" s="39"/>
      <c r="H85" s="39"/>
      <c r="J85" s="40"/>
    </row>
    <row r="86" spans="1:10" ht="15.75" customHeight="1">
      <c r="A86" s="39"/>
      <c r="C86" s="39"/>
      <c r="D86" s="39"/>
      <c r="E86" s="39"/>
      <c r="F86" s="39"/>
      <c r="G86" s="39"/>
      <c r="H86" s="39"/>
      <c r="J86" s="40"/>
    </row>
    <row r="87" spans="1:10" ht="15.75" customHeight="1">
      <c r="A87" s="39"/>
      <c r="C87" s="39"/>
      <c r="D87" s="39"/>
      <c r="E87" s="39"/>
      <c r="F87" s="39"/>
      <c r="G87" s="39"/>
      <c r="H87" s="39"/>
      <c r="J87" s="40"/>
    </row>
    <row r="88" spans="1:10" ht="15.75" customHeight="1">
      <c r="A88" s="39"/>
      <c r="C88" s="39"/>
      <c r="D88" s="39"/>
      <c r="E88" s="39"/>
      <c r="F88" s="39"/>
      <c r="G88" s="39"/>
      <c r="H88" s="39"/>
      <c r="J88" s="40"/>
    </row>
    <row r="89" spans="1:10" ht="15.75" customHeight="1">
      <c r="A89" s="39"/>
      <c r="C89" s="39"/>
      <c r="D89" s="39"/>
      <c r="E89" s="39"/>
      <c r="F89" s="39"/>
      <c r="G89" s="39"/>
      <c r="H89" s="39"/>
      <c r="J89" s="40"/>
    </row>
    <row r="90" spans="1:10" ht="15.75" customHeight="1">
      <c r="A90" s="39"/>
      <c r="C90" s="39"/>
      <c r="D90" s="39"/>
      <c r="E90" s="39"/>
      <c r="F90" s="39"/>
      <c r="G90" s="39"/>
      <c r="H90" s="39"/>
      <c r="J90" s="40"/>
    </row>
    <row r="91" spans="1:10" ht="15.75" customHeight="1">
      <c r="A91" s="39"/>
      <c r="C91" s="39"/>
      <c r="D91" s="39"/>
      <c r="E91" s="39"/>
      <c r="F91" s="39"/>
      <c r="G91" s="39"/>
      <c r="H91" s="39"/>
      <c r="J91" s="40"/>
    </row>
    <row r="92" spans="1:10" ht="15.75" customHeight="1">
      <c r="A92" s="39"/>
      <c r="C92" s="39"/>
      <c r="D92" s="39"/>
      <c r="E92" s="39"/>
      <c r="F92" s="39"/>
      <c r="G92" s="39"/>
      <c r="H92" s="39"/>
      <c r="J92" s="40"/>
    </row>
    <row r="93" spans="1:10" ht="15.75" customHeight="1">
      <c r="A93" s="39"/>
      <c r="C93" s="39"/>
      <c r="D93" s="39"/>
      <c r="E93" s="39"/>
      <c r="F93" s="39"/>
      <c r="G93" s="39"/>
      <c r="H93" s="39"/>
      <c r="J93" s="40"/>
    </row>
    <row r="94" spans="1:10" ht="15.75" customHeight="1">
      <c r="A94" s="39"/>
      <c r="C94" s="39"/>
      <c r="D94" s="39"/>
      <c r="E94" s="39"/>
      <c r="F94" s="39"/>
      <c r="G94" s="39"/>
      <c r="H94" s="39"/>
      <c r="J94" s="40"/>
    </row>
    <row r="95" spans="1:10" ht="15.75" customHeight="1">
      <c r="A95" s="39"/>
      <c r="C95" s="39"/>
      <c r="D95" s="39"/>
      <c r="E95" s="39"/>
      <c r="F95" s="39"/>
      <c r="G95" s="39"/>
      <c r="H95" s="39"/>
      <c r="J95" s="40"/>
    </row>
    <row r="96" spans="1:10" ht="15.75" customHeight="1">
      <c r="A96" s="39"/>
      <c r="C96" s="39"/>
      <c r="D96" s="39"/>
      <c r="E96" s="39"/>
      <c r="F96" s="39"/>
      <c r="G96" s="39"/>
      <c r="H96" s="39"/>
      <c r="J96" s="40"/>
    </row>
    <row r="97" spans="1:10" ht="15.75" customHeight="1">
      <c r="A97" s="39"/>
      <c r="C97" s="39"/>
      <c r="D97" s="39"/>
      <c r="E97" s="39"/>
      <c r="F97" s="39"/>
      <c r="G97" s="39"/>
      <c r="H97" s="39"/>
      <c r="J97" s="40"/>
    </row>
    <row r="98" spans="1:10" ht="15.75" customHeight="1">
      <c r="A98" s="39"/>
      <c r="C98" s="39"/>
      <c r="D98" s="39"/>
      <c r="E98" s="39"/>
      <c r="F98" s="39"/>
      <c r="G98" s="39"/>
      <c r="H98" s="39"/>
      <c r="J98" s="40"/>
    </row>
    <row r="99" spans="1:10" ht="15.75" customHeight="1">
      <c r="A99" s="39"/>
      <c r="C99" s="39"/>
      <c r="D99" s="39"/>
      <c r="E99" s="39"/>
      <c r="F99" s="39"/>
      <c r="G99" s="39"/>
      <c r="H99" s="39"/>
      <c r="J99" s="40"/>
    </row>
    <row r="100" spans="1:10" ht="15.75" customHeight="1">
      <c r="A100" s="39"/>
      <c r="C100" s="39"/>
      <c r="D100" s="39"/>
      <c r="E100" s="39"/>
      <c r="F100" s="39"/>
      <c r="G100" s="39"/>
      <c r="H100" s="39"/>
      <c r="J100" s="40"/>
    </row>
    <row r="101" spans="1:10" ht="15.75" customHeight="1">
      <c r="A101" s="39"/>
      <c r="C101" s="39"/>
      <c r="D101" s="39"/>
      <c r="E101" s="39"/>
      <c r="F101" s="39"/>
      <c r="G101" s="39"/>
      <c r="H101" s="39"/>
      <c r="J101" s="40"/>
    </row>
    <row r="102" spans="1:10" ht="15.75" customHeight="1">
      <c r="A102" s="39"/>
      <c r="C102" s="39"/>
      <c r="D102" s="39"/>
      <c r="E102" s="39"/>
      <c r="F102" s="39"/>
      <c r="G102" s="39"/>
      <c r="H102" s="39"/>
      <c r="J102" s="40"/>
    </row>
    <row r="103" spans="1:10" ht="15.75" customHeight="1">
      <c r="A103" s="39"/>
      <c r="C103" s="39"/>
      <c r="D103" s="39"/>
      <c r="E103" s="39"/>
      <c r="F103" s="39"/>
      <c r="G103" s="39"/>
      <c r="H103" s="39"/>
      <c r="J103" s="40"/>
    </row>
    <row r="104" spans="1:10" ht="15.75" customHeight="1">
      <c r="A104" s="39"/>
      <c r="C104" s="39"/>
      <c r="D104" s="39"/>
      <c r="E104" s="39"/>
      <c r="F104" s="39"/>
      <c r="G104" s="39"/>
      <c r="H104" s="39"/>
      <c r="J104" s="40"/>
    </row>
    <row r="105" spans="1:10" ht="15.75" customHeight="1">
      <c r="A105" s="39"/>
      <c r="C105" s="39"/>
      <c r="D105" s="39"/>
      <c r="E105" s="39"/>
      <c r="F105" s="39"/>
      <c r="G105" s="39"/>
      <c r="H105" s="39"/>
      <c r="J105" s="40"/>
    </row>
    <row r="106" spans="1:10" ht="15.75" customHeight="1">
      <c r="A106" s="39"/>
      <c r="C106" s="39"/>
      <c r="D106" s="39"/>
      <c r="E106" s="39"/>
      <c r="F106" s="39"/>
      <c r="G106" s="39"/>
      <c r="H106" s="39"/>
      <c r="J106" s="40"/>
    </row>
    <row r="107" spans="1:10" ht="15.75" customHeight="1">
      <c r="A107" s="39"/>
      <c r="C107" s="39"/>
      <c r="D107" s="39"/>
      <c r="E107" s="39"/>
      <c r="F107" s="39"/>
      <c r="G107" s="39"/>
      <c r="H107" s="39"/>
      <c r="J107" s="40"/>
    </row>
    <row r="108" spans="1:10" ht="15.75" customHeight="1">
      <c r="A108" s="39"/>
      <c r="C108" s="39"/>
      <c r="D108" s="39"/>
      <c r="E108" s="39"/>
      <c r="F108" s="39"/>
      <c r="G108" s="39"/>
      <c r="H108" s="39"/>
      <c r="J108" s="40"/>
    </row>
    <row r="109" spans="1:10" ht="15.75" customHeight="1">
      <c r="A109" s="39"/>
      <c r="C109" s="39"/>
      <c r="D109" s="39"/>
      <c r="E109" s="39"/>
      <c r="F109" s="39"/>
      <c r="G109" s="39"/>
      <c r="H109" s="39"/>
      <c r="J109" s="40"/>
    </row>
    <row r="110" spans="1:10" ht="15.75" customHeight="1">
      <c r="A110" s="39"/>
      <c r="C110" s="39"/>
      <c r="D110" s="39"/>
      <c r="E110" s="39"/>
      <c r="F110" s="39"/>
      <c r="G110" s="39"/>
      <c r="H110" s="39"/>
      <c r="J110" s="40"/>
    </row>
    <row r="111" spans="1:10" ht="15.75" customHeight="1">
      <c r="A111" s="39"/>
      <c r="C111" s="39"/>
      <c r="D111" s="39"/>
      <c r="E111" s="39"/>
      <c r="F111" s="39"/>
      <c r="G111" s="39"/>
      <c r="H111" s="39"/>
      <c r="J111" s="40"/>
    </row>
    <row r="112" spans="1:10" ht="15.75" customHeight="1">
      <c r="A112" s="39"/>
      <c r="C112" s="39"/>
      <c r="D112" s="39"/>
      <c r="E112" s="39"/>
      <c r="F112" s="39"/>
      <c r="G112" s="39"/>
      <c r="H112" s="39"/>
      <c r="J112" s="40"/>
    </row>
    <row r="113" spans="1:10" ht="15.75" customHeight="1">
      <c r="A113" s="39"/>
      <c r="C113" s="39"/>
      <c r="D113" s="39"/>
      <c r="E113" s="39"/>
      <c r="F113" s="39"/>
      <c r="G113" s="39"/>
      <c r="H113" s="39"/>
      <c r="J113" s="40"/>
    </row>
    <row r="114" spans="1:10" ht="15.75" customHeight="1">
      <c r="A114" s="39"/>
      <c r="C114" s="39"/>
      <c r="D114" s="39"/>
      <c r="E114" s="39"/>
      <c r="F114" s="39"/>
      <c r="G114" s="39"/>
      <c r="H114" s="39"/>
      <c r="J114" s="40"/>
    </row>
    <row r="115" spans="1:10" ht="15.75" customHeight="1">
      <c r="A115" s="39"/>
      <c r="C115" s="39"/>
      <c r="D115" s="39"/>
      <c r="E115" s="39"/>
      <c r="F115" s="39"/>
      <c r="G115" s="39"/>
      <c r="H115" s="39"/>
      <c r="J115" s="40"/>
    </row>
    <row r="116" spans="1:10" ht="15.75" customHeight="1">
      <c r="A116" s="39"/>
      <c r="C116" s="39"/>
      <c r="D116" s="39"/>
      <c r="E116" s="39"/>
      <c r="F116" s="39"/>
      <c r="G116" s="39"/>
      <c r="H116" s="39"/>
      <c r="J116" s="40"/>
    </row>
    <row r="117" spans="1:10" ht="15.75" customHeight="1">
      <c r="A117" s="39"/>
      <c r="C117" s="39"/>
      <c r="D117" s="39"/>
      <c r="E117" s="39"/>
      <c r="F117" s="39"/>
      <c r="G117" s="39"/>
      <c r="H117" s="39"/>
      <c r="J117" s="40"/>
    </row>
    <row r="118" spans="1:10" ht="15.75" customHeight="1">
      <c r="A118" s="39"/>
      <c r="C118" s="39"/>
      <c r="D118" s="39"/>
      <c r="E118" s="39"/>
      <c r="F118" s="39"/>
      <c r="G118" s="39"/>
      <c r="H118" s="39"/>
      <c r="J118" s="40"/>
    </row>
    <row r="119" spans="1:10" ht="15.75" customHeight="1">
      <c r="A119" s="39"/>
      <c r="C119" s="39"/>
      <c r="D119" s="39"/>
      <c r="E119" s="39"/>
      <c r="F119" s="39"/>
      <c r="G119" s="39"/>
      <c r="H119" s="39"/>
      <c r="J119" s="40"/>
    </row>
    <row r="120" spans="1:10" ht="15.75" customHeight="1">
      <c r="A120" s="39"/>
      <c r="C120" s="39"/>
      <c r="D120" s="39"/>
      <c r="E120" s="39"/>
      <c r="F120" s="39"/>
      <c r="G120" s="39"/>
      <c r="H120" s="39"/>
      <c r="J120" s="40"/>
    </row>
    <row r="121" spans="1:10" ht="15.75" customHeight="1">
      <c r="A121" s="39"/>
      <c r="C121" s="39"/>
      <c r="D121" s="39"/>
      <c r="E121" s="39"/>
      <c r="F121" s="39"/>
      <c r="G121" s="39"/>
      <c r="H121" s="39"/>
      <c r="J121" s="40"/>
    </row>
    <row r="122" spans="1:10" ht="15.75" customHeight="1">
      <c r="A122" s="39"/>
      <c r="C122" s="39"/>
      <c r="D122" s="39"/>
      <c r="E122" s="39"/>
      <c r="F122" s="39"/>
      <c r="G122" s="39"/>
      <c r="H122" s="39"/>
      <c r="J122" s="40"/>
    </row>
    <row r="123" spans="1:10" ht="15.75" customHeight="1">
      <c r="A123" s="39"/>
      <c r="C123" s="39"/>
      <c r="D123" s="39"/>
      <c r="E123" s="39"/>
      <c r="F123" s="39"/>
      <c r="G123" s="39"/>
      <c r="H123" s="39"/>
      <c r="J123" s="40"/>
    </row>
    <row r="124" spans="1:10" ht="15.75" customHeight="1">
      <c r="A124" s="39"/>
      <c r="C124" s="39"/>
      <c r="D124" s="39"/>
      <c r="E124" s="39"/>
      <c r="F124" s="39"/>
      <c r="G124" s="39"/>
      <c r="H124" s="39"/>
      <c r="J124" s="40"/>
    </row>
    <row r="125" spans="1:10" ht="15.75" customHeight="1">
      <c r="A125" s="39"/>
      <c r="C125" s="39"/>
      <c r="D125" s="39"/>
      <c r="E125" s="39"/>
      <c r="F125" s="39"/>
      <c r="G125" s="39"/>
      <c r="H125" s="39"/>
      <c r="J125" s="40"/>
    </row>
    <row r="126" spans="1:10" ht="15.75" customHeight="1">
      <c r="A126" s="39"/>
      <c r="C126" s="39"/>
      <c r="D126" s="39"/>
      <c r="E126" s="39"/>
      <c r="F126" s="39"/>
      <c r="G126" s="39"/>
      <c r="H126" s="39"/>
      <c r="J126" s="40"/>
    </row>
    <row r="127" spans="1:10" ht="15.75" customHeight="1">
      <c r="A127" s="39"/>
      <c r="C127" s="39"/>
      <c r="D127" s="39"/>
      <c r="E127" s="39"/>
      <c r="F127" s="39"/>
      <c r="G127" s="39"/>
      <c r="H127" s="39"/>
      <c r="J127" s="40"/>
    </row>
    <row r="128" spans="1:10" ht="15.75" customHeight="1">
      <c r="A128" s="39"/>
      <c r="C128" s="39"/>
      <c r="D128" s="39"/>
      <c r="E128" s="39"/>
      <c r="F128" s="39"/>
      <c r="G128" s="39"/>
      <c r="H128" s="39"/>
      <c r="J128" s="40"/>
    </row>
    <row r="129" spans="1:10" ht="15.75" customHeight="1">
      <c r="A129" s="39"/>
      <c r="C129" s="39"/>
      <c r="D129" s="39"/>
      <c r="E129" s="39"/>
      <c r="F129" s="39"/>
      <c r="G129" s="39"/>
      <c r="H129" s="39"/>
      <c r="J129" s="40"/>
    </row>
    <row r="130" spans="1:10" ht="15.75" customHeight="1">
      <c r="A130" s="39"/>
      <c r="C130" s="39"/>
      <c r="D130" s="39"/>
      <c r="E130" s="39"/>
      <c r="F130" s="39"/>
      <c r="G130" s="39"/>
      <c r="H130" s="39"/>
      <c r="J130" s="40"/>
    </row>
    <row r="131" spans="1:10" ht="15.75" customHeight="1">
      <c r="A131" s="39"/>
      <c r="C131" s="39"/>
      <c r="D131" s="39"/>
      <c r="E131" s="39"/>
      <c r="F131" s="39"/>
      <c r="G131" s="39"/>
      <c r="H131" s="39"/>
      <c r="J131" s="40"/>
    </row>
    <row r="132" spans="1:10" ht="15.75" customHeight="1">
      <c r="A132" s="39"/>
      <c r="C132" s="39"/>
      <c r="D132" s="39"/>
      <c r="E132" s="39"/>
      <c r="F132" s="39"/>
      <c r="G132" s="39"/>
      <c r="H132" s="39"/>
      <c r="J132" s="40"/>
    </row>
    <row r="133" spans="1:10" ht="15.75" customHeight="1">
      <c r="A133" s="39"/>
      <c r="C133" s="39"/>
      <c r="D133" s="39"/>
      <c r="E133" s="39"/>
      <c r="F133" s="39"/>
      <c r="G133" s="39"/>
      <c r="H133" s="39"/>
      <c r="J133" s="40"/>
    </row>
    <row r="134" spans="1:10" ht="15.75" customHeight="1">
      <c r="A134" s="39"/>
      <c r="C134" s="39"/>
      <c r="D134" s="39"/>
      <c r="E134" s="39"/>
      <c r="F134" s="39"/>
      <c r="G134" s="39"/>
      <c r="H134" s="39"/>
      <c r="J134" s="40"/>
    </row>
    <row r="135" spans="1:10" ht="15.75" customHeight="1">
      <c r="A135" s="39"/>
      <c r="C135" s="39"/>
      <c r="D135" s="39"/>
      <c r="E135" s="39"/>
      <c r="F135" s="39"/>
      <c r="G135" s="39"/>
      <c r="H135" s="39"/>
      <c r="J135" s="40"/>
    </row>
    <row r="136" spans="1:10" ht="15.75" customHeight="1">
      <c r="A136" s="39"/>
      <c r="C136" s="39"/>
      <c r="D136" s="39"/>
      <c r="E136" s="39"/>
      <c r="F136" s="39"/>
      <c r="G136" s="39"/>
      <c r="H136" s="39"/>
      <c r="J136" s="40"/>
    </row>
    <row r="137" spans="1:10" ht="15.75" customHeight="1">
      <c r="A137" s="39"/>
      <c r="C137" s="39"/>
      <c r="D137" s="39"/>
      <c r="E137" s="39"/>
      <c r="F137" s="39"/>
      <c r="G137" s="39"/>
      <c r="H137" s="39"/>
      <c r="J137" s="40"/>
    </row>
    <row r="138" spans="1:10" ht="15.75" customHeight="1">
      <c r="A138" s="39"/>
      <c r="C138" s="39"/>
      <c r="D138" s="39"/>
      <c r="E138" s="39"/>
      <c r="F138" s="39"/>
      <c r="G138" s="39"/>
      <c r="H138" s="39"/>
      <c r="J138" s="40"/>
    </row>
    <row r="139" spans="1:10" ht="15.75" customHeight="1">
      <c r="A139" s="39"/>
      <c r="C139" s="39"/>
      <c r="D139" s="39"/>
      <c r="E139" s="39"/>
      <c r="F139" s="39"/>
      <c r="G139" s="39"/>
      <c r="H139" s="39"/>
      <c r="J139" s="40"/>
    </row>
    <row r="140" spans="1:10" ht="15.75" customHeight="1">
      <c r="A140" s="39"/>
      <c r="C140" s="39"/>
      <c r="D140" s="39"/>
      <c r="E140" s="39"/>
      <c r="F140" s="39"/>
      <c r="G140" s="39"/>
      <c r="H140" s="39"/>
      <c r="J140" s="40"/>
    </row>
    <row r="141" spans="1:10" ht="15.75" customHeight="1">
      <c r="A141" s="39"/>
      <c r="C141" s="39"/>
      <c r="D141" s="39"/>
      <c r="E141" s="39"/>
      <c r="F141" s="39"/>
      <c r="G141" s="39"/>
      <c r="H141" s="39"/>
      <c r="J141" s="40"/>
    </row>
    <row r="142" spans="1:10" ht="15.75" customHeight="1">
      <c r="A142" s="39"/>
      <c r="C142" s="39"/>
      <c r="D142" s="39"/>
      <c r="E142" s="39"/>
      <c r="F142" s="39"/>
      <c r="G142" s="39"/>
      <c r="H142" s="39"/>
      <c r="J142" s="40"/>
    </row>
    <row r="143" spans="1:10" ht="15.75" customHeight="1">
      <c r="A143" s="39"/>
      <c r="C143" s="39"/>
      <c r="D143" s="39"/>
      <c r="E143" s="39"/>
      <c r="F143" s="39"/>
      <c r="G143" s="39"/>
      <c r="H143" s="39"/>
      <c r="J143" s="40"/>
    </row>
    <row r="144" spans="1:10" ht="15.75" customHeight="1">
      <c r="A144" s="39"/>
      <c r="C144" s="39"/>
      <c r="D144" s="39"/>
      <c r="E144" s="39"/>
      <c r="F144" s="39"/>
      <c r="G144" s="39"/>
      <c r="H144" s="39"/>
      <c r="J144" s="40"/>
    </row>
    <row r="145" spans="1:10" ht="15.75" customHeight="1">
      <c r="A145" s="39"/>
      <c r="C145" s="39"/>
      <c r="D145" s="39"/>
      <c r="E145" s="39"/>
      <c r="F145" s="39"/>
      <c r="G145" s="39"/>
      <c r="H145" s="39"/>
      <c r="J145" s="40"/>
    </row>
    <row r="146" spans="1:10" ht="15.75" customHeight="1">
      <c r="A146" s="39"/>
      <c r="C146" s="39"/>
      <c r="D146" s="39"/>
      <c r="E146" s="39"/>
      <c r="F146" s="39"/>
      <c r="G146" s="39"/>
      <c r="H146" s="39"/>
      <c r="J146" s="40"/>
    </row>
    <row r="147" spans="1:10" ht="15.75" customHeight="1">
      <c r="A147" s="39"/>
      <c r="C147" s="39"/>
      <c r="D147" s="39"/>
      <c r="E147" s="39"/>
      <c r="F147" s="39"/>
      <c r="G147" s="39"/>
      <c r="H147" s="39"/>
      <c r="J147" s="40"/>
    </row>
    <row r="148" spans="1:10" ht="15.75" customHeight="1">
      <c r="A148" s="39"/>
      <c r="C148" s="39"/>
      <c r="D148" s="39"/>
      <c r="E148" s="39"/>
      <c r="F148" s="39"/>
      <c r="G148" s="39"/>
      <c r="H148" s="39"/>
      <c r="J148" s="40"/>
    </row>
    <row r="149" spans="1:10" ht="15.75" customHeight="1">
      <c r="A149" s="39"/>
      <c r="C149" s="39"/>
      <c r="D149" s="39"/>
      <c r="E149" s="39"/>
      <c r="F149" s="39"/>
      <c r="G149" s="39"/>
      <c r="H149" s="39"/>
      <c r="J149" s="40"/>
    </row>
    <row r="150" spans="1:10" ht="15.75" customHeight="1">
      <c r="A150" s="39"/>
      <c r="C150" s="39"/>
      <c r="D150" s="39"/>
      <c r="E150" s="39"/>
      <c r="F150" s="39"/>
      <c r="G150" s="39"/>
      <c r="H150" s="39"/>
      <c r="J150" s="40"/>
    </row>
    <row r="151" spans="1:10" ht="15.75" customHeight="1">
      <c r="A151" s="39"/>
      <c r="C151" s="39"/>
      <c r="D151" s="39"/>
      <c r="E151" s="39"/>
      <c r="F151" s="39"/>
      <c r="G151" s="39"/>
      <c r="H151" s="39"/>
      <c r="J151" s="40"/>
    </row>
    <row r="152" spans="1:10" ht="15.75" customHeight="1">
      <c r="A152" s="39"/>
      <c r="C152" s="39"/>
      <c r="D152" s="39"/>
      <c r="E152" s="39"/>
      <c r="F152" s="39"/>
      <c r="G152" s="39"/>
      <c r="H152" s="39"/>
      <c r="J152" s="40"/>
    </row>
    <row r="153" spans="1:10" ht="15.75" customHeight="1">
      <c r="A153" s="39"/>
      <c r="C153" s="39"/>
      <c r="D153" s="39"/>
      <c r="E153" s="39"/>
      <c r="F153" s="39"/>
      <c r="G153" s="39"/>
      <c r="H153" s="39"/>
      <c r="J153" s="40"/>
    </row>
    <row r="154" spans="1:10" ht="15.75" customHeight="1">
      <c r="A154" s="39"/>
      <c r="C154" s="39"/>
      <c r="D154" s="39"/>
      <c r="E154" s="39"/>
      <c r="F154" s="39"/>
      <c r="G154" s="39"/>
      <c r="H154" s="39"/>
      <c r="J154" s="40"/>
    </row>
    <row r="155" spans="1:10" ht="15.75" customHeight="1">
      <c r="A155" s="39"/>
      <c r="C155" s="39"/>
      <c r="D155" s="39"/>
      <c r="E155" s="39"/>
      <c r="F155" s="39"/>
      <c r="G155" s="39"/>
      <c r="H155" s="39"/>
      <c r="J155" s="40"/>
    </row>
    <row r="156" spans="1:10" ht="15.75" customHeight="1">
      <c r="A156" s="39"/>
      <c r="C156" s="39"/>
      <c r="D156" s="39"/>
      <c r="E156" s="39"/>
      <c r="F156" s="39"/>
      <c r="G156" s="39"/>
      <c r="H156" s="39"/>
      <c r="J156" s="40"/>
    </row>
    <row r="157" spans="1:10" ht="15.75" customHeight="1">
      <c r="A157" s="39"/>
      <c r="C157" s="39"/>
      <c r="D157" s="39"/>
      <c r="E157" s="39"/>
      <c r="F157" s="39"/>
      <c r="G157" s="39"/>
      <c r="H157" s="39"/>
      <c r="J157" s="40"/>
    </row>
    <row r="158" spans="1:10" ht="15.75" customHeight="1">
      <c r="A158" s="39"/>
      <c r="C158" s="39"/>
      <c r="D158" s="39"/>
      <c r="E158" s="39"/>
      <c r="F158" s="39"/>
      <c r="G158" s="39"/>
      <c r="H158" s="39"/>
      <c r="J158" s="40"/>
    </row>
    <row r="159" spans="1:10" ht="15.75" customHeight="1">
      <c r="A159" s="39"/>
      <c r="C159" s="39"/>
      <c r="D159" s="39"/>
      <c r="E159" s="39"/>
      <c r="F159" s="39"/>
      <c r="G159" s="39"/>
      <c r="H159" s="39"/>
      <c r="J159" s="40"/>
    </row>
    <row r="160" spans="1:10" ht="15.75" customHeight="1">
      <c r="A160" s="39"/>
      <c r="C160" s="39"/>
      <c r="D160" s="39"/>
      <c r="E160" s="39"/>
      <c r="F160" s="39"/>
      <c r="G160" s="39"/>
      <c r="H160" s="39"/>
      <c r="J160" s="40"/>
    </row>
    <row r="161" spans="1:10" ht="15.75" customHeight="1">
      <c r="A161" s="39"/>
      <c r="C161" s="39"/>
      <c r="D161" s="39"/>
      <c r="E161" s="39"/>
      <c r="F161" s="39"/>
      <c r="G161" s="39"/>
      <c r="H161" s="39"/>
      <c r="J161" s="40"/>
    </row>
    <row r="162" spans="1:10" ht="15.75" customHeight="1">
      <c r="A162" s="39"/>
      <c r="C162" s="39"/>
      <c r="D162" s="39"/>
      <c r="E162" s="39"/>
      <c r="F162" s="39"/>
      <c r="G162" s="39"/>
      <c r="H162" s="39"/>
      <c r="J162" s="40"/>
    </row>
    <row r="163" spans="1:10" ht="15.75" customHeight="1">
      <c r="A163" s="39"/>
      <c r="C163" s="39"/>
      <c r="D163" s="39"/>
      <c r="E163" s="39"/>
      <c r="F163" s="39"/>
      <c r="G163" s="39"/>
      <c r="H163" s="39"/>
      <c r="J163" s="40"/>
    </row>
    <row r="164" spans="1:10" ht="15.75" customHeight="1">
      <c r="A164" s="39"/>
      <c r="C164" s="39"/>
      <c r="D164" s="39"/>
      <c r="E164" s="39"/>
      <c r="F164" s="39"/>
      <c r="G164" s="39"/>
      <c r="H164" s="39"/>
      <c r="J164" s="40"/>
    </row>
    <row r="165" spans="1:10" ht="15.75" customHeight="1">
      <c r="A165" s="39"/>
      <c r="C165" s="39"/>
      <c r="D165" s="39"/>
      <c r="E165" s="39"/>
      <c r="F165" s="39"/>
      <c r="G165" s="39"/>
      <c r="H165" s="39"/>
      <c r="J165" s="40"/>
    </row>
    <row r="166" spans="1:10" ht="15.75" customHeight="1">
      <c r="A166" s="39"/>
      <c r="C166" s="39"/>
      <c r="D166" s="39"/>
      <c r="E166" s="39"/>
      <c r="F166" s="39"/>
      <c r="G166" s="39"/>
      <c r="H166" s="39"/>
      <c r="J166" s="40"/>
    </row>
    <row r="167" spans="1:10" ht="15.75" customHeight="1">
      <c r="A167" s="39"/>
      <c r="C167" s="39"/>
      <c r="D167" s="39"/>
      <c r="E167" s="39"/>
      <c r="F167" s="39"/>
      <c r="G167" s="39"/>
      <c r="H167" s="39"/>
      <c r="J167" s="40"/>
    </row>
    <row r="168" spans="1:10" ht="15.75" customHeight="1">
      <c r="A168" s="39"/>
      <c r="C168" s="39"/>
      <c r="D168" s="39"/>
      <c r="E168" s="39"/>
      <c r="F168" s="39"/>
      <c r="G168" s="39"/>
      <c r="H168" s="39"/>
      <c r="J168" s="40"/>
    </row>
    <row r="169" spans="1:10" ht="15.75" customHeight="1">
      <c r="A169" s="39"/>
      <c r="C169" s="39"/>
      <c r="D169" s="39"/>
      <c r="E169" s="39"/>
      <c r="F169" s="39"/>
      <c r="G169" s="39"/>
      <c r="H169" s="39"/>
      <c r="J169" s="40"/>
    </row>
    <row r="170" spans="1:10" ht="15.75" customHeight="1">
      <c r="A170" s="39"/>
      <c r="C170" s="39"/>
      <c r="D170" s="39"/>
      <c r="E170" s="39"/>
      <c r="F170" s="39"/>
      <c r="G170" s="39"/>
      <c r="H170" s="39"/>
      <c r="J170" s="40"/>
    </row>
    <row r="171" spans="1:10" ht="15.75" customHeight="1">
      <c r="A171" s="39"/>
      <c r="C171" s="39"/>
      <c r="D171" s="39"/>
      <c r="E171" s="39"/>
      <c r="F171" s="39"/>
      <c r="G171" s="39"/>
      <c r="H171" s="39"/>
      <c r="J171" s="40"/>
    </row>
    <row r="172" spans="1:10" ht="15.75" customHeight="1">
      <c r="A172" s="39"/>
      <c r="C172" s="39"/>
      <c r="D172" s="39"/>
      <c r="E172" s="39"/>
      <c r="F172" s="39"/>
      <c r="G172" s="39"/>
      <c r="H172" s="39"/>
      <c r="J172" s="40"/>
    </row>
    <row r="173" spans="1:10" ht="15.75" customHeight="1">
      <c r="A173" s="39"/>
      <c r="C173" s="39"/>
      <c r="D173" s="39"/>
      <c r="E173" s="39"/>
      <c r="F173" s="39"/>
      <c r="G173" s="39"/>
      <c r="H173" s="39"/>
      <c r="J173" s="40"/>
    </row>
    <row r="174" spans="1:10" ht="15.75" customHeight="1">
      <c r="A174" s="39"/>
      <c r="C174" s="39"/>
      <c r="D174" s="39"/>
      <c r="E174" s="39"/>
      <c r="F174" s="39"/>
      <c r="G174" s="39"/>
      <c r="H174" s="39"/>
      <c r="J174" s="40"/>
    </row>
    <row r="175" spans="1:10" ht="15.75" customHeight="1">
      <c r="A175" s="39"/>
      <c r="C175" s="39"/>
      <c r="D175" s="39"/>
      <c r="E175" s="39"/>
      <c r="F175" s="39"/>
      <c r="G175" s="39"/>
      <c r="H175" s="39"/>
      <c r="J175" s="40"/>
    </row>
    <row r="176" spans="1:10" ht="15.75" customHeight="1">
      <c r="A176" s="39"/>
      <c r="C176" s="39"/>
      <c r="D176" s="39"/>
      <c r="E176" s="39"/>
      <c r="F176" s="39"/>
      <c r="G176" s="39"/>
      <c r="H176" s="39"/>
      <c r="J176" s="40"/>
    </row>
    <row r="177" spans="1:10" ht="15.75" customHeight="1">
      <c r="A177" s="39"/>
      <c r="C177" s="39"/>
      <c r="D177" s="39"/>
      <c r="E177" s="39"/>
      <c r="F177" s="39"/>
      <c r="G177" s="39"/>
      <c r="H177" s="39"/>
      <c r="J177" s="40"/>
    </row>
    <row r="178" spans="1:10" ht="15.75" customHeight="1">
      <c r="A178" s="39"/>
      <c r="C178" s="39"/>
      <c r="D178" s="39"/>
      <c r="E178" s="39"/>
      <c r="F178" s="39"/>
      <c r="G178" s="39"/>
      <c r="H178" s="39"/>
      <c r="J178" s="40"/>
    </row>
    <row r="179" spans="1:10" ht="15.75" customHeight="1">
      <c r="A179" s="39"/>
      <c r="C179" s="39"/>
      <c r="D179" s="39"/>
      <c r="E179" s="39"/>
      <c r="F179" s="39"/>
      <c r="G179" s="39"/>
      <c r="H179" s="39"/>
      <c r="J179" s="40"/>
    </row>
    <row r="180" spans="1:10" ht="15.75" customHeight="1">
      <c r="A180" s="39"/>
      <c r="C180" s="39"/>
      <c r="D180" s="39"/>
      <c r="E180" s="39"/>
      <c r="F180" s="39"/>
      <c r="G180" s="39"/>
      <c r="H180" s="39"/>
      <c r="J180" s="40"/>
    </row>
    <row r="181" spans="1:10" ht="15.75" customHeight="1">
      <c r="A181" s="39"/>
      <c r="C181" s="39"/>
      <c r="D181" s="39"/>
      <c r="E181" s="39"/>
      <c r="F181" s="39"/>
      <c r="G181" s="39"/>
      <c r="H181" s="39"/>
      <c r="J181" s="40"/>
    </row>
    <row r="182" spans="1:10" ht="15.75" customHeight="1">
      <c r="A182" s="39"/>
      <c r="C182" s="39"/>
      <c r="D182" s="39"/>
      <c r="E182" s="39"/>
      <c r="F182" s="39"/>
      <c r="G182" s="39"/>
      <c r="H182" s="39"/>
      <c r="J182" s="40"/>
    </row>
    <row r="183" spans="1:10" ht="15.75" customHeight="1">
      <c r="A183" s="39"/>
      <c r="C183" s="39"/>
      <c r="D183" s="39"/>
      <c r="E183" s="39"/>
      <c r="F183" s="39"/>
      <c r="G183" s="39"/>
      <c r="H183" s="39"/>
      <c r="J183" s="40"/>
    </row>
    <row r="184" spans="1:10" ht="15.75" customHeight="1">
      <c r="A184" s="39"/>
      <c r="C184" s="39"/>
      <c r="D184" s="39"/>
      <c r="E184" s="39"/>
      <c r="F184" s="39"/>
      <c r="G184" s="39"/>
      <c r="H184" s="39"/>
      <c r="J184" s="40"/>
    </row>
    <row r="185" spans="1:10" ht="15.75" customHeight="1">
      <c r="A185" s="39"/>
      <c r="C185" s="39"/>
      <c r="D185" s="39"/>
      <c r="E185" s="39"/>
      <c r="F185" s="39"/>
      <c r="G185" s="39"/>
      <c r="H185" s="39"/>
      <c r="J185" s="40"/>
    </row>
    <row r="186" spans="1:10" ht="15.75" customHeight="1">
      <c r="A186" s="39"/>
      <c r="C186" s="39"/>
      <c r="D186" s="39"/>
      <c r="E186" s="39"/>
      <c r="F186" s="39"/>
      <c r="G186" s="39"/>
      <c r="H186" s="39"/>
      <c r="J186" s="40"/>
    </row>
    <row r="187" spans="1:10" ht="15.75" customHeight="1">
      <c r="A187" s="39"/>
      <c r="C187" s="39"/>
      <c r="D187" s="39"/>
      <c r="E187" s="39"/>
      <c r="F187" s="39"/>
      <c r="G187" s="39"/>
      <c r="H187" s="39"/>
      <c r="J187" s="40"/>
    </row>
    <row r="188" spans="1:10" ht="15.75" customHeight="1">
      <c r="A188" s="39"/>
      <c r="C188" s="39"/>
      <c r="D188" s="39"/>
      <c r="E188" s="39"/>
      <c r="F188" s="39"/>
      <c r="G188" s="39"/>
      <c r="H188" s="39"/>
      <c r="J188" s="40"/>
    </row>
    <row r="189" spans="1:10" ht="15.75" customHeight="1">
      <c r="A189" s="39"/>
      <c r="C189" s="39"/>
      <c r="D189" s="39"/>
      <c r="E189" s="39"/>
      <c r="F189" s="39"/>
      <c r="G189" s="39"/>
      <c r="H189" s="39"/>
      <c r="J189" s="40"/>
    </row>
    <row r="190" spans="1:10" ht="15.75" customHeight="1">
      <c r="A190" s="39"/>
      <c r="C190" s="39"/>
      <c r="D190" s="39"/>
      <c r="E190" s="39"/>
      <c r="F190" s="39"/>
      <c r="G190" s="39"/>
      <c r="H190" s="39"/>
      <c r="J190" s="40"/>
    </row>
    <row r="191" spans="1:10" ht="15.75" customHeight="1">
      <c r="A191" s="39"/>
      <c r="C191" s="39"/>
      <c r="D191" s="39"/>
      <c r="E191" s="39"/>
      <c r="F191" s="39"/>
      <c r="G191" s="39"/>
      <c r="H191" s="39"/>
      <c r="J191" s="40"/>
    </row>
    <row r="192" spans="1:10" ht="15.75" customHeight="1">
      <c r="A192" s="39"/>
      <c r="C192" s="39"/>
      <c r="D192" s="39"/>
      <c r="E192" s="39"/>
      <c r="F192" s="39"/>
      <c r="G192" s="39"/>
      <c r="H192" s="39"/>
      <c r="J192" s="40"/>
    </row>
    <row r="193" spans="1:10" ht="15.75" customHeight="1">
      <c r="A193" s="39"/>
      <c r="C193" s="39"/>
      <c r="D193" s="39"/>
      <c r="E193" s="39"/>
      <c r="F193" s="39"/>
      <c r="G193" s="39"/>
      <c r="H193" s="39"/>
      <c r="J193" s="40"/>
    </row>
    <row r="194" spans="1:10" ht="15.75" customHeight="1">
      <c r="A194" s="39"/>
      <c r="C194" s="39"/>
      <c r="D194" s="39"/>
      <c r="E194" s="39"/>
      <c r="F194" s="39"/>
      <c r="G194" s="39"/>
      <c r="H194" s="39"/>
      <c r="J194" s="40"/>
    </row>
    <row r="195" spans="1:10" ht="15.75" customHeight="1">
      <c r="A195" s="39"/>
      <c r="C195" s="39"/>
      <c r="D195" s="39"/>
      <c r="E195" s="39"/>
      <c r="F195" s="39"/>
      <c r="G195" s="39"/>
      <c r="H195" s="39"/>
      <c r="J195" s="40"/>
    </row>
    <row r="196" spans="1:10" ht="15.75" customHeight="1">
      <c r="A196" s="39"/>
      <c r="C196" s="39"/>
      <c r="D196" s="39"/>
      <c r="E196" s="39"/>
      <c r="F196" s="39"/>
      <c r="G196" s="39"/>
      <c r="H196" s="39"/>
      <c r="J196" s="40"/>
    </row>
    <row r="197" spans="1:10" ht="15.75" customHeight="1">
      <c r="A197" s="39"/>
      <c r="C197" s="39"/>
      <c r="D197" s="39"/>
      <c r="E197" s="39"/>
      <c r="F197" s="39"/>
      <c r="G197" s="39"/>
      <c r="H197" s="39"/>
      <c r="J197" s="40"/>
    </row>
    <row r="198" spans="1:10" ht="15.75" customHeight="1">
      <c r="A198" s="39"/>
      <c r="C198" s="39"/>
      <c r="D198" s="39"/>
      <c r="E198" s="39"/>
      <c r="F198" s="39"/>
      <c r="G198" s="39"/>
      <c r="H198" s="39"/>
      <c r="J198" s="40"/>
    </row>
    <row r="199" spans="1:10" ht="15.75" customHeight="1">
      <c r="A199" s="39"/>
      <c r="C199" s="39"/>
      <c r="D199" s="39"/>
      <c r="E199" s="39"/>
      <c r="F199" s="39"/>
      <c r="G199" s="39"/>
      <c r="H199" s="39"/>
      <c r="J199" s="40"/>
    </row>
    <row r="200" spans="1:10" ht="15.75" customHeight="1">
      <c r="A200" s="39"/>
      <c r="C200" s="39"/>
      <c r="D200" s="39"/>
      <c r="E200" s="39"/>
      <c r="F200" s="39"/>
      <c r="G200" s="39"/>
      <c r="H200" s="39"/>
      <c r="J200" s="40"/>
    </row>
    <row r="201" spans="1:10" ht="15.75" customHeight="1">
      <c r="A201" s="39"/>
      <c r="C201" s="39"/>
      <c r="D201" s="39"/>
      <c r="E201" s="39"/>
      <c r="F201" s="39"/>
      <c r="G201" s="39"/>
      <c r="H201" s="39"/>
      <c r="J201" s="40"/>
    </row>
    <row r="202" spans="1:10" ht="15.75" customHeight="1">
      <c r="A202" s="39"/>
      <c r="C202" s="39"/>
      <c r="D202" s="39"/>
      <c r="E202" s="39"/>
      <c r="F202" s="39"/>
      <c r="G202" s="39"/>
      <c r="H202" s="39"/>
      <c r="J202" s="40"/>
    </row>
    <row r="203" spans="1:10" ht="15.75" customHeight="1">
      <c r="A203" s="39"/>
      <c r="C203" s="39"/>
      <c r="D203" s="39"/>
      <c r="E203" s="39"/>
      <c r="F203" s="39"/>
      <c r="G203" s="39"/>
      <c r="H203" s="39"/>
      <c r="J203" s="40"/>
    </row>
    <row r="204" spans="1:10" ht="15.75" customHeight="1">
      <c r="A204" s="39"/>
      <c r="C204" s="39"/>
      <c r="D204" s="39"/>
      <c r="E204" s="39"/>
      <c r="F204" s="39"/>
      <c r="G204" s="39"/>
      <c r="H204" s="39"/>
      <c r="J204" s="40"/>
    </row>
    <row r="205" spans="1:10" ht="15.75" customHeight="1">
      <c r="A205" s="39"/>
      <c r="C205" s="39"/>
      <c r="D205" s="39"/>
      <c r="E205" s="39"/>
      <c r="F205" s="39"/>
      <c r="G205" s="39"/>
      <c r="H205" s="39"/>
      <c r="J205" s="40"/>
    </row>
    <row r="206" spans="1:10" ht="15.75" customHeight="1">
      <c r="A206" s="39"/>
      <c r="C206" s="39"/>
      <c r="D206" s="39"/>
      <c r="E206" s="39"/>
      <c r="F206" s="39"/>
      <c r="G206" s="39"/>
      <c r="H206" s="39"/>
      <c r="J206" s="40"/>
    </row>
    <row r="207" spans="1:10" ht="15.75" customHeight="1">
      <c r="A207" s="39"/>
      <c r="C207" s="39"/>
      <c r="D207" s="39"/>
      <c r="E207" s="39"/>
      <c r="F207" s="39"/>
      <c r="G207" s="39"/>
      <c r="H207" s="39"/>
      <c r="J207" s="40"/>
    </row>
    <row r="208" spans="1:10" ht="15.75" customHeight="1">
      <c r="A208" s="39"/>
      <c r="C208" s="39"/>
      <c r="D208" s="39"/>
      <c r="E208" s="39"/>
      <c r="F208" s="39"/>
      <c r="G208" s="39"/>
      <c r="H208" s="39"/>
      <c r="J208" s="40"/>
    </row>
    <row r="209" spans="1:10" ht="15.75" customHeight="1">
      <c r="A209" s="39"/>
      <c r="C209" s="39"/>
      <c r="D209" s="39"/>
      <c r="E209" s="39"/>
      <c r="F209" s="39"/>
      <c r="G209" s="39"/>
      <c r="H209" s="39"/>
      <c r="J209" s="40"/>
    </row>
    <row r="210" spans="1:10" ht="15.75" customHeight="1">
      <c r="A210" s="39"/>
      <c r="C210" s="39"/>
      <c r="D210" s="39"/>
      <c r="E210" s="39"/>
      <c r="F210" s="39"/>
      <c r="G210" s="39"/>
      <c r="H210" s="39"/>
      <c r="J210" s="40"/>
    </row>
    <row r="211" spans="1:10" ht="15.75" customHeight="1">
      <c r="A211" s="39"/>
      <c r="C211" s="39"/>
      <c r="D211" s="39"/>
      <c r="E211" s="39"/>
      <c r="F211" s="39"/>
      <c r="G211" s="39"/>
      <c r="H211" s="39"/>
      <c r="J211" s="40"/>
    </row>
    <row r="212" spans="1:10" ht="15.75" customHeight="1">
      <c r="A212" s="39"/>
      <c r="C212" s="39"/>
      <c r="D212" s="39"/>
      <c r="E212" s="39"/>
      <c r="F212" s="39"/>
      <c r="G212" s="39"/>
      <c r="H212" s="39"/>
      <c r="J212" s="40"/>
    </row>
    <row r="213" spans="1:10" ht="15.75" customHeight="1">
      <c r="A213" s="39"/>
      <c r="C213" s="39"/>
      <c r="D213" s="39"/>
      <c r="E213" s="39"/>
      <c r="F213" s="39"/>
      <c r="G213" s="39"/>
      <c r="H213" s="39"/>
      <c r="J213" s="40"/>
    </row>
    <row r="214" spans="1:10" ht="15.75" customHeight="1">
      <c r="A214" s="39"/>
      <c r="C214" s="39"/>
      <c r="D214" s="39"/>
      <c r="E214" s="39"/>
      <c r="F214" s="39"/>
      <c r="G214" s="39"/>
      <c r="H214" s="39"/>
      <c r="J214" s="40"/>
    </row>
    <row r="215" spans="1:10" ht="15.75" customHeight="1">
      <c r="A215" s="39"/>
      <c r="C215" s="39"/>
      <c r="D215" s="39"/>
      <c r="E215" s="39"/>
      <c r="F215" s="39"/>
      <c r="G215" s="39"/>
      <c r="H215" s="39"/>
      <c r="J215" s="40"/>
    </row>
    <row r="216" spans="1:10" ht="15.75" customHeight="1">
      <c r="A216" s="39"/>
      <c r="C216" s="39"/>
      <c r="D216" s="39"/>
      <c r="E216" s="39"/>
      <c r="F216" s="39"/>
      <c r="G216" s="39"/>
      <c r="H216" s="39"/>
      <c r="J216" s="40"/>
    </row>
    <row r="217" spans="1:10" ht="15.75" customHeight="1">
      <c r="A217" s="39"/>
      <c r="C217" s="39"/>
      <c r="D217" s="39"/>
      <c r="E217" s="39"/>
      <c r="F217" s="39"/>
      <c r="G217" s="39"/>
      <c r="H217" s="39"/>
      <c r="J217" s="40"/>
    </row>
    <row r="218" spans="1:10" ht="15.75" customHeight="1">
      <c r="A218" s="39"/>
      <c r="C218" s="39"/>
      <c r="D218" s="39"/>
      <c r="E218" s="39"/>
      <c r="F218" s="39"/>
      <c r="G218" s="39"/>
      <c r="H218" s="39"/>
      <c r="J218" s="40"/>
    </row>
    <row r="219" spans="1:10" ht="15.75" customHeight="1">
      <c r="A219" s="39"/>
      <c r="C219" s="39"/>
      <c r="D219" s="39"/>
      <c r="E219" s="39"/>
      <c r="F219" s="39"/>
      <c r="G219" s="39"/>
      <c r="H219" s="39"/>
      <c r="J219" s="40"/>
    </row>
    <row r="220" spans="1:10" ht="15.75" customHeight="1">
      <c r="A220" s="39"/>
      <c r="C220" s="39"/>
      <c r="D220" s="39"/>
      <c r="E220" s="39"/>
      <c r="F220" s="39"/>
      <c r="G220" s="39"/>
      <c r="H220" s="39"/>
      <c r="J220" s="40"/>
    </row>
    <row r="221" spans="1:10" ht="15.75" customHeight="1">
      <c r="A221" s="39"/>
      <c r="C221" s="39"/>
      <c r="D221" s="39"/>
      <c r="E221" s="39"/>
      <c r="F221" s="39"/>
      <c r="G221" s="39"/>
      <c r="H221" s="39"/>
      <c r="J221" s="40"/>
    </row>
    <row r="222" spans="1:10" ht="15.75" customHeight="1">
      <c r="A222" s="39"/>
      <c r="C222" s="39"/>
      <c r="D222" s="39"/>
      <c r="E222" s="39"/>
      <c r="F222" s="39"/>
      <c r="G222" s="39"/>
      <c r="H222" s="39"/>
      <c r="J222" s="40"/>
    </row>
    <row r="223" spans="1:10" ht="15.75" customHeight="1">
      <c r="A223" s="39"/>
      <c r="C223" s="39"/>
      <c r="D223" s="39"/>
      <c r="E223" s="39"/>
      <c r="F223" s="39"/>
      <c r="G223" s="39"/>
      <c r="H223" s="39"/>
      <c r="J223" s="40"/>
    </row>
    <row r="224" spans="1:10" ht="15.75" customHeight="1">
      <c r="A224" s="39"/>
      <c r="C224" s="39"/>
      <c r="D224" s="39"/>
      <c r="E224" s="39"/>
      <c r="F224" s="39"/>
      <c r="G224" s="39"/>
      <c r="H224" s="39"/>
      <c r="J224" s="40"/>
    </row>
    <row r="225" spans="1:10" ht="15.75" customHeight="1">
      <c r="A225" s="39"/>
      <c r="C225" s="39"/>
      <c r="D225" s="39"/>
      <c r="E225" s="39"/>
      <c r="F225" s="39"/>
      <c r="G225" s="39"/>
      <c r="H225" s="39"/>
      <c r="J225" s="40"/>
    </row>
    <row r="226" spans="1:10" ht="15.75" customHeight="1">
      <c r="A226" s="39"/>
      <c r="C226" s="39"/>
      <c r="D226" s="39"/>
      <c r="E226" s="39"/>
      <c r="F226" s="39"/>
      <c r="G226" s="39"/>
      <c r="H226" s="39"/>
      <c r="J226" s="40"/>
    </row>
    <row r="227" spans="1:10" ht="15.75" customHeight="1">
      <c r="A227" s="39"/>
      <c r="C227" s="39"/>
      <c r="D227" s="39"/>
      <c r="E227" s="39"/>
      <c r="F227" s="39"/>
      <c r="G227" s="39"/>
      <c r="H227" s="39"/>
      <c r="J227" s="40"/>
    </row>
    <row r="228" spans="1:10" ht="15.75" customHeight="1">
      <c r="A228" s="39"/>
      <c r="C228" s="39"/>
      <c r="D228" s="39"/>
      <c r="E228" s="39"/>
      <c r="F228" s="39"/>
      <c r="G228" s="39"/>
      <c r="H228" s="39"/>
      <c r="J228" s="40"/>
    </row>
    <row r="229" spans="1:10" ht="15.75" customHeight="1">
      <c r="A229" s="39"/>
      <c r="C229" s="39"/>
      <c r="D229" s="39"/>
      <c r="E229" s="39"/>
      <c r="F229" s="39"/>
      <c r="G229" s="39"/>
      <c r="H229" s="39"/>
      <c r="J229" s="40"/>
    </row>
    <row r="230" spans="1:10" ht="15.75" customHeight="1">
      <c r="A230" s="39"/>
      <c r="C230" s="39"/>
      <c r="D230" s="39"/>
      <c r="E230" s="39"/>
      <c r="F230" s="39"/>
      <c r="G230" s="39"/>
      <c r="H230" s="39"/>
      <c r="J230" s="40"/>
    </row>
    <row r="231" spans="1:10" ht="15.75" customHeight="1">
      <c r="A231" s="39"/>
      <c r="C231" s="39"/>
      <c r="D231" s="39"/>
      <c r="E231" s="39"/>
      <c r="F231" s="39"/>
      <c r="G231" s="39"/>
      <c r="H231" s="39"/>
      <c r="J231" s="40"/>
    </row>
    <row r="232" spans="1:10" ht="15.75" customHeight="1">
      <c r="A232" s="39"/>
      <c r="C232" s="39"/>
      <c r="D232" s="39"/>
      <c r="E232" s="39"/>
      <c r="F232" s="39"/>
      <c r="G232" s="39"/>
      <c r="H232" s="39"/>
      <c r="J232" s="40"/>
    </row>
    <row r="233" spans="1:10" ht="15.75" customHeight="1">
      <c r="J233" s="40"/>
    </row>
    <row r="234" spans="1:10" ht="15.75" customHeight="1">
      <c r="J234" s="40"/>
    </row>
    <row r="235" spans="1:10" ht="15.75" customHeight="1">
      <c r="J235" s="40"/>
    </row>
    <row r="236" spans="1:10" ht="15.75" customHeight="1">
      <c r="J236" s="40"/>
    </row>
    <row r="237" spans="1:10" ht="15.75" customHeight="1">
      <c r="J237" s="40"/>
    </row>
    <row r="238" spans="1:10" ht="15.75" customHeight="1">
      <c r="J238" s="40"/>
    </row>
    <row r="239" spans="1:10" ht="15.75" customHeight="1">
      <c r="J239" s="40"/>
    </row>
    <row r="240" spans="1:10" ht="15.75" customHeight="1">
      <c r="J240" s="40"/>
    </row>
    <row r="241" spans="10:10" ht="15.75" customHeight="1">
      <c r="J241" s="40"/>
    </row>
    <row r="242" spans="10:10" ht="15.75" customHeight="1">
      <c r="J242" s="40"/>
    </row>
    <row r="243" spans="10:10" ht="15.75" customHeight="1">
      <c r="J243" s="40"/>
    </row>
    <row r="244" spans="10:10" ht="15.75" customHeight="1">
      <c r="J244" s="40"/>
    </row>
    <row r="245" spans="10:10" ht="15.75" customHeight="1">
      <c r="J245" s="40"/>
    </row>
    <row r="246" spans="10:10" ht="15.75" customHeight="1">
      <c r="J246" s="40"/>
    </row>
    <row r="247" spans="10:10" ht="15.75" customHeight="1">
      <c r="J247" s="40"/>
    </row>
    <row r="248" spans="10:10" ht="15.75" customHeight="1">
      <c r="J248" s="40"/>
    </row>
    <row r="249" spans="10:10" ht="15.75" customHeight="1">
      <c r="J249" s="40"/>
    </row>
    <row r="250" spans="10:10" ht="15.75" customHeight="1">
      <c r="J250" s="40"/>
    </row>
    <row r="251" spans="10:10" ht="15.75" customHeight="1">
      <c r="J251" s="40"/>
    </row>
    <row r="252" spans="10:10" ht="15.75" customHeight="1">
      <c r="J252" s="40"/>
    </row>
    <row r="253" spans="10:10" ht="15.75" customHeight="1">
      <c r="J253" s="40"/>
    </row>
    <row r="254" spans="10:10" ht="15.75" customHeight="1"/>
    <row r="255" spans="10:10" ht="15.75" customHeight="1"/>
    <row r="256" spans="10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:G31">
    <cfRule type="colorScale" priority="7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R42:R52">
    <cfRule type="expression" dxfId="9" priority="8">
      <formula>"число"</formula>
    </cfRule>
  </conditionalFormatting>
  <conditionalFormatting sqref="R42:R51">
    <cfRule type="notContainsBlanks" dxfId="8" priority="9">
      <formula>LEN(TRIM(R42))&gt;0</formula>
    </cfRule>
  </conditionalFormatting>
  <conditionalFormatting sqref="S42:S44">
    <cfRule type="expression" dxfId="5" priority="5">
      <formula>"число"</formula>
    </cfRule>
  </conditionalFormatting>
  <conditionalFormatting sqref="S42:S44">
    <cfRule type="notContainsBlanks" dxfId="4" priority="6">
      <formula>LEN(TRIM(S42))&gt;0</formula>
    </cfRule>
  </conditionalFormatting>
  <conditionalFormatting sqref="T42:T44">
    <cfRule type="expression" dxfId="3" priority="3">
      <formula>"число"</formula>
    </cfRule>
  </conditionalFormatting>
  <conditionalFormatting sqref="T42:T44">
    <cfRule type="notContainsBlanks" dxfId="2" priority="4">
      <formula>LEN(TRIM(T42))&gt;0</formula>
    </cfRule>
  </conditionalFormatting>
  <conditionalFormatting sqref="N45">
    <cfRule type="expression" dxfId="1" priority="1">
      <formula>"число"</formula>
    </cfRule>
  </conditionalFormatting>
  <conditionalFormatting sqref="N45">
    <cfRule type="notContainsBlanks" dxfId="0" priority="2">
      <formula>LEN(TRIM(N45))&gt;0</formula>
    </cfRule>
  </conditionalFormatting>
  <hyperlinks>
    <hyperlink ref="G36" r:id="rId1" xr:uid="{00000000-0004-0000-0000-000000000000}"/>
    <hyperlink ref="O37" r:id="rId2" location="news-research" xr:uid="{00000000-0004-0000-0000-000001000000}"/>
  </hyperlinks>
  <pageMargins left="0.7" right="0.7" top="0.75" bottom="0.75" header="0" footer="0"/>
  <pageSetup paperSize="9" orientation="portrait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/>
  <cols>
    <col min="1" max="1" width="2.6328125" customWidth="1"/>
    <col min="2" max="2" width="11.90625" customWidth="1"/>
    <col min="3" max="3" width="4.90625" customWidth="1"/>
    <col min="4" max="4" width="7.453125" customWidth="1"/>
    <col min="5" max="5" width="6.36328125" customWidth="1"/>
    <col min="6" max="6" width="6.453125" customWidth="1"/>
    <col min="7" max="7" width="8.7265625" customWidth="1"/>
    <col min="8" max="8" width="4.7265625" hidden="1" customWidth="1"/>
    <col min="9" max="9" width="10.26953125" customWidth="1"/>
    <col min="10" max="11" width="9.453125" customWidth="1"/>
    <col min="12" max="12" width="7" customWidth="1"/>
    <col min="13" max="13" width="9.6328125" customWidth="1"/>
    <col min="14" max="14" width="9.36328125" customWidth="1"/>
    <col min="15" max="15" width="10.90625" customWidth="1"/>
    <col min="16" max="16" width="8.6328125" customWidth="1"/>
    <col min="17" max="17" width="10.6328125" customWidth="1"/>
    <col min="18" max="18" width="11.08984375" customWidth="1"/>
    <col min="19" max="19" width="9" customWidth="1"/>
    <col min="20" max="20" width="9.453125" customWidth="1"/>
    <col min="21" max="28" width="8.36328125" customWidth="1"/>
  </cols>
  <sheetData>
    <row r="1" spans="1:20" ht="84">
      <c r="A1" s="1"/>
      <c r="B1" s="2" t="s">
        <v>0</v>
      </c>
      <c r="C1" s="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1" t="s">
        <v>15</v>
      </c>
      <c r="R1" s="63" t="s">
        <v>78</v>
      </c>
      <c r="S1" s="4" t="s">
        <v>10</v>
      </c>
      <c r="T1" s="4" t="s">
        <v>11</v>
      </c>
    </row>
    <row r="2" spans="1:20" ht="15.75" customHeight="1">
      <c r="A2" s="9">
        <v>1</v>
      </c>
      <c r="B2" s="10" t="str">
        <f ca="1">IFERROR(__xludf.DUMMYFUNCTION("GOOGLEFINANCE(C2, ""name"")"),"UnitedHealth Group Inc")</f>
        <v>UnitedHealth Group Inc</v>
      </c>
      <c r="C2" s="11" t="str">
        <f t="shared" ref="C2:C31" si="0">I2</f>
        <v>UNH</v>
      </c>
      <c r="D2" s="12">
        <f t="shared" ref="D2:D31" ca="1" si="1">E2/H2*100</f>
        <v>10.916836475056957</v>
      </c>
      <c r="E2" s="9">
        <f ca="1">IFERROR(__xludf.DUMMYFUNCTION("GOOGLEFINANCE(C2, ""price"")"),508.42)</f>
        <v>508.42</v>
      </c>
      <c r="F2" s="13">
        <f t="shared" ref="F2:F31" si="2">VLOOKUP(I2,$Q$1:$R$31, 2, 0)</f>
        <v>1</v>
      </c>
      <c r="G2" s="13">
        <f t="shared" ref="G2:G31" ca="1" si="3">E2*F2</f>
        <v>508.42</v>
      </c>
      <c r="H2" s="9">
        <f ca="1">E32</f>
        <v>4657.2099999999991</v>
      </c>
      <c r="I2" s="64" t="s">
        <v>19</v>
      </c>
      <c r="J2" s="15">
        <f t="shared" ref="J2:J31" ca="1" si="4">G2/$G$32*100</f>
        <v>10.326960146082959</v>
      </c>
      <c r="K2" s="16">
        <f t="shared" ref="K2:K31" ca="1" si="5">ABS(J2-D2)</f>
        <v>0.58987632897399855</v>
      </c>
      <c r="L2" s="16">
        <f t="shared" ref="L2:L31" si="6">VLOOKUP(I2,$Q$1:$S$31,3,0)</f>
        <v>1.29</v>
      </c>
      <c r="M2" s="17">
        <f t="shared" ref="M2:M31" ca="1" si="7">VLOOKUP(I2,$Q$1:$T$31, 4,0)</f>
        <v>6.5586179999999992</v>
      </c>
      <c r="N2" s="18">
        <v>0</v>
      </c>
      <c r="O2" s="19">
        <f t="shared" ref="O2:O31" ca="1" si="8">N2/E2</f>
        <v>0</v>
      </c>
      <c r="P2" s="19">
        <f t="shared" ref="P2:P31" si="9">N2*F2</f>
        <v>0</v>
      </c>
      <c r="Q2" s="20" t="s">
        <v>19</v>
      </c>
      <c r="R2" s="21">
        <v>1</v>
      </c>
      <c r="S2" s="16">
        <v>1.29</v>
      </c>
      <c r="T2" s="17">
        <f t="shared" ref="T2:T31" ca="1" si="10">S2*G2/$J$32</f>
        <v>6.5586179999999992</v>
      </c>
    </row>
    <row r="3" spans="1:20" ht="15.75" customHeight="1">
      <c r="A3" s="9">
        <v>2</v>
      </c>
      <c r="B3" s="10" t="str">
        <f ca="1">IFERROR(__xludf.DUMMYFUNCTION("GOOGLEFINANCE(C3, ""name"")"),"Goldman Sachs Group Inc")</f>
        <v>Goldman Sachs Group Inc</v>
      </c>
      <c r="C3" s="11" t="str">
        <f t="shared" si="0"/>
        <v>GS</v>
      </c>
      <c r="D3" s="12">
        <f t="shared" ca="1" si="1"/>
        <v>6.1880396202876842</v>
      </c>
      <c r="E3" s="24">
        <f ca="1">IFERROR(__xludf.DUMMYFUNCTION("GOOGLEFINANCE(C3, ""price"")"),288.19)</f>
        <v>288.19</v>
      </c>
      <c r="F3" s="13">
        <f t="shared" si="2"/>
        <v>1</v>
      </c>
      <c r="G3" s="13">
        <f t="shared" ca="1" si="3"/>
        <v>288.19</v>
      </c>
      <c r="H3" s="25">
        <f ca="1">E32</f>
        <v>4657.2099999999991</v>
      </c>
      <c r="I3" s="65" t="s">
        <v>20</v>
      </c>
      <c r="J3" s="15">
        <f t="shared" ca="1" si="4"/>
        <v>5.8536773622195195</v>
      </c>
      <c r="K3" s="16">
        <f t="shared" ca="1" si="5"/>
        <v>0.33436225806816466</v>
      </c>
      <c r="L3" s="16">
        <f t="shared" si="6"/>
        <v>1.67</v>
      </c>
      <c r="M3" s="17">
        <f t="shared" ca="1" si="7"/>
        <v>4.8127729999999991</v>
      </c>
      <c r="N3" s="18">
        <v>0</v>
      </c>
      <c r="O3" s="19">
        <f t="shared" ca="1" si="8"/>
        <v>0</v>
      </c>
      <c r="P3" s="19">
        <f t="shared" si="9"/>
        <v>0</v>
      </c>
      <c r="Q3" s="20" t="s">
        <v>20</v>
      </c>
      <c r="R3" s="21">
        <v>1</v>
      </c>
      <c r="S3" s="16">
        <v>1.67</v>
      </c>
      <c r="T3" s="17">
        <f t="shared" ca="1" si="10"/>
        <v>4.8127729999999991</v>
      </c>
    </row>
    <row r="4" spans="1:20" ht="15.75" customHeight="1">
      <c r="A4" s="9">
        <v>3</v>
      </c>
      <c r="B4" s="10" t="str">
        <f ca="1">IFERROR(__xludf.DUMMYFUNCTION("GOOGLEFINANCE(C4, ""name"")"),"Home Depot Inc")</f>
        <v>Home Depot Inc</v>
      </c>
      <c r="C4" s="11" t="str">
        <f t="shared" si="0"/>
        <v>HD</v>
      </c>
      <c r="D4" s="12">
        <f t="shared" ca="1" si="1"/>
        <v>6.0607101676754978</v>
      </c>
      <c r="E4" s="24">
        <f ca="1">IFERROR(__xludf.DUMMYFUNCTION("GOOGLEFINANCE(C4, ""price"")"),282.26)</f>
        <v>282.26</v>
      </c>
      <c r="F4" s="13">
        <f t="shared" si="2"/>
        <v>1</v>
      </c>
      <c r="G4" s="13">
        <f t="shared" ca="1" si="3"/>
        <v>282.26</v>
      </c>
      <c r="H4" s="25">
        <f ca="1">E32</f>
        <v>4657.2099999999991</v>
      </c>
      <c r="I4" s="65" t="s">
        <v>21</v>
      </c>
      <c r="J4" s="15">
        <f t="shared" ca="1" si="4"/>
        <v>5.733227982442421</v>
      </c>
      <c r="K4" s="16">
        <f t="shared" ca="1" si="5"/>
        <v>0.32748218523307671</v>
      </c>
      <c r="L4" s="16">
        <f t="shared" si="6"/>
        <v>1.18</v>
      </c>
      <c r="M4" s="17">
        <f t="shared" ca="1" si="7"/>
        <v>3.3306679999999989</v>
      </c>
      <c r="N4" s="18">
        <v>0</v>
      </c>
      <c r="O4" s="19">
        <f t="shared" ca="1" si="8"/>
        <v>0</v>
      </c>
      <c r="P4" s="19">
        <f t="shared" si="9"/>
        <v>0</v>
      </c>
      <c r="Q4" s="20" t="s">
        <v>21</v>
      </c>
      <c r="R4" s="21">
        <v>1</v>
      </c>
      <c r="S4" s="16">
        <v>1.18</v>
      </c>
      <c r="T4" s="17">
        <f t="shared" ca="1" si="10"/>
        <v>3.3306679999999989</v>
      </c>
    </row>
    <row r="5" spans="1:20" ht="15.75" customHeight="1">
      <c r="A5" s="9">
        <v>4</v>
      </c>
      <c r="B5" s="10" t="str">
        <f ca="1">IFERROR(__xludf.DUMMYFUNCTION("GOOGLEFINANCE(C5, ""name"")"),"Microsoft Corporation")</f>
        <v>Microsoft Corporation</v>
      </c>
      <c r="C5" s="11" t="str">
        <f t="shared" si="0"/>
        <v>MSFT</v>
      </c>
      <c r="D5" s="12">
        <f t="shared" ca="1" si="1"/>
        <v>5.363941072015221</v>
      </c>
      <c r="E5" s="24">
        <f ca="1">IFERROR(__xludf.DUMMYFUNCTION("GOOGLEFINANCE(C5, ""price"")"),249.81)</f>
        <v>249.81</v>
      </c>
      <c r="F5" s="13">
        <f t="shared" si="2"/>
        <v>1</v>
      </c>
      <c r="G5" s="13">
        <f t="shared" ca="1" si="3"/>
        <v>249.81</v>
      </c>
      <c r="H5" s="25">
        <f ca="1">E32</f>
        <v>4657.2099999999991</v>
      </c>
      <c r="I5" s="65" t="s">
        <v>22</v>
      </c>
      <c r="J5" s="15">
        <f t="shared" ca="1" si="4"/>
        <v>5.0741078519589786</v>
      </c>
      <c r="K5" s="16">
        <f t="shared" ca="1" si="5"/>
        <v>0.28983322005624235</v>
      </c>
      <c r="L5" s="16">
        <f t="shared" si="6"/>
        <v>2.0499999999999998</v>
      </c>
      <c r="M5" s="17">
        <f t="shared" ca="1" si="7"/>
        <v>5.1211049999999991</v>
      </c>
      <c r="N5" s="18">
        <v>0</v>
      </c>
      <c r="O5" s="19">
        <f t="shared" ca="1" si="8"/>
        <v>0</v>
      </c>
      <c r="P5" s="19">
        <f t="shared" si="9"/>
        <v>0</v>
      </c>
      <c r="Q5" s="20" t="s">
        <v>22</v>
      </c>
      <c r="R5" s="21">
        <v>1</v>
      </c>
      <c r="S5" s="16">
        <v>2.0499999999999998</v>
      </c>
      <c r="T5" s="17">
        <f t="shared" ca="1" si="10"/>
        <v>5.1211049999999991</v>
      </c>
    </row>
    <row r="6" spans="1:20" ht="15.75" customHeight="1">
      <c r="A6" s="9">
        <v>5</v>
      </c>
      <c r="B6" s="10" t="str">
        <f ca="1">IFERROR(__xludf.DUMMYFUNCTION("GOOGLEFINANCE(C6, ""name"")"),"McDonald's Corp")</f>
        <v>McDonald's Corp</v>
      </c>
      <c r="C6" s="11" t="str">
        <f t="shared" si="0"/>
        <v>MCD</v>
      </c>
      <c r="D6" s="12">
        <f t="shared" ca="1" si="1"/>
        <v>5.3841248301021434</v>
      </c>
      <c r="E6" s="9">
        <f ca="1">IFERROR(__xludf.DUMMYFUNCTION("GOOGLEFINANCE(C6, ""price"")"),250.75)</f>
        <v>250.75</v>
      </c>
      <c r="F6" s="13">
        <f t="shared" si="2"/>
        <v>1</v>
      </c>
      <c r="G6" s="13">
        <f t="shared" ca="1" si="3"/>
        <v>250.75</v>
      </c>
      <c r="H6" s="25">
        <f ca="1">E32</f>
        <v>4657.2099999999991</v>
      </c>
      <c r="I6" s="65" t="s">
        <v>23</v>
      </c>
      <c r="J6" s="15">
        <f t="shared" ca="1" si="4"/>
        <v>5.0932010082811496</v>
      </c>
      <c r="K6" s="16">
        <f t="shared" ca="1" si="5"/>
        <v>0.29092382182099374</v>
      </c>
      <c r="L6" s="16">
        <f t="shared" si="6"/>
        <v>2.74</v>
      </c>
      <c r="M6" s="17">
        <f t="shared" ca="1" si="7"/>
        <v>6.7628680000000001</v>
      </c>
      <c r="N6" s="18">
        <v>0</v>
      </c>
      <c r="O6" s="19">
        <f t="shared" ca="1" si="8"/>
        <v>0</v>
      </c>
      <c r="P6" s="19">
        <f t="shared" si="9"/>
        <v>0</v>
      </c>
      <c r="Q6" s="20" t="s">
        <v>24</v>
      </c>
      <c r="R6" s="21">
        <v>1</v>
      </c>
      <c r="S6" s="16">
        <v>2.2400000000000002</v>
      </c>
      <c r="T6" s="17">
        <f t="shared" ca="1" si="10"/>
        <v>5.6167999999999996</v>
      </c>
    </row>
    <row r="7" spans="1:20" ht="15.75" customHeight="1">
      <c r="A7" s="9">
        <v>6</v>
      </c>
      <c r="B7" s="10" t="str">
        <f ca="1">IFERROR(__xludf.DUMMYFUNCTION("GOOGLEFINANCE(C7, ""name"")"),"Amgen, Inc.")</f>
        <v>Amgen, Inc.</v>
      </c>
      <c r="C7" s="11" t="str">
        <f t="shared" si="0"/>
        <v>AMGN</v>
      </c>
      <c r="D7" s="12">
        <f t="shared" ca="1" si="1"/>
        <v>5.2997395436323469</v>
      </c>
      <c r="E7" s="24">
        <f ca="1">IFERROR(__xludf.DUMMYFUNCTION("GOOGLEFINANCE(C7, ""price"")"),246.82)</f>
        <v>246.82</v>
      </c>
      <c r="F7" s="13">
        <f t="shared" si="2"/>
        <v>1</v>
      </c>
      <c r="G7" s="13">
        <f t="shared" ca="1" si="3"/>
        <v>246.82</v>
      </c>
      <c r="H7" s="25">
        <f ca="1">E32</f>
        <v>4657.2099999999991</v>
      </c>
      <c r="I7" s="65" t="s">
        <v>24</v>
      </c>
      <c r="J7" s="15">
        <f t="shared" ca="1" si="4"/>
        <v>5.0133753653597335</v>
      </c>
      <c r="K7" s="16">
        <f t="shared" ca="1" si="5"/>
        <v>0.2863641782726134</v>
      </c>
      <c r="L7" s="16">
        <f t="shared" si="6"/>
        <v>2.2400000000000002</v>
      </c>
      <c r="M7" s="17">
        <f t="shared" ca="1" si="7"/>
        <v>5.6167999999999996</v>
      </c>
      <c r="N7" s="18">
        <v>0</v>
      </c>
      <c r="O7" s="19">
        <f t="shared" ca="1" si="8"/>
        <v>0</v>
      </c>
      <c r="P7" s="19">
        <f t="shared" si="9"/>
        <v>0</v>
      </c>
      <c r="Q7" s="20" t="s">
        <v>23</v>
      </c>
      <c r="R7" s="21">
        <v>1</v>
      </c>
      <c r="S7" s="16">
        <v>2.74</v>
      </c>
      <c r="T7" s="17">
        <f t="shared" ca="1" si="10"/>
        <v>6.7628680000000001</v>
      </c>
    </row>
    <row r="8" spans="1:20" ht="15.75" customHeight="1">
      <c r="A8" s="9">
        <v>7</v>
      </c>
      <c r="B8" s="10" t="str">
        <f ca="1">IFERROR(__xludf.DUMMYFUNCTION("GOOGLEFINANCE(C8, ""name"")"),"Visa Inc")</f>
        <v>Visa Inc</v>
      </c>
      <c r="C8" s="11" t="str">
        <f t="shared" si="0"/>
        <v>V</v>
      </c>
      <c r="D8" s="12">
        <f t="shared" ca="1" si="1"/>
        <v>4.3141709306644973</v>
      </c>
      <c r="E8" s="24">
        <f ca="1">IFERROR(__xludf.DUMMYFUNCTION("GOOGLEFINANCE(C8, ""price"")"),200.92)</f>
        <v>200.92</v>
      </c>
      <c r="F8" s="13">
        <f t="shared" si="2"/>
        <v>1</v>
      </c>
      <c r="G8" s="13">
        <f t="shared" ca="1" si="3"/>
        <v>200.92</v>
      </c>
      <c r="H8" s="25">
        <f ca="1">E32</f>
        <v>4657.2099999999991</v>
      </c>
      <c r="I8" s="65" t="s">
        <v>25</v>
      </c>
      <c r="J8" s="15">
        <f t="shared" ca="1" si="4"/>
        <v>4.0810606045218281</v>
      </c>
      <c r="K8" s="16">
        <f t="shared" ca="1" si="5"/>
        <v>0.23311032614266924</v>
      </c>
      <c r="L8" s="16">
        <f t="shared" si="6"/>
        <v>2.2599999999999998</v>
      </c>
      <c r="M8" s="17">
        <f t="shared" ca="1" si="7"/>
        <v>3.9238119999999994</v>
      </c>
      <c r="N8" s="18">
        <v>0</v>
      </c>
      <c r="O8" s="19">
        <f t="shared" ca="1" si="8"/>
        <v>0</v>
      </c>
      <c r="P8" s="19">
        <f t="shared" si="9"/>
        <v>0</v>
      </c>
      <c r="Q8" s="20" t="s">
        <v>26</v>
      </c>
      <c r="R8" s="21">
        <v>1</v>
      </c>
      <c r="S8" s="16">
        <v>0.57999999999999996</v>
      </c>
      <c r="T8" s="17">
        <f t="shared" ca="1" si="10"/>
        <v>1.1653359999999997</v>
      </c>
    </row>
    <row r="9" spans="1:20" ht="15.75" customHeight="1">
      <c r="A9" s="9">
        <v>8</v>
      </c>
      <c r="B9" s="10" t="str">
        <f ca="1">IFERROR(__xludf.DUMMYFUNCTION("GOOGLEFINANCE(C9, ""name"")"),"Caterpillar Inc.")</f>
        <v>Caterpillar Inc.</v>
      </c>
      <c r="C9" s="11" t="str">
        <f t="shared" si="0"/>
        <v>CAT</v>
      </c>
      <c r="D9" s="12">
        <f t="shared" ca="1" si="1"/>
        <v>3.7279830628208743</v>
      </c>
      <c r="E9" s="24">
        <f ca="1">IFERROR(__xludf.DUMMYFUNCTION("GOOGLEFINANCE(C9, ""price"")"),173.62)</f>
        <v>173.62</v>
      </c>
      <c r="F9" s="13">
        <f t="shared" si="2"/>
        <v>1</v>
      </c>
      <c r="G9" s="13">
        <f t="shared" ca="1" si="3"/>
        <v>173.62</v>
      </c>
      <c r="H9" s="25">
        <f ca="1">E32</f>
        <v>4657.2099999999991</v>
      </c>
      <c r="I9" s="65" t="s">
        <v>26</v>
      </c>
      <c r="J9" s="15">
        <f t="shared" ca="1" si="4"/>
        <v>3.5265465964417673</v>
      </c>
      <c r="K9" s="16">
        <f t="shared" ca="1" si="5"/>
        <v>0.20143646637910706</v>
      </c>
      <c r="L9" s="16">
        <f t="shared" si="6"/>
        <v>0.57999999999999996</v>
      </c>
      <c r="M9" s="17">
        <f t="shared" ca="1" si="7"/>
        <v>1.1653359999999997</v>
      </c>
      <c r="N9" s="18">
        <v>0</v>
      </c>
      <c r="O9" s="19">
        <f t="shared" ca="1" si="8"/>
        <v>0</v>
      </c>
      <c r="P9" s="19">
        <f t="shared" si="9"/>
        <v>0</v>
      </c>
      <c r="Q9" s="20" t="s">
        <v>25</v>
      </c>
      <c r="R9" s="21">
        <v>1</v>
      </c>
      <c r="S9" s="16">
        <v>2.2599999999999998</v>
      </c>
      <c r="T9" s="17">
        <f t="shared" ca="1" si="10"/>
        <v>3.9238119999999994</v>
      </c>
    </row>
    <row r="10" spans="1:20" ht="15.75" customHeight="1">
      <c r="A10" s="9">
        <v>9</v>
      </c>
      <c r="B10" s="10" t="str">
        <f ca="1">IFERROR(__xludf.DUMMYFUNCTION("GOOGLEFINANCE(C10, ""name"")"),"Johnson &amp; Johnson")</f>
        <v>Johnson &amp; Johnson</v>
      </c>
      <c r="C10" s="11" t="str">
        <f t="shared" si="0"/>
        <v>JNJ</v>
      </c>
      <c r="D10" s="12">
        <f t="shared" ca="1" si="1"/>
        <v>3.7614795124119387</v>
      </c>
      <c r="E10" s="9">
        <f ca="1">IFERROR(__xludf.DUMMYFUNCTION("GOOGLEFINANCE(C10, ""price"")"),175.18)</f>
        <v>175.18</v>
      </c>
      <c r="F10" s="13">
        <f t="shared" si="2"/>
        <v>2</v>
      </c>
      <c r="G10" s="13">
        <f t="shared" ca="1" si="3"/>
        <v>350.36</v>
      </c>
      <c r="H10" s="25">
        <f ca="1">E32</f>
        <v>4657.2099999999991</v>
      </c>
      <c r="I10" s="65" t="s">
        <v>27</v>
      </c>
      <c r="J10" s="15">
        <f t="shared" ca="1" si="4"/>
        <v>7.1164662223783992</v>
      </c>
      <c r="K10" s="16">
        <f t="shared" ca="1" si="5"/>
        <v>3.3549867099664605</v>
      </c>
      <c r="L10" s="16">
        <f t="shared" si="6"/>
        <v>2.5299999999999998</v>
      </c>
      <c r="M10" s="17">
        <f t="shared" ca="1" si="7"/>
        <v>3.668499999999999</v>
      </c>
      <c r="N10" s="18">
        <v>0</v>
      </c>
      <c r="O10" s="19">
        <f t="shared" ca="1" si="8"/>
        <v>0</v>
      </c>
      <c r="P10" s="19">
        <f t="shared" si="9"/>
        <v>0</v>
      </c>
      <c r="Q10" s="20" t="s">
        <v>28</v>
      </c>
      <c r="R10" s="21">
        <v>1</v>
      </c>
      <c r="S10" s="16">
        <v>0</v>
      </c>
      <c r="T10" s="17">
        <f t="shared" ca="1" si="10"/>
        <v>0</v>
      </c>
    </row>
    <row r="11" spans="1:20" ht="15.75" customHeight="1">
      <c r="A11" s="9">
        <v>10</v>
      </c>
      <c r="B11" s="10" t="str">
        <f ca="1">IFERROR(__xludf.DUMMYFUNCTION("GOOGLEFINANCE(C11, ""name"")"),"Honeywell International Inc")</f>
        <v>Honeywell International Inc</v>
      </c>
      <c r="C11" s="11" t="str">
        <f t="shared" si="0"/>
        <v>HON</v>
      </c>
      <c r="D11" s="27">
        <f t="shared" ca="1" si="1"/>
        <v>3.675161738465734</v>
      </c>
      <c r="E11" s="24">
        <f ca="1">IFERROR(__xludf.DUMMYFUNCTION("GOOGLEFINANCE(C11, ""price"")"),171.16)</f>
        <v>171.16</v>
      </c>
      <c r="F11" s="13">
        <f t="shared" si="2"/>
        <v>1</v>
      </c>
      <c r="G11" s="13">
        <f t="shared" ca="1" si="3"/>
        <v>171.16</v>
      </c>
      <c r="H11" s="25">
        <f ca="1">E32</f>
        <v>4657.2099999999991</v>
      </c>
      <c r="I11" s="65" t="s">
        <v>28</v>
      </c>
      <c r="J11" s="15">
        <f t="shared" ca="1" si="4"/>
        <v>3.4765794001092782</v>
      </c>
      <c r="K11" s="16">
        <f t="shared" ca="1" si="5"/>
        <v>0.19858233835645578</v>
      </c>
      <c r="L11" s="16">
        <f t="shared" si="6"/>
        <v>0</v>
      </c>
      <c r="M11" s="17">
        <f t="shared" ca="1" si="7"/>
        <v>0</v>
      </c>
      <c r="N11" s="18">
        <v>0</v>
      </c>
      <c r="O11" s="19">
        <f t="shared" ca="1" si="8"/>
        <v>0</v>
      </c>
      <c r="P11" s="19">
        <f t="shared" si="9"/>
        <v>0</v>
      </c>
      <c r="Q11" s="20" t="s">
        <v>29</v>
      </c>
      <c r="R11" s="21">
        <v>1</v>
      </c>
      <c r="S11" s="16">
        <v>1.89</v>
      </c>
      <c r="T11" s="17">
        <f t="shared" ca="1" si="10"/>
        <v>3.2349239999999995</v>
      </c>
    </row>
    <row r="12" spans="1:20" ht="15.75" customHeight="1">
      <c r="A12" s="9">
        <v>11</v>
      </c>
      <c r="B12" s="10" t="str">
        <f ca="1">IFERROR(__xludf.DUMMYFUNCTION("GOOGLEFINANCE(C12, ""name"")"),"Travelers Companies Inc")</f>
        <v>Travelers Companies Inc</v>
      </c>
      <c r="C12" s="11" t="str">
        <f t="shared" si="0"/>
        <v>TRV</v>
      </c>
      <c r="D12" s="12">
        <f t="shared" ca="1" si="1"/>
        <v>3.537955127640799</v>
      </c>
      <c r="E12" s="24">
        <f ca="1">IFERROR(__xludf.DUMMYFUNCTION("GOOGLEFINANCE(C12, ""price"")"),164.77)</f>
        <v>164.77</v>
      </c>
      <c r="F12" s="13">
        <f t="shared" si="2"/>
        <v>1</v>
      </c>
      <c r="G12" s="13">
        <f t="shared" ca="1" si="3"/>
        <v>164.77</v>
      </c>
      <c r="H12" s="25">
        <f ca="1">E32</f>
        <v>4657.2099999999991</v>
      </c>
      <c r="I12" s="65" t="s">
        <v>30</v>
      </c>
      <c r="J12" s="15">
        <f t="shared" ca="1" si="4"/>
        <v>3.346786560855374</v>
      </c>
      <c r="K12" s="16">
        <f t="shared" ca="1" si="5"/>
        <v>0.19116856678542504</v>
      </c>
      <c r="L12" s="16">
        <f t="shared" si="6"/>
        <v>1.29</v>
      </c>
      <c r="M12" s="17">
        <f t="shared" ca="1" si="7"/>
        <v>2.1255329999999999</v>
      </c>
      <c r="N12" s="18">
        <v>0</v>
      </c>
      <c r="O12" s="19">
        <f t="shared" ca="1" si="8"/>
        <v>0</v>
      </c>
      <c r="P12" s="19">
        <f t="shared" si="9"/>
        <v>0</v>
      </c>
      <c r="Q12" s="20" t="s">
        <v>30</v>
      </c>
      <c r="R12" s="21">
        <v>1</v>
      </c>
      <c r="S12" s="16">
        <v>1.29</v>
      </c>
      <c r="T12" s="17">
        <f t="shared" ca="1" si="10"/>
        <v>2.1255329999999999</v>
      </c>
    </row>
    <row r="13" spans="1:20" ht="15.75" customHeight="1">
      <c r="A13" s="9">
        <v>12</v>
      </c>
      <c r="B13" s="10" t="str">
        <f ca="1">IFERROR(__xludf.DUMMYFUNCTION("GOOGLEFINANCE(C13, ""name"")"),"Salesforce Inc")</f>
        <v>Salesforce Inc</v>
      </c>
      <c r="C13" s="11" t="str">
        <f t="shared" si="0"/>
        <v>CRM</v>
      </c>
      <c r="D13" s="12">
        <f t="shared" ca="1" si="1"/>
        <v>3.5005937030969192</v>
      </c>
      <c r="E13" s="9">
        <f ca="1">IFERROR(__xludf.DUMMYFUNCTION("GOOGLEFINANCE(C13, ""price"")"),163.03)</f>
        <v>163.03</v>
      </c>
      <c r="F13" s="13">
        <f t="shared" si="2"/>
        <v>1</v>
      </c>
      <c r="G13" s="13">
        <f t="shared" ca="1" si="3"/>
        <v>163.03</v>
      </c>
      <c r="H13" s="25">
        <f ca="1">E32</f>
        <v>4657.2099999999991</v>
      </c>
      <c r="I13" s="65" t="s">
        <v>29</v>
      </c>
      <c r="J13" s="15">
        <f t="shared" ca="1" si="4"/>
        <v>3.3114439097909303</v>
      </c>
      <c r="K13" s="16">
        <f t="shared" ca="1" si="5"/>
        <v>0.18914979330598891</v>
      </c>
      <c r="L13" s="16">
        <f t="shared" si="6"/>
        <v>1.89</v>
      </c>
      <c r="M13" s="17">
        <f t="shared" ca="1" si="7"/>
        <v>3.2349239999999995</v>
      </c>
      <c r="N13" s="18">
        <v>0</v>
      </c>
      <c r="O13" s="19">
        <f t="shared" ca="1" si="8"/>
        <v>0</v>
      </c>
      <c r="P13" s="19">
        <f t="shared" si="9"/>
        <v>0</v>
      </c>
      <c r="Q13" s="20" t="s">
        <v>31</v>
      </c>
      <c r="R13" s="21">
        <v>1</v>
      </c>
      <c r="S13" s="16">
        <v>2</v>
      </c>
      <c r="T13" s="17">
        <f t="shared" ca="1" si="10"/>
        <v>3.2605999999999997</v>
      </c>
    </row>
    <row r="14" spans="1:20" ht="15.75" customHeight="1">
      <c r="A14" s="9">
        <v>13</v>
      </c>
      <c r="B14" s="10" t="str">
        <f ca="1">IFERROR(__xludf.DUMMYFUNCTION("GOOGLEFINANCE(C14, ""name"")"),"Chevron Corporation")</f>
        <v>Chevron Corporation</v>
      </c>
      <c r="C14" s="11" t="str">
        <f t="shared" si="0"/>
        <v>CVX</v>
      </c>
      <c r="D14" s="12">
        <f t="shared" ca="1" si="1"/>
        <v>3.0146804631957766</v>
      </c>
      <c r="E14" s="9">
        <f ca="1">IFERROR(__xludf.DUMMYFUNCTION("GOOGLEFINANCE(C14, ""price"")"),140.4)</f>
        <v>140.4</v>
      </c>
      <c r="F14" s="13">
        <f t="shared" si="2"/>
        <v>2</v>
      </c>
      <c r="G14" s="13">
        <f t="shared" ca="1" si="3"/>
        <v>280.8</v>
      </c>
      <c r="H14" s="25">
        <f ca="1">E32</f>
        <v>4657.2099999999991</v>
      </c>
      <c r="I14" s="65" t="s">
        <v>32</v>
      </c>
      <c r="J14" s="15">
        <f t="shared" ca="1" si="4"/>
        <v>5.7035726545377736</v>
      </c>
      <c r="K14" s="16">
        <f t="shared" ca="1" si="5"/>
        <v>2.688892191341997</v>
      </c>
      <c r="L14" s="16">
        <f t="shared" si="6"/>
        <v>0.9</v>
      </c>
      <c r="M14" s="17">
        <f t="shared" ca="1" si="7"/>
        <v>1.2322799999999998</v>
      </c>
      <c r="N14" s="18">
        <v>0</v>
      </c>
      <c r="O14" s="19">
        <f t="shared" ca="1" si="8"/>
        <v>0</v>
      </c>
      <c r="P14" s="19">
        <f t="shared" si="9"/>
        <v>0</v>
      </c>
      <c r="Q14" s="20" t="s">
        <v>33</v>
      </c>
      <c r="R14" s="21">
        <v>1</v>
      </c>
      <c r="S14" s="16">
        <v>2.2799999999999998</v>
      </c>
      <c r="T14" s="17">
        <f t="shared" ca="1" si="10"/>
        <v>6.4022399999999982</v>
      </c>
    </row>
    <row r="15" spans="1:20" ht="15.75" customHeight="1">
      <c r="A15" s="9">
        <v>14</v>
      </c>
      <c r="B15" s="10" t="str">
        <f ca="1">IFERROR(__xludf.DUMMYFUNCTION("GOOGLEFINANCE(C15, ""name"")"),"Procter &amp; Gamble Co")</f>
        <v>Procter &amp; Gamble Co</v>
      </c>
      <c r="C15" s="11" t="str">
        <f t="shared" si="0"/>
        <v>PG</v>
      </c>
      <c r="D15" s="12">
        <f t="shared" ca="1" si="1"/>
        <v>3.1134520453232737</v>
      </c>
      <c r="E15" s="9">
        <f ca="1">IFERROR(__xludf.DUMMYFUNCTION("GOOGLEFINANCE(C15, ""price"")"),145)</f>
        <v>145</v>
      </c>
      <c r="F15" s="13">
        <f t="shared" si="2"/>
        <v>1</v>
      </c>
      <c r="G15" s="13">
        <f t="shared" ca="1" si="3"/>
        <v>145</v>
      </c>
      <c r="H15" s="25">
        <f ca="1">E32</f>
        <v>4657.2099999999991</v>
      </c>
      <c r="I15" s="65" t="s">
        <v>34</v>
      </c>
      <c r="J15" s="15">
        <f t="shared" ca="1" si="4"/>
        <v>2.9452209220369556</v>
      </c>
      <c r="K15" s="16">
        <f t="shared" ca="1" si="5"/>
        <v>0.16823112328631806</v>
      </c>
      <c r="L15" s="16">
        <f t="shared" si="6"/>
        <v>2.77</v>
      </c>
      <c r="M15" s="17">
        <f t="shared" ca="1" si="7"/>
        <v>4.0128989999999991</v>
      </c>
      <c r="N15" s="18">
        <v>0</v>
      </c>
      <c r="O15" s="19">
        <f t="shared" ca="1" si="8"/>
        <v>0</v>
      </c>
      <c r="P15" s="19">
        <f t="shared" si="9"/>
        <v>0</v>
      </c>
      <c r="Q15" s="20" t="s">
        <v>27</v>
      </c>
      <c r="R15" s="26">
        <v>2</v>
      </c>
      <c r="S15" s="16">
        <v>2.5299999999999998</v>
      </c>
      <c r="T15" s="17">
        <f t="shared" ca="1" si="10"/>
        <v>3.668499999999999</v>
      </c>
    </row>
    <row r="16" spans="1:20" ht="15.75" customHeight="1">
      <c r="A16" s="9">
        <v>15</v>
      </c>
      <c r="B16" s="10" t="str">
        <f ca="1">IFERROR(__xludf.DUMMYFUNCTION("GOOGLEFINANCE(C16, ""name"")"),"IBM Common Stock")</f>
        <v>IBM Common Stock</v>
      </c>
      <c r="C16" s="11" t="str">
        <f t="shared" si="0"/>
        <v>IBM</v>
      </c>
      <c r="D16" s="12">
        <f t="shared" ca="1" si="1"/>
        <v>2.9399576141080179</v>
      </c>
      <c r="E16" s="9">
        <f ca="1">IFERROR(__xludf.DUMMYFUNCTION("GOOGLEFINANCE(C16, ""price"")"),136.92)</f>
        <v>136.91999999999999</v>
      </c>
      <c r="F16" s="13">
        <f t="shared" si="2"/>
        <v>1</v>
      </c>
      <c r="G16" s="13">
        <f t="shared" ca="1" si="3"/>
        <v>136.91999999999999</v>
      </c>
      <c r="H16" s="25">
        <f ca="1">E32</f>
        <v>4657.2099999999991</v>
      </c>
      <c r="I16" s="65" t="s">
        <v>35</v>
      </c>
      <c r="J16" s="15">
        <f t="shared" ca="1" si="4"/>
        <v>2.7811010251399995</v>
      </c>
      <c r="K16" s="16">
        <f t="shared" ca="1" si="5"/>
        <v>0.15885658896801846</v>
      </c>
      <c r="L16" s="16">
        <f t="shared" si="6"/>
        <v>0.97</v>
      </c>
      <c r="M16" s="17">
        <f t="shared" ca="1" si="7"/>
        <v>0.99871199999999971</v>
      </c>
      <c r="N16" s="18">
        <v>0</v>
      </c>
      <c r="O16" s="19">
        <f t="shared" ca="1" si="8"/>
        <v>0</v>
      </c>
      <c r="P16" s="19">
        <f t="shared" si="9"/>
        <v>0</v>
      </c>
      <c r="Q16" s="20" t="s">
        <v>32</v>
      </c>
      <c r="R16" s="21">
        <v>2</v>
      </c>
      <c r="S16" s="16">
        <v>0.9</v>
      </c>
      <c r="T16" s="17">
        <f t="shared" ca="1" si="10"/>
        <v>1.2322799999999998</v>
      </c>
    </row>
    <row r="17" spans="1:20" ht="15.75" customHeight="1">
      <c r="A17" s="9">
        <v>16</v>
      </c>
      <c r="B17" s="10" t="str">
        <f ca="1">IFERROR(__xludf.DUMMYFUNCTION("GOOGLEFINANCE(C17, ""name"")"),"American Express Company")</f>
        <v>American Express Company</v>
      </c>
      <c r="C17" s="11" t="str">
        <f t="shared" si="0"/>
        <v>AXP</v>
      </c>
      <c r="D17" s="12">
        <f t="shared" ca="1" si="1"/>
        <v>2.9710921345612507</v>
      </c>
      <c r="E17" s="9">
        <f ca="1">IFERROR(__xludf.DUMMYFUNCTION("GOOGLEFINANCE(C17, ""price"")"),138.37)</f>
        <v>138.37</v>
      </c>
      <c r="F17" s="13">
        <f t="shared" si="2"/>
        <v>1</v>
      </c>
      <c r="G17" s="13">
        <f t="shared" ca="1" si="3"/>
        <v>138.37</v>
      </c>
      <c r="H17" s="25">
        <f ca="1">E32</f>
        <v>4657.2099999999991</v>
      </c>
      <c r="I17" s="65" t="s">
        <v>33</v>
      </c>
      <c r="J17" s="15">
        <f t="shared" ca="1" si="4"/>
        <v>2.8105532343603694</v>
      </c>
      <c r="K17" s="16">
        <f t="shared" ca="1" si="5"/>
        <v>0.16053890020088124</v>
      </c>
      <c r="L17" s="16">
        <f t="shared" si="6"/>
        <v>2.2799999999999998</v>
      </c>
      <c r="M17" s="17">
        <f t="shared" ca="1" si="7"/>
        <v>6.4022399999999982</v>
      </c>
      <c r="N17" s="18">
        <v>0</v>
      </c>
      <c r="O17" s="19">
        <f t="shared" ca="1" si="8"/>
        <v>0</v>
      </c>
      <c r="P17" s="19">
        <f t="shared" si="9"/>
        <v>0</v>
      </c>
      <c r="Q17" s="20" t="s">
        <v>36</v>
      </c>
      <c r="R17" s="21">
        <v>1</v>
      </c>
      <c r="S17" s="16">
        <v>4.32</v>
      </c>
      <c r="T17" s="17">
        <f t="shared" ca="1" si="10"/>
        <v>5.9775839999999993</v>
      </c>
    </row>
    <row r="18" spans="1:20" ht="15.75" customHeight="1">
      <c r="A18" s="9">
        <v>17</v>
      </c>
      <c r="B18" s="10" t="str">
        <f ca="1">IFERROR(__xludf.DUMMYFUNCTION("GOOGLEFINANCE(C18, ""name"")"),"Apple Inc")</f>
        <v>Apple Inc</v>
      </c>
      <c r="C18" s="11" t="str">
        <f t="shared" si="0"/>
        <v>AAPL</v>
      </c>
      <c r="D18" s="12">
        <f t="shared" ca="1" si="1"/>
        <v>3.1106606745240182</v>
      </c>
      <c r="E18" s="9">
        <f ca="1">IFERROR(__xludf.DUMMYFUNCTION("GOOGLEFINANCE(C18, ""price"")"),144.87)</f>
        <v>144.87</v>
      </c>
      <c r="F18" s="13">
        <f t="shared" si="2"/>
        <v>1</v>
      </c>
      <c r="G18" s="13">
        <f t="shared" ca="1" si="3"/>
        <v>144.87</v>
      </c>
      <c r="H18" s="25">
        <f ca="1">E32</f>
        <v>4657.2099999999991</v>
      </c>
      <c r="I18" s="65" t="s">
        <v>36</v>
      </c>
      <c r="J18" s="15">
        <f t="shared" ca="1" si="4"/>
        <v>2.9425803791413365</v>
      </c>
      <c r="K18" s="16">
        <f t="shared" ca="1" si="5"/>
        <v>0.16808029538268165</v>
      </c>
      <c r="L18" s="16">
        <f t="shared" si="6"/>
        <v>4.32</v>
      </c>
      <c r="M18" s="17">
        <f t="shared" ca="1" si="7"/>
        <v>5.9775839999999993</v>
      </c>
      <c r="N18" s="18">
        <v>0</v>
      </c>
      <c r="O18" s="19">
        <f t="shared" ca="1" si="8"/>
        <v>0</v>
      </c>
      <c r="P18" s="19">
        <f t="shared" si="9"/>
        <v>0</v>
      </c>
      <c r="Q18" s="20" t="s">
        <v>34</v>
      </c>
      <c r="R18" s="21">
        <v>1</v>
      </c>
      <c r="S18" s="16">
        <v>2.77</v>
      </c>
      <c r="T18" s="17">
        <f t="shared" ca="1" si="10"/>
        <v>4.0128989999999991</v>
      </c>
    </row>
    <row r="19" spans="1:20" ht="15.75" customHeight="1">
      <c r="A19" s="9">
        <v>18</v>
      </c>
      <c r="B19" s="10" t="str">
        <f ca="1">IFERROR(__xludf.DUMMYFUNCTION("GOOGLEFINANCE(C19, ""name"")"),"Boeing Co")</f>
        <v>Boeing Co</v>
      </c>
      <c r="C19" s="11" t="str">
        <f t="shared" si="0"/>
        <v>BA</v>
      </c>
      <c r="D19" s="12">
        <f t="shared" ca="1" si="1"/>
        <v>3.1059368162483554</v>
      </c>
      <c r="E19" s="24">
        <f ca="1">IFERROR(__xludf.DUMMYFUNCTION("GOOGLEFINANCE(C19, ""price"")"),144.65)</f>
        <v>144.65</v>
      </c>
      <c r="F19" s="13">
        <f t="shared" si="2"/>
        <v>1</v>
      </c>
      <c r="G19" s="13">
        <f t="shared" ca="1" si="3"/>
        <v>144.65</v>
      </c>
      <c r="H19" s="25">
        <f ca="1">E32</f>
        <v>4657.2099999999991</v>
      </c>
      <c r="I19" s="65" t="s">
        <v>31</v>
      </c>
      <c r="J19" s="15">
        <f t="shared" ca="1" si="4"/>
        <v>2.9381117680872113</v>
      </c>
      <c r="K19" s="16">
        <f t="shared" ca="1" si="5"/>
        <v>0.16782504816114407</v>
      </c>
      <c r="L19" s="16">
        <f t="shared" si="6"/>
        <v>2</v>
      </c>
      <c r="M19" s="17">
        <f t="shared" ca="1" si="7"/>
        <v>3.2605999999999997</v>
      </c>
      <c r="N19" s="18">
        <v>0</v>
      </c>
      <c r="O19" s="19">
        <f t="shared" ca="1" si="8"/>
        <v>0</v>
      </c>
      <c r="P19" s="19">
        <f t="shared" si="9"/>
        <v>0</v>
      </c>
      <c r="Q19" s="20" t="s">
        <v>37</v>
      </c>
      <c r="R19" s="21">
        <v>1</v>
      </c>
      <c r="S19" s="16">
        <v>1.77</v>
      </c>
      <c r="T19" s="17">
        <f t="shared" ca="1" si="10"/>
        <v>2.5603049999999996</v>
      </c>
    </row>
    <row r="20" spans="1:20" ht="15.75" customHeight="1">
      <c r="A20" s="9">
        <v>19</v>
      </c>
      <c r="B20" s="10" t="str">
        <f ca="1">IFERROR(__xludf.DUMMYFUNCTION("GOOGLEFINANCE(C20, ""name"")"),"3M Co")</f>
        <v>3M Co</v>
      </c>
      <c r="C20" s="11" t="str">
        <f t="shared" si="0"/>
        <v>MMM</v>
      </c>
      <c r="D20" s="12">
        <f t="shared" ca="1" si="1"/>
        <v>2.7576596288335731</v>
      </c>
      <c r="E20" s="9">
        <f ca="1">IFERROR(__xludf.DUMMYFUNCTION("GOOGLEFINANCE(C20, ""price"")"),128.43)</f>
        <v>128.43</v>
      </c>
      <c r="F20" s="13">
        <f t="shared" si="2"/>
        <v>1</v>
      </c>
      <c r="G20" s="13">
        <f t="shared" ca="1" si="3"/>
        <v>128.43</v>
      </c>
      <c r="H20" s="25">
        <f ca="1">E32</f>
        <v>4657.2099999999991</v>
      </c>
      <c r="I20" s="65" t="s">
        <v>38</v>
      </c>
      <c r="J20" s="15">
        <f t="shared" ca="1" si="4"/>
        <v>2.6086532621876293</v>
      </c>
      <c r="K20" s="16">
        <f t="shared" ca="1" si="5"/>
        <v>0.1490063666459438</v>
      </c>
      <c r="L20" s="16">
        <f t="shared" si="6"/>
        <v>2.9</v>
      </c>
      <c r="M20" s="17">
        <f t="shared" ca="1" si="7"/>
        <v>3.7244699999999993</v>
      </c>
      <c r="N20" s="18">
        <v>0</v>
      </c>
      <c r="O20" s="19">
        <f t="shared" ca="1" si="8"/>
        <v>0</v>
      </c>
      <c r="P20" s="19">
        <f t="shared" si="9"/>
        <v>0</v>
      </c>
      <c r="Q20" s="20" t="s">
        <v>38</v>
      </c>
      <c r="R20" s="22">
        <v>1</v>
      </c>
      <c r="S20" s="16">
        <v>2.9</v>
      </c>
      <c r="T20" s="17">
        <f t="shared" ca="1" si="10"/>
        <v>3.7244699999999993</v>
      </c>
    </row>
    <row r="21" spans="1:20" ht="15.75" customHeight="1">
      <c r="A21" s="9">
        <v>20</v>
      </c>
      <c r="B21" s="10" t="str">
        <f ca="1">IFERROR(__xludf.DUMMYFUNCTION("GOOGLEFINANCE(C21, ""name"")"),"Walmart Inc")</f>
        <v>Walmart Inc</v>
      </c>
      <c r="C21" s="11" t="str">
        <f t="shared" si="0"/>
        <v>WMT</v>
      </c>
      <c r="D21" s="12">
        <f t="shared" ca="1" si="1"/>
        <v>2.6741332256866244</v>
      </c>
      <c r="E21" s="9">
        <f ca="1">IFERROR(__xludf.DUMMYFUNCTION("GOOGLEFINANCE(C21, ""price"")"),124.54)</f>
        <v>124.54</v>
      </c>
      <c r="F21" s="13">
        <f t="shared" si="2"/>
        <v>1</v>
      </c>
      <c r="G21" s="13">
        <f t="shared" ca="1" si="3"/>
        <v>124.54</v>
      </c>
      <c r="H21" s="25">
        <f ca="1">E32</f>
        <v>4657.2099999999991</v>
      </c>
      <c r="I21" s="65" t="s">
        <v>37</v>
      </c>
      <c r="J21" s="15">
        <f t="shared" ca="1" si="4"/>
        <v>2.5296400940033275</v>
      </c>
      <c r="K21" s="16">
        <f t="shared" ca="1" si="5"/>
        <v>0.14449313168329692</v>
      </c>
      <c r="L21" s="16">
        <f t="shared" si="6"/>
        <v>1.77</v>
      </c>
      <c r="M21" s="17">
        <f t="shared" ca="1" si="7"/>
        <v>2.5603049999999996</v>
      </c>
      <c r="N21" s="18">
        <v>0</v>
      </c>
      <c r="O21" s="19">
        <f t="shared" ca="1" si="8"/>
        <v>0</v>
      </c>
      <c r="P21" s="19">
        <f t="shared" si="9"/>
        <v>0</v>
      </c>
      <c r="Q21" s="20" t="s">
        <v>39</v>
      </c>
      <c r="R21" s="21">
        <v>1</v>
      </c>
      <c r="S21" s="16">
        <v>1.5</v>
      </c>
      <c r="T21" s="17">
        <f t="shared" ca="1" si="10"/>
        <v>1.8680999999999996</v>
      </c>
    </row>
    <row r="22" spans="1:20" ht="15.75" customHeight="1">
      <c r="A22" s="9">
        <v>21</v>
      </c>
      <c r="B22" s="10" t="str">
        <f ca="1">IFERROR(__xludf.DUMMYFUNCTION("GOOGLEFINANCE(C22, ""name"")"),"JPMorgan Chase &amp; Co")</f>
        <v>JPMorgan Chase &amp; Co</v>
      </c>
      <c r="C22" s="11" t="str">
        <f t="shared" si="0"/>
        <v>JPM</v>
      </c>
      <c r="D22" s="12">
        <f t="shared" ca="1" si="1"/>
        <v>2.39070172914685</v>
      </c>
      <c r="E22" s="9">
        <f ca="1">IFERROR(__xludf.DUMMYFUNCTION("GOOGLEFINANCE(C22, ""price"")"),111.34)</f>
        <v>111.34</v>
      </c>
      <c r="F22" s="13">
        <f t="shared" si="2"/>
        <v>1</v>
      </c>
      <c r="G22" s="13">
        <f t="shared" ca="1" si="3"/>
        <v>111.34</v>
      </c>
      <c r="H22" s="25">
        <f ca="1">E32</f>
        <v>4657.2099999999991</v>
      </c>
      <c r="I22" s="65" t="s">
        <v>40</v>
      </c>
      <c r="J22" s="15">
        <f t="shared" ca="1" si="4"/>
        <v>2.2615234307558252</v>
      </c>
      <c r="K22" s="16">
        <f t="shared" ca="1" si="5"/>
        <v>0.12917829839102479</v>
      </c>
      <c r="L22" s="16">
        <f t="shared" si="6"/>
        <v>4.96</v>
      </c>
      <c r="M22" s="17">
        <f t="shared" ca="1" si="7"/>
        <v>4.5567519999999995</v>
      </c>
      <c r="N22" s="18">
        <v>0</v>
      </c>
      <c r="O22" s="19">
        <f t="shared" ca="1" si="8"/>
        <v>0</v>
      </c>
      <c r="P22" s="19">
        <f t="shared" si="9"/>
        <v>0</v>
      </c>
      <c r="Q22" s="20" t="s">
        <v>41</v>
      </c>
      <c r="R22" s="22">
        <v>1</v>
      </c>
      <c r="S22" s="16">
        <v>2.4</v>
      </c>
      <c r="T22" s="17">
        <f t="shared" ca="1" si="10"/>
        <v>2.6721599999999999</v>
      </c>
    </row>
    <row r="23" spans="1:20" ht="15.75" customHeight="1">
      <c r="A23" s="9">
        <v>22</v>
      </c>
      <c r="B23" s="10" t="str">
        <f ca="1">IFERROR(__xludf.DUMMYFUNCTION("GOOGLEFINANCE(C23, ""name"")"),"Nike Inc")</f>
        <v>Nike Inc</v>
      </c>
      <c r="C23" s="11" t="str">
        <f t="shared" si="0"/>
        <v>NKE</v>
      </c>
      <c r="D23" s="12">
        <f t="shared" ca="1" si="1"/>
        <v>2.2107656730102359</v>
      </c>
      <c r="E23" s="9">
        <f ca="1">IFERROR(__xludf.DUMMYFUNCTION("GOOGLEFINANCE(C23, ""price"")"),102.96)</f>
        <v>102.96</v>
      </c>
      <c r="F23" s="13">
        <f t="shared" si="2"/>
        <v>1</v>
      </c>
      <c r="G23" s="13">
        <f t="shared" ca="1" si="3"/>
        <v>102.96</v>
      </c>
      <c r="H23" s="25">
        <f ca="1">E32</f>
        <v>4657.2099999999991</v>
      </c>
      <c r="I23" s="65" t="s">
        <v>39</v>
      </c>
      <c r="J23" s="15">
        <f t="shared" ca="1" si="4"/>
        <v>2.0913099733305169</v>
      </c>
      <c r="K23" s="16">
        <f t="shared" ca="1" si="5"/>
        <v>0.11945569967971892</v>
      </c>
      <c r="L23" s="16">
        <f t="shared" si="6"/>
        <v>1.5</v>
      </c>
      <c r="M23" s="17">
        <f t="shared" ca="1" si="7"/>
        <v>1.8680999999999996</v>
      </c>
      <c r="N23" s="18">
        <v>0</v>
      </c>
      <c r="O23" s="19">
        <f t="shared" ca="1" si="8"/>
        <v>0</v>
      </c>
      <c r="P23" s="19">
        <f t="shared" si="9"/>
        <v>0</v>
      </c>
      <c r="Q23" s="20" t="s">
        <v>35</v>
      </c>
      <c r="R23" s="21">
        <v>1</v>
      </c>
      <c r="S23" s="16">
        <v>0.97</v>
      </c>
      <c r="T23" s="17">
        <f t="shared" ca="1" si="10"/>
        <v>0.99871199999999971</v>
      </c>
    </row>
    <row r="24" spans="1:20" ht="15.75" customHeight="1">
      <c r="A24" s="9">
        <v>23</v>
      </c>
      <c r="B24" s="10" t="str">
        <f ca="1">IFERROR(__xludf.DUMMYFUNCTION("GOOGLEFINANCE(C24, ""name"")"),"Walt Disney Co")</f>
        <v>Walt Disney Co</v>
      </c>
      <c r="C24" s="11" t="str">
        <f t="shared" si="0"/>
        <v>DIS</v>
      </c>
      <c r="D24" s="12">
        <f t="shared" ca="1" si="1"/>
        <v>1.9726402717506839</v>
      </c>
      <c r="E24" s="9">
        <f ca="1">IFERROR(__xludf.DUMMYFUNCTION("GOOGLEFINANCE(C24, ""price"")"),91.87)</f>
        <v>91.87</v>
      </c>
      <c r="F24" s="13">
        <f t="shared" si="2"/>
        <v>1</v>
      </c>
      <c r="G24" s="13">
        <f t="shared" ca="1" si="3"/>
        <v>91.87</v>
      </c>
      <c r="H24" s="25">
        <f ca="1">E32</f>
        <v>4657.2099999999991</v>
      </c>
      <c r="I24" s="65" t="s">
        <v>41</v>
      </c>
      <c r="J24" s="15">
        <f t="shared" ca="1" si="4"/>
        <v>1.8660513524657596</v>
      </c>
      <c r="K24" s="16">
        <f t="shared" ca="1" si="5"/>
        <v>0.10658891928492431</v>
      </c>
      <c r="L24" s="16">
        <f t="shared" si="6"/>
        <v>2.4</v>
      </c>
      <c r="M24" s="17">
        <f t="shared" ca="1" si="7"/>
        <v>2.6721599999999999</v>
      </c>
      <c r="N24" s="18">
        <v>0</v>
      </c>
      <c r="O24" s="19">
        <f t="shared" ca="1" si="8"/>
        <v>0</v>
      </c>
      <c r="P24" s="19">
        <f t="shared" si="9"/>
        <v>0</v>
      </c>
      <c r="Q24" s="20" t="s">
        <v>40</v>
      </c>
      <c r="R24" s="22">
        <v>1</v>
      </c>
      <c r="S24" s="16">
        <v>4.96</v>
      </c>
      <c r="T24" s="17">
        <f t="shared" ca="1" si="10"/>
        <v>4.5567519999999995</v>
      </c>
    </row>
    <row r="25" spans="1:20" ht="15.75" customHeight="1">
      <c r="A25" s="9">
        <v>24</v>
      </c>
      <c r="B25" s="10" t="str">
        <f ca="1">IFERROR(__xludf.DUMMYFUNCTION("GOOGLEFINANCE(C25, ""name"")"),"Merck &amp; Co., Inc.")</f>
        <v>Merck &amp; Co., Inc.</v>
      </c>
      <c r="C25" s="11" t="str">
        <f t="shared" si="0"/>
        <v>MRK</v>
      </c>
      <c r="D25" s="12">
        <f t="shared" ca="1" si="1"/>
        <v>2.0125783462631062</v>
      </c>
      <c r="E25" s="9">
        <f ca="1">IFERROR(__xludf.DUMMYFUNCTION("GOOGLEFINANCE(C25, ""price"")"),93.73)</f>
        <v>93.73</v>
      </c>
      <c r="F25" s="13">
        <f t="shared" si="2"/>
        <v>1</v>
      </c>
      <c r="G25" s="13">
        <f t="shared" ca="1" si="3"/>
        <v>93.73</v>
      </c>
      <c r="H25" s="25">
        <f ca="1">E32</f>
        <v>4657.2099999999991</v>
      </c>
      <c r="I25" s="65" t="s">
        <v>42</v>
      </c>
      <c r="J25" s="15">
        <f t="shared" ca="1" si="4"/>
        <v>1.9038314277415438</v>
      </c>
      <c r="K25" s="16">
        <f t="shared" ca="1" si="5"/>
        <v>0.10874691852156237</v>
      </c>
      <c r="L25" s="16">
        <f t="shared" si="6"/>
        <v>3.19</v>
      </c>
      <c r="M25" s="17">
        <f t="shared" ca="1" si="7"/>
        <v>2.9899869999999993</v>
      </c>
      <c r="N25" s="18">
        <v>0</v>
      </c>
      <c r="O25" s="19">
        <f t="shared" ca="1" si="8"/>
        <v>0</v>
      </c>
      <c r="P25" s="19">
        <f t="shared" si="9"/>
        <v>0</v>
      </c>
      <c r="Q25" s="20" t="s">
        <v>42</v>
      </c>
      <c r="R25" s="21">
        <v>1</v>
      </c>
      <c r="S25" s="16">
        <v>3.19</v>
      </c>
      <c r="T25" s="17">
        <f t="shared" ca="1" si="10"/>
        <v>2.9899869999999993</v>
      </c>
    </row>
    <row r="26" spans="1:20" ht="15.75" customHeight="1">
      <c r="A26" s="9">
        <v>25</v>
      </c>
      <c r="B26" s="10" t="str">
        <f ca="1">IFERROR(__xludf.DUMMYFUNCTION("GOOGLEFINANCE(C26, ""name"")"),"Coca-Cola Co")</f>
        <v>Coca-Cola Co</v>
      </c>
      <c r="C26" s="11" t="str">
        <f t="shared" si="0"/>
        <v>KO</v>
      </c>
      <c r="D26" s="12">
        <f t="shared" ca="1" si="1"/>
        <v>1.3385696586582956</v>
      </c>
      <c r="E26" s="9">
        <f ca="1">IFERROR(__xludf.DUMMYFUNCTION("GOOGLEFINANCE(C26, ""price"")"),62.34)</f>
        <v>62.34</v>
      </c>
      <c r="F26" s="13">
        <f t="shared" si="2"/>
        <v>1</v>
      </c>
      <c r="G26" s="13">
        <f t="shared" ca="1" si="3"/>
        <v>62.34</v>
      </c>
      <c r="H26" s="25">
        <f ca="1">E32</f>
        <v>4657.2099999999991</v>
      </c>
      <c r="I26" s="65" t="s">
        <v>43</v>
      </c>
      <c r="J26" s="15">
        <f t="shared" ca="1" si="4"/>
        <v>1.2662418777916125</v>
      </c>
      <c r="K26" s="16">
        <f t="shared" ca="1" si="5"/>
        <v>7.2327780866683122E-2</v>
      </c>
      <c r="L26" s="16">
        <f t="shared" si="6"/>
        <v>3</v>
      </c>
      <c r="M26" s="17">
        <f t="shared" ca="1" si="7"/>
        <v>0</v>
      </c>
      <c r="N26" s="18">
        <v>0</v>
      </c>
      <c r="O26" s="19">
        <f t="shared" ca="1" si="8"/>
        <v>0</v>
      </c>
      <c r="P26" s="19">
        <f t="shared" si="9"/>
        <v>0</v>
      </c>
      <c r="Q26" s="20" t="s">
        <v>44</v>
      </c>
      <c r="R26" s="22">
        <v>0</v>
      </c>
      <c r="S26" s="16">
        <v>4.3899999999999997</v>
      </c>
      <c r="T26" s="17">
        <f t="shared" ca="1" si="10"/>
        <v>2.7367259999999995</v>
      </c>
    </row>
    <row r="27" spans="1:20" ht="15.75" customHeight="1">
      <c r="A27" s="9">
        <v>26</v>
      </c>
      <c r="B27" s="10" t="str">
        <f ca="1">IFERROR(__xludf.DUMMYFUNCTION("GOOGLEFINANCE(C27, ""name"")"),"Dow Inc")</f>
        <v>Dow Inc</v>
      </c>
      <c r="C27" s="11" t="str">
        <f t="shared" si="0"/>
        <v>DOW</v>
      </c>
      <c r="D27" s="12">
        <f t="shared" ca="1" si="1"/>
        <v>1.0641564370084238</v>
      </c>
      <c r="E27" s="9">
        <f ca="1">IFERROR(__xludf.DUMMYFUNCTION("GOOGLEFINANCE(C27, ""price"")"),49.56)</f>
        <v>49.56</v>
      </c>
      <c r="F27" s="13">
        <f t="shared" si="2"/>
        <v>0</v>
      </c>
      <c r="G27" s="13">
        <f t="shared" ca="1" si="3"/>
        <v>0</v>
      </c>
      <c r="H27" s="25">
        <f ca="1">E32</f>
        <v>4657.2099999999991</v>
      </c>
      <c r="I27" s="65" t="s">
        <v>44</v>
      </c>
      <c r="J27" s="15">
        <f t="shared" ca="1" si="4"/>
        <v>0</v>
      </c>
      <c r="K27" s="16">
        <f t="shared" ca="1" si="5"/>
        <v>1.0641564370084238</v>
      </c>
      <c r="L27" s="16">
        <f t="shared" si="6"/>
        <v>4.3899999999999997</v>
      </c>
      <c r="M27" s="17">
        <f t="shared" ca="1" si="7"/>
        <v>2.7367259999999995</v>
      </c>
      <c r="N27" s="18">
        <v>0</v>
      </c>
      <c r="O27" s="19">
        <f t="shared" ca="1" si="8"/>
        <v>0</v>
      </c>
      <c r="P27" s="19">
        <f t="shared" si="9"/>
        <v>0</v>
      </c>
      <c r="Q27" s="20" t="s">
        <v>43</v>
      </c>
      <c r="R27" s="22">
        <v>1</v>
      </c>
      <c r="S27" s="16">
        <v>3</v>
      </c>
      <c r="T27" s="17">
        <f t="shared" ca="1" si="10"/>
        <v>0</v>
      </c>
    </row>
    <row r="28" spans="1:20" ht="15.75" customHeight="1">
      <c r="A28" s="9">
        <v>27</v>
      </c>
      <c r="B28" s="10" t="str">
        <f ca="1">IFERROR(__xludf.DUMMYFUNCTION("GOOGLEFINANCE(C28, ""name"")"),"Verizon Communications Inc.")</f>
        <v>Verizon Communications Inc.</v>
      </c>
      <c r="C28" s="11" t="str">
        <f t="shared" si="0"/>
        <v>VZ</v>
      </c>
      <c r="D28" s="12">
        <f t="shared" ca="1" si="1"/>
        <v>1.0849843575874829</v>
      </c>
      <c r="E28" s="9">
        <f ca="1">IFERROR(__xludf.DUMMYFUNCTION("GOOGLEFINANCE(C28, ""price"")"),50.53)</f>
        <v>50.53</v>
      </c>
      <c r="F28" s="13">
        <f t="shared" si="2"/>
        <v>1</v>
      </c>
      <c r="G28" s="13">
        <f t="shared" ca="1" si="3"/>
        <v>50.53</v>
      </c>
      <c r="H28" s="25">
        <f ca="1">E32</f>
        <v>4657.2099999999991</v>
      </c>
      <c r="I28" s="65" t="s">
        <v>45</v>
      </c>
      <c r="J28" s="15">
        <f t="shared" ca="1" si="4"/>
        <v>1.0263587116588095</v>
      </c>
      <c r="K28" s="16">
        <f t="shared" ca="1" si="5"/>
        <v>5.8625645928673364E-2</v>
      </c>
      <c r="L28" s="16">
        <f t="shared" si="6"/>
        <v>2.78</v>
      </c>
      <c r="M28" s="17">
        <f t="shared" ca="1" si="7"/>
        <v>1.4047339999999997</v>
      </c>
      <c r="N28" s="18">
        <v>0</v>
      </c>
      <c r="O28" s="19">
        <f t="shared" ca="1" si="8"/>
        <v>0</v>
      </c>
      <c r="P28" s="19">
        <f t="shared" si="9"/>
        <v>0</v>
      </c>
      <c r="Q28" s="20" t="s">
        <v>45</v>
      </c>
      <c r="R28" s="22">
        <v>1</v>
      </c>
      <c r="S28" s="16">
        <v>2.78</v>
      </c>
      <c r="T28" s="17">
        <f t="shared" ca="1" si="10"/>
        <v>1.4047339999999997</v>
      </c>
    </row>
    <row r="29" spans="1:20" ht="15.75" customHeight="1">
      <c r="A29" s="9">
        <v>28</v>
      </c>
      <c r="B29" s="10" t="str">
        <f ca="1">IFERROR(__xludf.DUMMYFUNCTION("GOOGLEFINANCE(C29, ""name"")"),"Cisco Systems Inc")</f>
        <v>Cisco Systems Inc</v>
      </c>
      <c r="C29" s="11" t="str">
        <f t="shared" si="0"/>
        <v>CSCO</v>
      </c>
      <c r="D29" s="12">
        <f t="shared" ca="1" si="1"/>
        <v>0.90676606809656435</v>
      </c>
      <c r="E29" s="9">
        <f ca="1">IFERROR(__xludf.DUMMYFUNCTION("GOOGLEFINANCE(C29, ""price"")"),42.23)</f>
        <v>42.23</v>
      </c>
      <c r="F29" s="13">
        <f t="shared" si="2"/>
        <v>1</v>
      </c>
      <c r="G29" s="13">
        <f t="shared" ca="1" si="3"/>
        <v>42.23</v>
      </c>
      <c r="H29" s="25">
        <f ca="1">E32</f>
        <v>4657.2099999999991</v>
      </c>
      <c r="I29" s="65" t="s">
        <v>46</v>
      </c>
      <c r="J29" s="15">
        <f t="shared" ca="1" si="4"/>
        <v>0.8577702037077285</v>
      </c>
      <c r="K29" s="16">
        <f t="shared" ca="1" si="5"/>
        <v>4.8995864388835852E-2</v>
      </c>
      <c r="L29" s="16">
        <f t="shared" si="6"/>
        <v>4.3</v>
      </c>
      <c r="M29" s="17">
        <f t="shared" ca="1" si="7"/>
        <v>1.8158899999999993</v>
      </c>
      <c r="N29" s="18">
        <v>0</v>
      </c>
      <c r="O29" s="19">
        <f t="shared" ca="1" si="8"/>
        <v>0</v>
      </c>
      <c r="P29" s="19">
        <f t="shared" si="9"/>
        <v>0</v>
      </c>
      <c r="Q29" s="20" t="s">
        <v>46</v>
      </c>
      <c r="R29" s="22">
        <v>1</v>
      </c>
      <c r="S29" s="16">
        <v>4.3</v>
      </c>
      <c r="T29" s="17">
        <f t="shared" ca="1" si="10"/>
        <v>1.8158899999999993</v>
      </c>
    </row>
    <row r="30" spans="1:20" ht="15.75" customHeight="1">
      <c r="A30" s="9">
        <v>29</v>
      </c>
      <c r="B30" s="10" t="str">
        <f ca="1">IFERROR(__xludf.DUMMYFUNCTION("GOOGLEFINANCE(C30, ""name"")"),"Walgreens Boots Alliance Inc")</f>
        <v>Walgreens Boots Alliance Inc</v>
      </c>
      <c r="C30" s="11" t="str">
        <f t="shared" si="0"/>
        <v>WBA</v>
      </c>
      <c r="D30" s="12">
        <f t="shared" ca="1" si="1"/>
        <v>0.80455895267767619</v>
      </c>
      <c r="E30" s="9">
        <f ca="1">IFERROR(__xludf.DUMMYFUNCTION("GOOGLEFINANCE(C30, ""price"")"),37.47)</f>
        <v>37.47</v>
      </c>
      <c r="F30" s="13">
        <f t="shared" si="2"/>
        <v>1</v>
      </c>
      <c r="G30" s="13">
        <f t="shared" ca="1" si="3"/>
        <v>37.47</v>
      </c>
      <c r="H30" s="25">
        <f ca="1">E32</f>
        <v>4657.2099999999991</v>
      </c>
      <c r="I30" s="65" t="s">
        <v>47</v>
      </c>
      <c r="J30" s="15">
        <f t="shared" ca="1" si="4"/>
        <v>0.76108570999120506</v>
      </c>
      <c r="K30" s="16">
        <f t="shared" ca="1" si="5"/>
        <v>4.3473242686471125E-2</v>
      </c>
      <c r="L30" s="16">
        <f t="shared" si="6"/>
        <v>2.95</v>
      </c>
      <c r="M30" s="17">
        <f t="shared" ca="1" si="7"/>
        <v>1.0935649999999999</v>
      </c>
      <c r="N30" s="18">
        <v>0</v>
      </c>
      <c r="O30" s="19">
        <f t="shared" ca="1" si="8"/>
        <v>0</v>
      </c>
      <c r="P30" s="19">
        <f t="shared" si="9"/>
        <v>0</v>
      </c>
      <c r="Q30" s="20" t="s">
        <v>48</v>
      </c>
      <c r="R30" s="22">
        <v>1</v>
      </c>
      <c r="S30" s="16">
        <v>2.4900000000000002</v>
      </c>
      <c r="T30" s="17">
        <f t="shared" ca="1" si="10"/>
        <v>0.93300299999999992</v>
      </c>
    </row>
    <row r="31" spans="1:20" ht="15.75" customHeight="1">
      <c r="A31" s="9">
        <v>30</v>
      </c>
      <c r="B31" s="10" t="str">
        <f ca="1">IFERROR(__xludf.DUMMYFUNCTION("GOOGLEFINANCE(C31, ""name"")"),"Intel Corporation")</f>
        <v>Intel Corporation</v>
      </c>
      <c r="C31" s="11" t="str">
        <f t="shared" si="0"/>
        <v>INTC</v>
      </c>
      <c r="D31" s="12">
        <f t="shared" ca="1" si="1"/>
        <v>0.79597011944919827</v>
      </c>
      <c r="E31" s="9">
        <f ca="1">IFERROR(__xludf.DUMMYFUNCTION("GOOGLEFINANCE(C31, ""price"")"),37.07)</f>
        <v>37.07</v>
      </c>
      <c r="F31" s="13">
        <f t="shared" si="2"/>
        <v>1</v>
      </c>
      <c r="G31" s="13">
        <f t="shared" ca="1" si="3"/>
        <v>37.07</v>
      </c>
      <c r="H31" s="25">
        <f ca="1">E32</f>
        <v>4657.2099999999991</v>
      </c>
      <c r="I31" s="65" t="s">
        <v>48</v>
      </c>
      <c r="J31" s="15">
        <f t="shared" ca="1" si="4"/>
        <v>0.75296096262006862</v>
      </c>
      <c r="K31" s="16">
        <f t="shared" ca="1" si="5"/>
        <v>4.3009156829129647E-2</v>
      </c>
      <c r="L31" s="16">
        <f t="shared" si="6"/>
        <v>2.4900000000000002</v>
      </c>
      <c r="M31" s="17">
        <f t="shared" ca="1" si="7"/>
        <v>0.93300299999999992</v>
      </c>
      <c r="N31" s="18">
        <v>0</v>
      </c>
      <c r="O31" s="19">
        <f t="shared" ca="1" si="8"/>
        <v>0</v>
      </c>
      <c r="P31" s="19">
        <f t="shared" si="9"/>
        <v>0</v>
      </c>
      <c r="Q31" s="20" t="s">
        <v>47</v>
      </c>
      <c r="R31" s="22">
        <v>1</v>
      </c>
      <c r="S31" s="16">
        <v>2.95</v>
      </c>
      <c r="T31" s="17">
        <f t="shared" ca="1" si="10"/>
        <v>1.0935649999999999</v>
      </c>
    </row>
    <row r="32" spans="1:20" ht="15.75" customHeight="1">
      <c r="A32" s="9"/>
      <c r="B32" s="19"/>
      <c r="C32" s="9"/>
      <c r="D32" s="28">
        <f t="shared" ref="D32:G32" ca="1" si="11">SUM(D2:D31)</f>
        <v>100.00000000000001</v>
      </c>
      <c r="E32" s="29">
        <f t="shared" ca="1" si="11"/>
        <v>4657.2099999999991</v>
      </c>
      <c r="F32" s="30">
        <f t="shared" si="11"/>
        <v>31</v>
      </c>
      <c r="G32" s="30">
        <f t="shared" ca="1" si="11"/>
        <v>4923.2299999999996</v>
      </c>
      <c r="H32" s="29"/>
      <c r="I32" s="19"/>
      <c r="J32" s="31">
        <f t="shared" ref="J32:K32" ca="1" si="12">SUM(J2:J31)</f>
        <v>100.00000000000001</v>
      </c>
      <c r="K32" s="16">
        <f t="shared" ca="1" si="12"/>
        <v>12.087757802616922</v>
      </c>
      <c r="L32" s="32">
        <f>AVERAGE(L2:L31)</f>
        <v>2.3196666666666661</v>
      </c>
      <c r="M32" s="17">
        <f ca="1">SUM(M2:M31)</f>
        <v>94.560943999999992</v>
      </c>
      <c r="N32" s="19">
        <f t="shared" ref="N32:P32" si="13">AVERAGE(N2:N31)</f>
        <v>0</v>
      </c>
      <c r="O32" s="19">
        <f t="shared" ca="1" si="13"/>
        <v>0</v>
      </c>
      <c r="P32" s="19">
        <f t="shared" si="13"/>
        <v>0</v>
      </c>
      <c r="Q32" s="33"/>
      <c r="R32" s="21">
        <f>SUM(R2:R31)</f>
        <v>31</v>
      </c>
      <c r="S32" s="32">
        <f>AVERAGE(S2:S31)</f>
        <v>2.319666666666667</v>
      </c>
      <c r="T32" s="34">
        <f ca="1">SUM(T2:T31)</f>
        <v>94.560943999999992</v>
      </c>
    </row>
    <row r="33" spans="1:17" ht="15.75" customHeight="1">
      <c r="A33" s="9"/>
      <c r="B33" s="9" t="s">
        <v>49</v>
      </c>
      <c r="C33" s="9"/>
      <c r="D33" s="9"/>
      <c r="E33" s="9"/>
      <c r="F33" s="9"/>
      <c r="G33" s="9"/>
      <c r="H33" s="9"/>
      <c r="I33" s="19"/>
      <c r="J33" s="31"/>
      <c r="K33" s="18"/>
      <c r="L33" s="35">
        <f ca="1">M32/G32</f>
        <v>1.9207094529404476E-2</v>
      </c>
      <c r="M33" s="18">
        <f t="shared" ref="M33:M34" ca="1" si="14">L33*G33</f>
        <v>0</v>
      </c>
      <c r="N33" s="19"/>
      <c r="O33" s="36" t="s">
        <v>50</v>
      </c>
      <c r="P33" s="37">
        <f>SUM(P5:P31)</f>
        <v>0</v>
      </c>
    </row>
    <row r="34" spans="1:17" ht="15.75" customHeight="1">
      <c r="A34" s="9"/>
      <c r="B34" s="38">
        <f ca="1">IFERROR(__xludf.DUMMYFUNCTION("GOOGLEFINANCE(""CURRENCY:USDRUB"")"),58.4749)</f>
        <v>58.474899999999998</v>
      </c>
      <c r="C34" s="9"/>
      <c r="D34" s="19"/>
      <c r="E34" s="19"/>
      <c r="F34" s="9"/>
      <c r="G34" s="19"/>
      <c r="H34" s="9"/>
      <c r="I34" s="19"/>
      <c r="J34" s="31"/>
      <c r="K34" s="18"/>
      <c r="L34" s="35">
        <f ca="1">L33/100*90</f>
        <v>1.7286385076464027E-2</v>
      </c>
      <c r="M34" s="18">
        <f t="shared" ca="1" si="14"/>
        <v>0</v>
      </c>
      <c r="N34" s="19"/>
      <c r="O34" s="19"/>
      <c r="P34" s="19"/>
    </row>
    <row r="35" spans="1:17" ht="15.75" customHeight="1">
      <c r="A35" s="39"/>
      <c r="B35" s="21"/>
      <c r="C35" s="39"/>
      <c r="D35" s="39"/>
      <c r="E35" s="39"/>
      <c r="F35" s="39"/>
      <c r="G35" s="39"/>
      <c r="H35" s="39"/>
      <c r="I35" s="21"/>
      <c r="J35" s="40"/>
    </row>
    <row r="36" spans="1:17" ht="15.75" customHeight="1">
      <c r="A36" s="39"/>
      <c r="B36" s="39"/>
      <c r="C36" s="41" t="s">
        <v>51</v>
      </c>
      <c r="D36" s="39"/>
      <c r="E36" s="39"/>
      <c r="F36" s="39"/>
      <c r="G36" s="42" t="s">
        <v>52</v>
      </c>
      <c r="H36" s="39"/>
      <c r="I36" s="21"/>
      <c r="J36" s="40"/>
    </row>
    <row r="37" spans="1:17" ht="15.75" customHeight="1">
      <c r="A37" s="39"/>
      <c r="B37" s="21"/>
      <c r="C37" s="41" t="s">
        <v>53</v>
      </c>
      <c r="E37" s="39"/>
      <c r="F37" s="39"/>
      <c r="G37" s="39"/>
      <c r="H37" s="39"/>
      <c r="I37" s="21"/>
      <c r="J37" s="40"/>
      <c r="O37" s="42" t="s">
        <v>54</v>
      </c>
    </row>
    <row r="38" spans="1:17" ht="15.75" customHeight="1">
      <c r="A38" s="39"/>
      <c r="B38" s="21"/>
      <c r="C38" s="41" t="s">
        <v>55</v>
      </c>
      <c r="D38" s="39"/>
      <c r="E38" s="39"/>
      <c r="F38" s="39"/>
      <c r="G38" s="39"/>
      <c r="H38" s="39"/>
      <c r="I38" s="21"/>
      <c r="J38" s="40"/>
    </row>
    <row r="39" spans="1:17" ht="15.75" customHeight="1">
      <c r="A39" s="39"/>
      <c r="B39" s="21"/>
      <c r="C39" s="41" t="s">
        <v>56</v>
      </c>
      <c r="D39" s="39"/>
      <c r="E39" s="39"/>
      <c r="F39" s="39"/>
      <c r="G39" s="39"/>
      <c r="H39" s="39"/>
      <c r="I39" s="21"/>
      <c r="J39" s="40"/>
    </row>
    <row r="40" spans="1:17" ht="15.75" customHeight="1">
      <c r="A40" s="39"/>
      <c r="B40" s="21"/>
      <c r="C40" s="41" t="s">
        <v>57</v>
      </c>
      <c r="D40" s="39"/>
      <c r="E40" s="39"/>
      <c r="F40" s="39"/>
      <c r="G40" s="39"/>
      <c r="H40" s="39"/>
      <c r="I40" s="21"/>
      <c r="J40" s="40"/>
      <c r="O40" s="21" t="s">
        <v>58</v>
      </c>
    </row>
    <row r="41" spans="1:17" ht="15.75" customHeight="1">
      <c r="A41" s="39"/>
      <c r="B41" s="21"/>
      <c r="C41" s="41" t="s">
        <v>59</v>
      </c>
      <c r="D41" s="39"/>
      <c r="E41" s="39"/>
      <c r="F41" s="39"/>
      <c r="G41" s="39"/>
      <c r="H41" s="39"/>
      <c r="I41" s="21"/>
      <c r="J41" s="40"/>
      <c r="O41" s="43" t="s">
        <v>60</v>
      </c>
      <c r="P41" s="44" t="s">
        <v>61</v>
      </c>
      <c r="Q41" s="44" t="s">
        <v>62</v>
      </c>
    </row>
    <row r="42" spans="1:17" ht="15.75" customHeight="1">
      <c r="A42" s="39"/>
      <c r="B42" s="21"/>
      <c r="C42" s="45" t="s">
        <v>63</v>
      </c>
      <c r="D42" s="39"/>
      <c r="E42" s="39"/>
      <c r="F42" s="39"/>
      <c r="G42" s="39"/>
      <c r="H42" s="39"/>
      <c r="I42" s="21"/>
      <c r="J42" s="40"/>
      <c r="O42" s="66">
        <v>300000</v>
      </c>
      <c r="P42" s="47">
        <v>44669</v>
      </c>
      <c r="Q42" s="48" t="s">
        <v>79</v>
      </c>
    </row>
    <row r="43" spans="1:17" ht="15.75" customHeight="1">
      <c r="A43" s="39"/>
      <c r="B43" s="21"/>
      <c r="C43" s="41" t="s">
        <v>64</v>
      </c>
      <c r="D43" s="39"/>
      <c r="E43" s="39"/>
      <c r="F43" s="39"/>
      <c r="G43" s="39"/>
      <c r="H43" s="39"/>
      <c r="I43" s="21"/>
      <c r="J43" s="40"/>
      <c r="O43" s="49">
        <v>40000</v>
      </c>
      <c r="P43" s="50">
        <v>44002</v>
      </c>
      <c r="Q43" s="67" t="s">
        <v>80</v>
      </c>
    </row>
    <row r="44" spans="1:17" ht="15.75" customHeight="1">
      <c r="A44" s="39"/>
      <c r="B44" s="21"/>
      <c r="C44" s="45" t="s">
        <v>65</v>
      </c>
      <c r="D44" s="39"/>
      <c r="E44" s="39"/>
      <c r="F44" s="39"/>
      <c r="G44" s="39"/>
      <c r="H44" s="39"/>
      <c r="I44" s="21"/>
      <c r="J44" s="40"/>
      <c r="O44" s="46"/>
      <c r="P44" s="55"/>
      <c r="Q44" s="56"/>
    </row>
    <row r="45" spans="1:17" ht="15.75" customHeight="1">
      <c r="A45" s="39"/>
      <c r="B45" s="21"/>
      <c r="C45" s="41" t="s">
        <v>66</v>
      </c>
      <c r="D45" s="39"/>
      <c r="E45" s="39"/>
      <c r="F45" s="39"/>
      <c r="G45" s="39"/>
      <c r="H45" s="39"/>
      <c r="I45" s="21"/>
      <c r="J45" s="40"/>
      <c r="M45" s="51" t="s">
        <v>67</v>
      </c>
      <c r="N45" s="52">
        <f ca="1">G32*B34</f>
        <v>287885.38192699995</v>
      </c>
      <c r="O45" s="46"/>
      <c r="P45" s="68"/>
      <c r="Q45" s="69"/>
    </row>
    <row r="46" spans="1:17" ht="15.75" customHeight="1">
      <c r="A46" s="39"/>
      <c r="B46" s="21"/>
      <c r="C46" s="41" t="s">
        <v>68</v>
      </c>
      <c r="D46" s="39"/>
      <c r="E46" s="39"/>
      <c r="F46" s="39"/>
      <c r="G46" s="39"/>
      <c r="H46" s="39"/>
      <c r="I46" s="21"/>
      <c r="J46" s="40"/>
      <c r="M46" s="51" t="s">
        <v>69</v>
      </c>
      <c r="N46" s="52">
        <f ca="1">N45/B34</f>
        <v>4923.2299999999996</v>
      </c>
      <c r="O46" s="46"/>
      <c r="P46" s="68"/>
      <c r="Q46" s="69"/>
    </row>
    <row r="47" spans="1:17" ht="15.75" customHeight="1">
      <c r="A47" s="39"/>
      <c r="B47" s="21"/>
      <c r="C47" s="41" t="s">
        <v>70</v>
      </c>
      <c r="D47" s="39"/>
      <c r="E47" s="39"/>
      <c r="F47" s="39"/>
      <c r="G47" s="39"/>
      <c r="H47" s="39"/>
      <c r="I47" s="21"/>
      <c r="J47" s="40"/>
      <c r="M47" s="51" t="s">
        <v>71</v>
      </c>
      <c r="N47" s="52">
        <f ca="1">N46/100*S32</f>
        <v>114.20252523333333</v>
      </c>
      <c r="O47" s="46"/>
      <c r="P47" s="68"/>
      <c r="Q47" s="69"/>
    </row>
    <row r="48" spans="1:17" ht="15.75" customHeight="1">
      <c r="A48" s="39"/>
      <c r="B48" s="21"/>
      <c r="C48" s="41" t="s">
        <v>72</v>
      </c>
      <c r="D48" s="39"/>
      <c r="E48" s="39"/>
      <c r="F48" s="39"/>
      <c r="G48" s="39"/>
      <c r="H48" s="39"/>
      <c r="I48" s="21"/>
      <c r="J48" s="40"/>
      <c r="M48" s="51" t="s">
        <v>73</v>
      </c>
      <c r="N48" s="52">
        <f ca="1">N47/100*87</f>
        <v>99.356196953000008</v>
      </c>
      <c r="O48" s="46"/>
      <c r="P48" s="68"/>
      <c r="Q48" s="69"/>
    </row>
    <row r="49" spans="1:17" ht="15.75" customHeight="1">
      <c r="A49" s="39"/>
      <c r="B49" s="21"/>
      <c r="C49" s="41"/>
      <c r="D49" s="39"/>
      <c r="E49" s="39"/>
      <c r="F49" s="39"/>
      <c r="G49" s="57"/>
      <c r="H49" s="39"/>
      <c r="I49" s="21"/>
      <c r="J49" s="40"/>
      <c r="M49" s="51" t="s">
        <v>74</v>
      </c>
      <c r="N49" s="52">
        <f ca="1">N48/12</f>
        <v>8.2796830794166674</v>
      </c>
      <c r="O49" s="46"/>
      <c r="P49" s="68"/>
      <c r="Q49" s="69"/>
    </row>
    <row r="50" spans="1:17" ht="15.75" customHeight="1">
      <c r="A50" s="39"/>
      <c r="B50" s="21"/>
      <c r="C50" s="39"/>
      <c r="D50" s="39"/>
      <c r="E50" s="39"/>
      <c r="F50" s="39"/>
      <c r="G50" s="39"/>
      <c r="H50" s="39"/>
      <c r="I50" s="21"/>
      <c r="J50" s="40"/>
      <c r="M50" s="51" t="s">
        <v>75</v>
      </c>
      <c r="N50" s="52">
        <f ca="1">N49*B34</f>
        <v>484.15364010058164</v>
      </c>
      <c r="O50" s="46"/>
      <c r="P50" s="68"/>
      <c r="Q50" s="69"/>
    </row>
    <row r="51" spans="1:17" ht="15.75" customHeight="1">
      <c r="A51" s="39"/>
      <c r="B51" s="21"/>
      <c r="C51" s="39"/>
      <c r="D51" s="39"/>
      <c r="E51" s="39"/>
      <c r="F51" s="39"/>
      <c r="G51" s="39"/>
      <c r="H51" s="39"/>
      <c r="I51" s="21"/>
      <c r="J51" s="40"/>
      <c r="M51" s="51" t="s">
        <v>76</v>
      </c>
      <c r="N51" s="52">
        <f ca="1">N48*B34</f>
        <v>5809.8436812069804</v>
      </c>
      <c r="O51" s="46"/>
      <c r="P51" s="68"/>
      <c r="Q51" s="69"/>
    </row>
    <row r="52" spans="1:17" ht="15.75" customHeight="1">
      <c r="A52" s="39"/>
      <c r="B52" s="21"/>
      <c r="C52" s="39"/>
      <c r="D52" s="39"/>
      <c r="E52" s="39"/>
      <c r="F52" s="39"/>
      <c r="G52" s="39"/>
      <c r="H52" s="39"/>
      <c r="I52" s="21"/>
      <c r="J52" s="40"/>
      <c r="O52" s="59">
        <v>-600000</v>
      </c>
      <c r="P52" s="55">
        <v>44670</v>
      </c>
      <c r="Q52" s="56"/>
    </row>
    <row r="53" spans="1:17" ht="15.75" customHeight="1">
      <c r="A53" s="39"/>
      <c r="B53" s="21"/>
      <c r="C53" s="39"/>
      <c r="D53" s="39"/>
      <c r="E53" s="39"/>
      <c r="F53" s="39"/>
      <c r="G53" s="39"/>
      <c r="H53" s="39"/>
      <c r="I53" s="21"/>
      <c r="J53" s="40"/>
      <c r="O53" s="61" t="s">
        <v>77</v>
      </c>
      <c r="P53" s="62">
        <f>XIRR(O42:O52,P42:P52)</f>
        <v>2.0020844221115111</v>
      </c>
    </row>
    <row r="54" spans="1:17" ht="15.75" customHeight="1">
      <c r="A54" s="39"/>
      <c r="B54" s="21"/>
      <c r="C54" s="39"/>
      <c r="D54" s="39"/>
      <c r="E54" s="39"/>
      <c r="F54" s="39"/>
      <c r="G54" s="39"/>
      <c r="H54" s="39"/>
      <c r="I54" s="21"/>
      <c r="J54" s="40"/>
    </row>
    <row r="55" spans="1:17" ht="15.75" customHeight="1">
      <c r="A55" s="39"/>
      <c r="B55" s="21"/>
      <c r="C55" s="39"/>
      <c r="D55" s="39"/>
      <c r="E55" s="39"/>
      <c r="F55" s="39"/>
      <c r="G55" s="39"/>
      <c r="H55" s="39"/>
      <c r="I55" s="21"/>
      <c r="J55" s="40"/>
    </row>
    <row r="56" spans="1:17" ht="15.75" customHeight="1">
      <c r="A56" s="39"/>
      <c r="B56" s="21"/>
      <c r="C56" s="39"/>
      <c r="D56" s="39"/>
      <c r="E56" s="39"/>
      <c r="F56" s="39"/>
      <c r="G56" s="39"/>
      <c r="H56" s="39"/>
      <c r="I56" s="21"/>
      <c r="J56" s="40"/>
    </row>
    <row r="57" spans="1:17" ht="15.75" customHeight="1">
      <c r="A57" s="39"/>
      <c r="B57" s="21"/>
      <c r="C57" s="39"/>
      <c r="D57" s="39"/>
      <c r="E57" s="39"/>
      <c r="F57" s="39"/>
      <c r="G57" s="39"/>
      <c r="H57" s="39"/>
      <c r="I57" s="21"/>
      <c r="J57" s="40"/>
    </row>
    <row r="58" spans="1:17" ht="15.75" customHeight="1">
      <c r="A58" s="39"/>
      <c r="B58" s="21"/>
      <c r="C58" s="39"/>
      <c r="D58" s="39"/>
      <c r="E58" s="39"/>
      <c r="F58" s="39"/>
      <c r="G58" s="39"/>
      <c r="H58" s="39"/>
      <c r="I58" s="21"/>
      <c r="J58" s="40"/>
    </row>
    <row r="59" spans="1:17" ht="15.75" customHeight="1">
      <c r="A59" s="39"/>
      <c r="B59" s="21"/>
      <c r="C59" s="39"/>
      <c r="D59" s="39"/>
      <c r="E59" s="39"/>
      <c r="F59" s="39"/>
      <c r="G59" s="39"/>
      <c r="H59" s="39"/>
      <c r="I59" s="21"/>
      <c r="J59" s="40"/>
    </row>
    <row r="60" spans="1:17" ht="15.75" customHeight="1">
      <c r="A60" s="39"/>
      <c r="C60" s="39"/>
      <c r="D60" s="39"/>
      <c r="E60" s="39"/>
      <c r="F60" s="39"/>
      <c r="G60" s="39"/>
      <c r="H60" s="39"/>
      <c r="J60" s="40"/>
    </row>
    <row r="61" spans="1:17" ht="15.75" customHeight="1">
      <c r="A61" s="39"/>
      <c r="C61" s="39"/>
      <c r="D61" s="39"/>
      <c r="E61" s="39"/>
      <c r="F61" s="39"/>
      <c r="G61" s="39"/>
      <c r="H61" s="39"/>
      <c r="J61" s="40"/>
    </row>
    <row r="62" spans="1:17" ht="15.75" customHeight="1">
      <c r="A62" s="39"/>
      <c r="C62" s="39"/>
      <c r="D62" s="39"/>
      <c r="E62" s="39"/>
      <c r="F62" s="39"/>
      <c r="G62" s="39"/>
      <c r="H62" s="39"/>
      <c r="J62" s="40"/>
    </row>
    <row r="63" spans="1:17" ht="15.75" customHeight="1">
      <c r="A63" s="39"/>
      <c r="C63" s="39"/>
      <c r="D63" s="39"/>
      <c r="E63" s="39"/>
      <c r="F63" s="39"/>
      <c r="G63" s="39"/>
      <c r="H63" s="39"/>
      <c r="J63" s="40"/>
    </row>
    <row r="64" spans="1:17" ht="15.75" customHeight="1">
      <c r="A64" s="39"/>
      <c r="C64" s="39"/>
      <c r="D64" s="39"/>
      <c r="E64" s="39"/>
      <c r="F64" s="39"/>
      <c r="G64" s="39"/>
      <c r="H64" s="39"/>
      <c r="J64" s="40"/>
    </row>
    <row r="65" spans="1:10" ht="15.75" customHeight="1">
      <c r="A65" s="39"/>
      <c r="C65" s="39"/>
      <c r="D65" s="39"/>
      <c r="E65" s="39"/>
      <c r="F65" s="39"/>
      <c r="G65" s="39"/>
      <c r="H65" s="39"/>
      <c r="J65" s="40"/>
    </row>
    <row r="66" spans="1:10" ht="15.75" customHeight="1">
      <c r="A66" s="39"/>
      <c r="C66" s="39"/>
      <c r="D66" s="39"/>
      <c r="E66" s="39"/>
      <c r="F66" s="39"/>
      <c r="G66" s="39"/>
      <c r="H66" s="39"/>
      <c r="J66" s="40"/>
    </row>
    <row r="67" spans="1:10" ht="15.75" customHeight="1">
      <c r="A67" s="39"/>
      <c r="C67" s="39"/>
      <c r="D67" s="39"/>
      <c r="E67" s="39"/>
      <c r="F67" s="39"/>
      <c r="G67" s="39"/>
      <c r="H67" s="39"/>
      <c r="J67" s="40"/>
    </row>
    <row r="68" spans="1:10" ht="15.75" customHeight="1">
      <c r="A68" s="39"/>
      <c r="C68" s="39"/>
      <c r="D68" s="39"/>
      <c r="E68" s="39"/>
      <c r="F68" s="39"/>
      <c r="G68" s="39"/>
      <c r="H68" s="39"/>
      <c r="J68" s="40"/>
    </row>
    <row r="69" spans="1:10" ht="15.75" customHeight="1">
      <c r="A69" s="39"/>
      <c r="C69" s="39"/>
      <c r="D69" s="39"/>
      <c r="E69" s="39"/>
      <c r="F69" s="39"/>
      <c r="G69" s="39"/>
      <c r="H69" s="39"/>
      <c r="J69" s="40"/>
    </row>
    <row r="70" spans="1:10" ht="15.75" customHeight="1">
      <c r="A70" s="39"/>
      <c r="C70" s="39"/>
      <c r="D70" s="39"/>
      <c r="E70" s="39"/>
      <c r="F70" s="39"/>
      <c r="G70" s="39"/>
      <c r="H70" s="39"/>
      <c r="J70" s="40"/>
    </row>
    <row r="71" spans="1:10" ht="15.75" customHeight="1">
      <c r="A71" s="39"/>
      <c r="C71" s="39"/>
      <c r="D71" s="39"/>
      <c r="E71" s="39"/>
      <c r="F71" s="39"/>
      <c r="G71" s="39"/>
      <c r="H71" s="39"/>
      <c r="J71" s="40"/>
    </row>
    <row r="72" spans="1:10" ht="15.75" customHeight="1">
      <c r="A72" s="39"/>
      <c r="C72" s="39"/>
      <c r="D72" s="39"/>
      <c r="E72" s="39"/>
      <c r="F72" s="39"/>
      <c r="G72" s="39"/>
      <c r="H72" s="39"/>
      <c r="J72" s="40"/>
    </row>
    <row r="73" spans="1:10" ht="15.75" customHeight="1">
      <c r="A73" s="39"/>
      <c r="C73" s="39"/>
      <c r="D73" s="39"/>
      <c r="E73" s="39"/>
      <c r="F73" s="39"/>
      <c r="G73" s="39"/>
      <c r="H73" s="39"/>
      <c r="J73" s="40"/>
    </row>
    <row r="74" spans="1:10" ht="15.75" customHeight="1">
      <c r="A74" s="39"/>
      <c r="C74" s="39"/>
      <c r="D74" s="39"/>
      <c r="E74" s="39"/>
      <c r="F74" s="39"/>
      <c r="G74" s="39"/>
      <c r="H74" s="39"/>
      <c r="J74" s="40"/>
    </row>
    <row r="75" spans="1:10" ht="15.75" customHeight="1">
      <c r="A75" s="39"/>
      <c r="C75" s="39"/>
      <c r="D75" s="39"/>
      <c r="E75" s="39"/>
      <c r="F75" s="39"/>
      <c r="G75" s="39"/>
      <c r="H75" s="39"/>
      <c r="J75" s="40"/>
    </row>
    <row r="76" spans="1:10" ht="15.75" customHeight="1">
      <c r="A76" s="39"/>
      <c r="C76" s="39"/>
      <c r="D76" s="39"/>
      <c r="E76" s="39"/>
      <c r="F76" s="39"/>
      <c r="G76" s="39"/>
      <c r="H76" s="39"/>
      <c r="J76" s="40"/>
    </row>
    <row r="77" spans="1:10" ht="15.75" customHeight="1">
      <c r="A77" s="39"/>
      <c r="C77" s="39"/>
      <c r="D77" s="39"/>
      <c r="E77" s="39"/>
      <c r="F77" s="39"/>
      <c r="G77" s="39"/>
      <c r="H77" s="39"/>
      <c r="J77" s="40"/>
    </row>
    <row r="78" spans="1:10" ht="15.75" customHeight="1">
      <c r="A78" s="39"/>
      <c r="C78" s="39"/>
      <c r="D78" s="39"/>
      <c r="E78" s="39"/>
      <c r="F78" s="39"/>
      <c r="G78" s="39"/>
      <c r="H78" s="39"/>
      <c r="J78" s="40"/>
    </row>
    <row r="79" spans="1:10" ht="15.75" customHeight="1">
      <c r="A79" s="39"/>
      <c r="C79" s="39"/>
      <c r="D79" s="39"/>
      <c r="E79" s="39"/>
      <c r="F79" s="39"/>
      <c r="G79" s="39"/>
      <c r="H79" s="39"/>
      <c r="J79" s="40"/>
    </row>
    <row r="80" spans="1:10" ht="15.75" customHeight="1">
      <c r="A80" s="39"/>
      <c r="C80" s="39"/>
      <c r="D80" s="39"/>
      <c r="E80" s="39"/>
      <c r="F80" s="39"/>
      <c r="G80" s="39"/>
      <c r="H80" s="39"/>
      <c r="J80" s="40"/>
    </row>
    <row r="81" spans="1:10" ht="15.75" customHeight="1">
      <c r="A81" s="39"/>
      <c r="C81" s="39"/>
      <c r="D81" s="39"/>
      <c r="E81" s="39"/>
      <c r="F81" s="39"/>
      <c r="G81" s="39"/>
      <c r="H81" s="39"/>
      <c r="J81" s="40"/>
    </row>
    <row r="82" spans="1:10" ht="15.75" customHeight="1">
      <c r="A82" s="39"/>
      <c r="C82" s="39"/>
      <c r="D82" s="39"/>
      <c r="E82" s="39"/>
      <c r="F82" s="39"/>
      <c r="G82" s="39"/>
      <c r="H82" s="39"/>
      <c r="J82" s="40"/>
    </row>
    <row r="83" spans="1:10" ht="15.75" customHeight="1">
      <c r="A83" s="39"/>
      <c r="C83" s="39"/>
      <c r="D83" s="39"/>
      <c r="E83" s="39"/>
      <c r="F83" s="39"/>
      <c r="G83" s="39"/>
      <c r="H83" s="39"/>
      <c r="J83" s="40"/>
    </row>
    <row r="84" spans="1:10" ht="15.75" customHeight="1">
      <c r="A84" s="39"/>
      <c r="C84" s="39"/>
      <c r="D84" s="39"/>
      <c r="E84" s="39"/>
      <c r="F84" s="39"/>
      <c r="G84" s="39"/>
      <c r="H84" s="39"/>
      <c r="J84" s="40"/>
    </row>
    <row r="85" spans="1:10" ht="15.75" customHeight="1">
      <c r="A85" s="39"/>
      <c r="C85" s="39"/>
      <c r="D85" s="39"/>
      <c r="E85" s="39"/>
      <c r="F85" s="39"/>
      <c r="G85" s="39"/>
      <c r="H85" s="39"/>
      <c r="J85" s="40"/>
    </row>
    <row r="86" spans="1:10" ht="15.75" customHeight="1">
      <c r="A86" s="39"/>
      <c r="C86" s="39"/>
      <c r="D86" s="39"/>
      <c r="E86" s="39"/>
      <c r="F86" s="39"/>
      <c r="G86" s="39"/>
      <c r="H86" s="39"/>
      <c r="J86" s="40"/>
    </row>
    <row r="87" spans="1:10" ht="15.75" customHeight="1">
      <c r="A87" s="39"/>
      <c r="C87" s="39"/>
      <c r="D87" s="39"/>
      <c r="E87" s="39"/>
      <c r="F87" s="39"/>
      <c r="G87" s="39"/>
      <c r="H87" s="39"/>
      <c r="J87" s="40"/>
    </row>
    <row r="88" spans="1:10" ht="15.75" customHeight="1">
      <c r="A88" s="39"/>
      <c r="C88" s="39"/>
      <c r="D88" s="39"/>
      <c r="E88" s="39"/>
      <c r="F88" s="39"/>
      <c r="G88" s="39"/>
      <c r="H88" s="39"/>
      <c r="J88" s="40"/>
    </row>
    <row r="89" spans="1:10" ht="15.75" customHeight="1">
      <c r="A89" s="39"/>
      <c r="C89" s="39"/>
      <c r="D89" s="39"/>
      <c r="E89" s="39"/>
      <c r="F89" s="39"/>
      <c r="G89" s="39"/>
      <c r="H89" s="39"/>
      <c r="J89" s="40"/>
    </row>
    <row r="90" spans="1:10" ht="15.75" customHeight="1">
      <c r="A90" s="39"/>
      <c r="C90" s="39"/>
      <c r="D90" s="39"/>
      <c r="E90" s="39"/>
      <c r="F90" s="39"/>
      <c r="G90" s="39"/>
      <c r="H90" s="39"/>
      <c r="J90" s="40"/>
    </row>
    <row r="91" spans="1:10" ht="15.75" customHeight="1">
      <c r="A91" s="39"/>
      <c r="C91" s="39"/>
      <c r="D91" s="39"/>
      <c r="E91" s="39"/>
      <c r="F91" s="39"/>
      <c r="G91" s="39"/>
      <c r="H91" s="39"/>
      <c r="J91" s="40"/>
    </row>
    <row r="92" spans="1:10" ht="15.75" customHeight="1">
      <c r="A92" s="39"/>
      <c r="C92" s="39"/>
      <c r="D92" s="39"/>
      <c r="E92" s="39"/>
      <c r="F92" s="39"/>
      <c r="G92" s="39"/>
      <c r="H92" s="39"/>
      <c r="J92" s="40"/>
    </row>
    <row r="93" spans="1:10" ht="15.75" customHeight="1">
      <c r="A93" s="39"/>
      <c r="C93" s="39"/>
      <c r="D93" s="39"/>
      <c r="E93" s="39"/>
      <c r="F93" s="39"/>
      <c r="G93" s="39"/>
      <c r="H93" s="39"/>
      <c r="J93" s="40"/>
    </row>
    <row r="94" spans="1:10" ht="15.75" customHeight="1">
      <c r="A94" s="39"/>
      <c r="C94" s="39"/>
      <c r="D94" s="39"/>
      <c r="E94" s="39"/>
      <c r="F94" s="39"/>
      <c r="G94" s="39"/>
      <c r="H94" s="39"/>
      <c r="J94" s="40"/>
    </row>
    <row r="95" spans="1:10" ht="15.75" customHeight="1">
      <c r="A95" s="39"/>
      <c r="C95" s="39"/>
      <c r="D95" s="39"/>
      <c r="E95" s="39"/>
      <c r="F95" s="39"/>
      <c r="G95" s="39"/>
      <c r="H95" s="39"/>
      <c r="J95" s="40"/>
    </row>
    <row r="96" spans="1:10" ht="15.75" customHeight="1">
      <c r="A96" s="39"/>
      <c r="C96" s="39"/>
      <c r="D96" s="39"/>
      <c r="E96" s="39"/>
      <c r="F96" s="39"/>
      <c r="G96" s="39"/>
      <c r="H96" s="39"/>
      <c r="J96" s="40"/>
    </row>
    <row r="97" spans="1:10" ht="15.75" customHeight="1">
      <c r="A97" s="39"/>
      <c r="C97" s="39"/>
      <c r="D97" s="39"/>
      <c r="E97" s="39"/>
      <c r="F97" s="39"/>
      <c r="G97" s="39"/>
      <c r="H97" s="39"/>
      <c r="J97" s="40"/>
    </row>
    <row r="98" spans="1:10" ht="15.75" customHeight="1">
      <c r="A98" s="39"/>
      <c r="C98" s="39"/>
      <c r="D98" s="39"/>
      <c r="E98" s="39"/>
      <c r="F98" s="39"/>
      <c r="G98" s="39"/>
      <c r="H98" s="39"/>
      <c r="J98" s="40"/>
    </row>
    <row r="99" spans="1:10" ht="15.75" customHeight="1">
      <c r="A99" s="39"/>
      <c r="C99" s="39"/>
      <c r="D99" s="39"/>
      <c r="E99" s="39"/>
      <c r="F99" s="39"/>
      <c r="G99" s="39"/>
      <c r="H99" s="39"/>
      <c r="J99" s="40"/>
    </row>
    <row r="100" spans="1:10" ht="15.75" customHeight="1">
      <c r="A100" s="39"/>
      <c r="C100" s="39"/>
      <c r="D100" s="39"/>
      <c r="E100" s="39"/>
      <c r="F100" s="39"/>
      <c r="G100" s="39"/>
      <c r="H100" s="39"/>
      <c r="J100" s="40"/>
    </row>
    <row r="101" spans="1:10" ht="15.75" customHeight="1">
      <c r="A101" s="39"/>
      <c r="C101" s="39"/>
      <c r="D101" s="39"/>
      <c r="E101" s="39"/>
      <c r="F101" s="39"/>
      <c r="G101" s="39"/>
      <c r="H101" s="39"/>
      <c r="J101" s="40"/>
    </row>
    <row r="102" spans="1:10" ht="15.75" customHeight="1">
      <c r="A102" s="39"/>
      <c r="C102" s="39"/>
      <c r="D102" s="39"/>
      <c r="E102" s="39"/>
      <c r="F102" s="39"/>
      <c r="G102" s="39"/>
      <c r="H102" s="39"/>
      <c r="J102" s="40"/>
    </row>
    <row r="103" spans="1:10" ht="15.75" customHeight="1">
      <c r="A103" s="39"/>
      <c r="C103" s="39"/>
      <c r="D103" s="39"/>
      <c r="E103" s="39"/>
      <c r="F103" s="39"/>
      <c r="G103" s="39"/>
      <c r="H103" s="39"/>
      <c r="J103" s="40"/>
    </row>
    <row r="104" spans="1:10" ht="15.75" customHeight="1">
      <c r="A104" s="39"/>
      <c r="C104" s="39"/>
      <c r="D104" s="39"/>
      <c r="E104" s="39"/>
      <c r="F104" s="39"/>
      <c r="G104" s="39"/>
      <c r="H104" s="39"/>
      <c r="J104" s="40"/>
    </row>
    <row r="105" spans="1:10" ht="15.75" customHeight="1">
      <c r="A105" s="39"/>
      <c r="C105" s="39"/>
      <c r="D105" s="39"/>
      <c r="E105" s="39"/>
      <c r="F105" s="39"/>
      <c r="G105" s="39"/>
      <c r="H105" s="39"/>
      <c r="J105" s="40"/>
    </row>
    <row r="106" spans="1:10" ht="15.75" customHeight="1">
      <c r="A106" s="39"/>
      <c r="C106" s="39"/>
      <c r="D106" s="39"/>
      <c r="E106" s="39"/>
      <c r="F106" s="39"/>
      <c r="G106" s="39"/>
      <c r="H106" s="39"/>
      <c r="J106" s="40"/>
    </row>
    <row r="107" spans="1:10" ht="15.75" customHeight="1">
      <c r="A107" s="39"/>
      <c r="C107" s="39"/>
      <c r="D107" s="39"/>
      <c r="E107" s="39"/>
      <c r="F107" s="39"/>
      <c r="G107" s="39"/>
      <c r="H107" s="39"/>
      <c r="J107" s="40"/>
    </row>
    <row r="108" spans="1:10" ht="15.75" customHeight="1">
      <c r="A108" s="39"/>
      <c r="C108" s="39"/>
      <c r="D108" s="39"/>
      <c r="E108" s="39"/>
      <c r="F108" s="39"/>
      <c r="G108" s="39"/>
      <c r="H108" s="39"/>
      <c r="J108" s="40"/>
    </row>
    <row r="109" spans="1:10" ht="15.75" customHeight="1">
      <c r="A109" s="39"/>
      <c r="C109" s="39"/>
      <c r="D109" s="39"/>
      <c r="E109" s="39"/>
      <c r="F109" s="39"/>
      <c r="G109" s="39"/>
      <c r="H109" s="39"/>
      <c r="J109" s="40"/>
    </row>
    <row r="110" spans="1:10" ht="15.75" customHeight="1">
      <c r="A110" s="39"/>
      <c r="C110" s="39"/>
      <c r="D110" s="39"/>
      <c r="E110" s="39"/>
      <c r="F110" s="39"/>
      <c r="G110" s="39"/>
      <c r="H110" s="39"/>
      <c r="J110" s="40"/>
    </row>
    <row r="111" spans="1:10" ht="15.75" customHeight="1">
      <c r="A111" s="39"/>
      <c r="C111" s="39"/>
      <c r="D111" s="39"/>
      <c r="E111" s="39"/>
      <c r="F111" s="39"/>
      <c r="G111" s="39"/>
      <c r="H111" s="39"/>
      <c r="J111" s="40"/>
    </row>
    <row r="112" spans="1:10" ht="15.75" customHeight="1">
      <c r="A112" s="39"/>
      <c r="C112" s="39"/>
      <c r="D112" s="39"/>
      <c r="E112" s="39"/>
      <c r="F112" s="39"/>
      <c r="G112" s="39"/>
      <c r="H112" s="39"/>
      <c r="J112" s="40"/>
    </row>
    <row r="113" spans="1:10" ht="15.75" customHeight="1">
      <c r="A113" s="39"/>
      <c r="C113" s="39"/>
      <c r="D113" s="39"/>
      <c r="E113" s="39"/>
      <c r="F113" s="39"/>
      <c r="G113" s="39"/>
      <c r="H113" s="39"/>
      <c r="J113" s="40"/>
    </row>
    <row r="114" spans="1:10" ht="15.75" customHeight="1">
      <c r="A114" s="39"/>
      <c r="C114" s="39"/>
      <c r="D114" s="39"/>
      <c r="E114" s="39"/>
      <c r="F114" s="39"/>
      <c r="G114" s="39"/>
      <c r="H114" s="39"/>
      <c r="J114" s="40"/>
    </row>
    <row r="115" spans="1:10" ht="15.75" customHeight="1">
      <c r="A115" s="39"/>
      <c r="C115" s="39"/>
      <c r="D115" s="39"/>
      <c r="E115" s="39"/>
      <c r="F115" s="39"/>
      <c r="G115" s="39"/>
      <c r="H115" s="39"/>
      <c r="J115" s="40"/>
    </row>
    <row r="116" spans="1:10" ht="15.75" customHeight="1">
      <c r="A116" s="39"/>
      <c r="C116" s="39"/>
      <c r="D116" s="39"/>
      <c r="E116" s="39"/>
      <c r="F116" s="39"/>
      <c r="G116" s="39"/>
      <c r="H116" s="39"/>
      <c r="J116" s="40"/>
    </row>
    <row r="117" spans="1:10" ht="15.75" customHeight="1">
      <c r="A117" s="39"/>
      <c r="C117" s="39"/>
      <c r="D117" s="39"/>
      <c r="E117" s="39"/>
      <c r="F117" s="39"/>
      <c r="G117" s="39"/>
      <c r="H117" s="39"/>
      <c r="J117" s="40"/>
    </row>
    <row r="118" spans="1:10" ht="15.75" customHeight="1">
      <c r="A118" s="39"/>
      <c r="C118" s="39"/>
      <c r="D118" s="39"/>
      <c r="E118" s="39"/>
      <c r="F118" s="39"/>
      <c r="G118" s="39"/>
      <c r="H118" s="39"/>
      <c r="J118" s="40"/>
    </row>
    <row r="119" spans="1:10" ht="15.75" customHeight="1">
      <c r="A119" s="39"/>
      <c r="C119" s="39"/>
      <c r="D119" s="39"/>
      <c r="E119" s="39"/>
      <c r="F119" s="39"/>
      <c r="G119" s="39"/>
      <c r="H119" s="39"/>
      <c r="J119" s="40"/>
    </row>
    <row r="120" spans="1:10" ht="15.75" customHeight="1">
      <c r="A120" s="39"/>
      <c r="C120" s="39"/>
      <c r="D120" s="39"/>
      <c r="E120" s="39"/>
      <c r="F120" s="39"/>
      <c r="G120" s="39"/>
      <c r="H120" s="39"/>
      <c r="J120" s="40"/>
    </row>
    <row r="121" spans="1:10" ht="15.75" customHeight="1">
      <c r="A121" s="39"/>
      <c r="C121" s="39"/>
      <c r="D121" s="39"/>
      <c r="E121" s="39"/>
      <c r="F121" s="39"/>
      <c r="G121" s="39"/>
      <c r="H121" s="39"/>
      <c r="J121" s="40"/>
    </row>
    <row r="122" spans="1:10" ht="15.75" customHeight="1">
      <c r="A122" s="39"/>
      <c r="C122" s="39"/>
      <c r="D122" s="39"/>
      <c r="E122" s="39"/>
      <c r="F122" s="39"/>
      <c r="G122" s="39"/>
      <c r="H122" s="39"/>
      <c r="J122" s="40"/>
    </row>
    <row r="123" spans="1:10" ht="15.75" customHeight="1">
      <c r="A123" s="39"/>
      <c r="C123" s="39"/>
      <c r="D123" s="39"/>
      <c r="E123" s="39"/>
      <c r="F123" s="39"/>
      <c r="G123" s="39"/>
      <c r="H123" s="39"/>
      <c r="J123" s="40"/>
    </row>
    <row r="124" spans="1:10" ht="15.75" customHeight="1">
      <c r="A124" s="39"/>
      <c r="C124" s="39"/>
      <c r="D124" s="39"/>
      <c r="E124" s="39"/>
      <c r="F124" s="39"/>
      <c r="G124" s="39"/>
      <c r="H124" s="39"/>
      <c r="J124" s="40"/>
    </row>
    <row r="125" spans="1:10" ht="15.75" customHeight="1">
      <c r="A125" s="39"/>
      <c r="C125" s="39"/>
      <c r="D125" s="39"/>
      <c r="E125" s="39"/>
      <c r="F125" s="39"/>
      <c r="G125" s="39"/>
      <c r="H125" s="39"/>
      <c r="J125" s="40"/>
    </row>
    <row r="126" spans="1:10" ht="15.75" customHeight="1">
      <c r="A126" s="39"/>
      <c r="C126" s="39"/>
      <c r="D126" s="39"/>
      <c r="E126" s="39"/>
      <c r="F126" s="39"/>
      <c r="G126" s="39"/>
      <c r="H126" s="39"/>
      <c r="J126" s="40"/>
    </row>
    <row r="127" spans="1:10" ht="15.75" customHeight="1">
      <c r="A127" s="39"/>
      <c r="C127" s="39"/>
      <c r="D127" s="39"/>
      <c r="E127" s="39"/>
      <c r="F127" s="39"/>
      <c r="G127" s="39"/>
      <c r="H127" s="39"/>
      <c r="J127" s="40"/>
    </row>
    <row r="128" spans="1:10" ht="15.75" customHeight="1">
      <c r="A128" s="39"/>
      <c r="C128" s="39"/>
      <c r="D128" s="39"/>
      <c r="E128" s="39"/>
      <c r="F128" s="39"/>
      <c r="G128" s="39"/>
      <c r="H128" s="39"/>
      <c r="J128" s="40"/>
    </row>
    <row r="129" spans="1:10" ht="15.75" customHeight="1">
      <c r="A129" s="39"/>
      <c r="C129" s="39"/>
      <c r="D129" s="39"/>
      <c r="E129" s="39"/>
      <c r="F129" s="39"/>
      <c r="G129" s="39"/>
      <c r="H129" s="39"/>
      <c r="J129" s="40"/>
    </row>
    <row r="130" spans="1:10" ht="15.75" customHeight="1">
      <c r="A130" s="39"/>
      <c r="C130" s="39"/>
      <c r="D130" s="39"/>
      <c r="E130" s="39"/>
      <c r="F130" s="39"/>
      <c r="G130" s="39"/>
      <c r="H130" s="39"/>
      <c r="J130" s="40"/>
    </row>
    <row r="131" spans="1:10" ht="15.75" customHeight="1">
      <c r="A131" s="39"/>
      <c r="C131" s="39"/>
      <c r="D131" s="39"/>
      <c r="E131" s="39"/>
      <c r="F131" s="39"/>
      <c r="G131" s="39"/>
      <c r="H131" s="39"/>
      <c r="J131" s="40"/>
    </row>
    <row r="132" spans="1:10" ht="15.75" customHeight="1">
      <c r="A132" s="39"/>
      <c r="C132" s="39"/>
      <c r="D132" s="39"/>
      <c r="E132" s="39"/>
      <c r="F132" s="39"/>
      <c r="G132" s="39"/>
      <c r="H132" s="39"/>
      <c r="J132" s="40"/>
    </row>
    <row r="133" spans="1:10" ht="15.75" customHeight="1">
      <c r="A133" s="39"/>
      <c r="C133" s="39"/>
      <c r="D133" s="39"/>
      <c r="E133" s="39"/>
      <c r="F133" s="39"/>
      <c r="G133" s="39"/>
      <c r="H133" s="39"/>
      <c r="J133" s="40"/>
    </row>
    <row r="134" spans="1:10" ht="15.75" customHeight="1">
      <c r="A134" s="39"/>
      <c r="C134" s="39"/>
      <c r="D134" s="39"/>
      <c r="E134" s="39"/>
      <c r="F134" s="39"/>
      <c r="G134" s="39"/>
      <c r="H134" s="39"/>
      <c r="J134" s="40"/>
    </row>
    <row r="135" spans="1:10" ht="15.75" customHeight="1">
      <c r="A135" s="39"/>
      <c r="C135" s="39"/>
      <c r="D135" s="39"/>
      <c r="E135" s="39"/>
      <c r="F135" s="39"/>
      <c r="G135" s="39"/>
      <c r="H135" s="39"/>
      <c r="J135" s="40"/>
    </row>
    <row r="136" spans="1:10" ht="15.75" customHeight="1">
      <c r="A136" s="39"/>
      <c r="C136" s="39"/>
      <c r="D136" s="39"/>
      <c r="E136" s="39"/>
      <c r="F136" s="39"/>
      <c r="G136" s="39"/>
      <c r="H136" s="39"/>
      <c r="J136" s="40"/>
    </row>
    <row r="137" spans="1:10" ht="15.75" customHeight="1">
      <c r="A137" s="39"/>
      <c r="C137" s="39"/>
      <c r="D137" s="39"/>
      <c r="E137" s="39"/>
      <c r="F137" s="39"/>
      <c r="G137" s="39"/>
      <c r="H137" s="39"/>
      <c r="J137" s="40"/>
    </row>
    <row r="138" spans="1:10" ht="15.75" customHeight="1">
      <c r="A138" s="39"/>
      <c r="C138" s="39"/>
      <c r="D138" s="39"/>
      <c r="E138" s="39"/>
      <c r="F138" s="39"/>
      <c r="G138" s="39"/>
      <c r="H138" s="39"/>
      <c r="J138" s="40"/>
    </row>
    <row r="139" spans="1:10" ht="15.75" customHeight="1">
      <c r="A139" s="39"/>
      <c r="C139" s="39"/>
      <c r="D139" s="39"/>
      <c r="E139" s="39"/>
      <c r="F139" s="39"/>
      <c r="G139" s="39"/>
      <c r="H139" s="39"/>
      <c r="J139" s="40"/>
    </row>
    <row r="140" spans="1:10" ht="15.75" customHeight="1">
      <c r="A140" s="39"/>
      <c r="C140" s="39"/>
      <c r="D140" s="39"/>
      <c r="E140" s="39"/>
      <c r="F140" s="39"/>
      <c r="G140" s="39"/>
      <c r="H140" s="39"/>
      <c r="J140" s="40"/>
    </row>
    <row r="141" spans="1:10" ht="15.75" customHeight="1">
      <c r="A141" s="39"/>
      <c r="C141" s="39"/>
      <c r="D141" s="39"/>
      <c r="E141" s="39"/>
      <c r="F141" s="39"/>
      <c r="G141" s="39"/>
      <c r="H141" s="39"/>
      <c r="J141" s="40"/>
    </row>
    <row r="142" spans="1:10" ht="15.75" customHeight="1">
      <c r="A142" s="39"/>
      <c r="C142" s="39"/>
      <c r="D142" s="39"/>
      <c r="E142" s="39"/>
      <c r="F142" s="39"/>
      <c r="G142" s="39"/>
      <c r="H142" s="39"/>
      <c r="J142" s="40"/>
    </row>
    <row r="143" spans="1:10" ht="15.75" customHeight="1">
      <c r="A143" s="39"/>
      <c r="C143" s="39"/>
      <c r="D143" s="39"/>
      <c r="E143" s="39"/>
      <c r="F143" s="39"/>
      <c r="G143" s="39"/>
      <c r="H143" s="39"/>
      <c r="J143" s="40"/>
    </row>
    <row r="144" spans="1:10" ht="15.75" customHeight="1">
      <c r="A144" s="39"/>
      <c r="C144" s="39"/>
      <c r="D144" s="39"/>
      <c r="E144" s="39"/>
      <c r="F144" s="39"/>
      <c r="G144" s="39"/>
      <c r="H144" s="39"/>
      <c r="J144" s="40"/>
    </row>
    <row r="145" spans="1:10" ht="15.75" customHeight="1">
      <c r="A145" s="39"/>
      <c r="C145" s="39"/>
      <c r="D145" s="39"/>
      <c r="E145" s="39"/>
      <c r="F145" s="39"/>
      <c r="G145" s="39"/>
      <c r="H145" s="39"/>
      <c r="J145" s="40"/>
    </row>
    <row r="146" spans="1:10" ht="15.75" customHeight="1">
      <c r="A146" s="39"/>
      <c r="C146" s="39"/>
      <c r="D146" s="39"/>
      <c r="E146" s="39"/>
      <c r="F146" s="39"/>
      <c r="G146" s="39"/>
      <c r="H146" s="39"/>
      <c r="J146" s="40"/>
    </row>
    <row r="147" spans="1:10" ht="15.75" customHeight="1">
      <c r="A147" s="39"/>
      <c r="C147" s="39"/>
      <c r="D147" s="39"/>
      <c r="E147" s="39"/>
      <c r="F147" s="39"/>
      <c r="G147" s="39"/>
      <c r="H147" s="39"/>
      <c r="J147" s="40"/>
    </row>
    <row r="148" spans="1:10" ht="15.75" customHeight="1">
      <c r="A148" s="39"/>
      <c r="C148" s="39"/>
      <c r="D148" s="39"/>
      <c r="E148" s="39"/>
      <c r="F148" s="39"/>
      <c r="G148" s="39"/>
      <c r="H148" s="39"/>
      <c r="J148" s="40"/>
    </row>
    <row r="149" spans="1:10" ht="15.75" customHeight="1">
      <c r="A149" s="39"/>
      <c r="C149" s="39"/>
      <c r="D149" s="39"/>
      <c r="E149" s="39"/>
      <c r="F149" s="39"/>
      <c r="G149" s="39"/>
      <c r="H149" s="39"/>
      <c r="J149" s="40"/>
    </row>
    <row r="150" spans="1:10" ht="15.75" customHeight="1">
      <c r="A150" s="39"/>
      <c r="C150" s="39"/>
      <c r="D150" s="39"/>
      <c r="E150" s="39"/>
      <c r="F150" s="39"/>
      <c r="G150" s="39"/>
      <c r="H150" s="39"/>
      <c r="J150" s="40"/>
    </row>
    <row r="151" spans="1:10" ht="15.75" customHeight="1">
      <c r="A151" s="39"/>
      <c r="C151" s="39"/>
      <c r="D151" s="39"/>
      <c r="E151" s="39"/>
      <c r="F151" s="39"/>
      <c r="G151" s="39"/>
      <c r="H151" s="39"/>
      <c r="J151" s="40"/>
    </row>
    <row r="152" spans="1:10" ht="15.75" customHeight="1">
      <c r="A152" s="39"/>
      <c r="C152" s="39"/>
      <c r="D152" s="39"/>
      <c r="E152" s="39"/>
      <c r="F152" s="39"/>
      <c r="G152" s="39"/>
      <c r="H152" s="39"/>
      <c r="J152" s="40"/>
    </row>
    <row r="153" spans="1:10" ht="15.75" customHeight="1">
      <c r="A153" s="39"/>
      <c r="C153" s="39"/>
      <c r="D153" s="39"/>
      <c r="E153" s="39"/>
      <c r="F153" s="39"/>
      <c r="G153" s="39"/>
      <c r="H153" s="39"/>
      <c r="J153" s="40"/>
    </row>
    <row r="154" spans="1:10" ht="15.75" customHeight="1">
      <c r="A154" s="39"/>
      <c r="C154" s="39"/>
      <c r="D154" s="39"/>
      <c r="E154" s="39"/>
      <c r="F154" s="39"/>
      <c r="G154" s="39"/>
      <c r="H154" s="39"/>
      <c r="J154" s="40"/>
    </row>
    <row r="155" spans="1:10" ht="15.75" customHeight="1">
      <c r="A155" s="39"/>
      <c r="C155" s="39"/>
      <c r="D155" s="39"/>
      <c r="E155" s="39"/>
      <c r="F155" s="39"/>
      <c r="G155" s="39"/>
      <c r="H155" s="39"/>
      <c r="J155" s="40"/>
    </row>
    <row r="156" spans="1:10" ht="15.75" customHeight="1">
      <c r="A156" s="39"/>
      <c r="C156" s="39"/>
      <c r="D156" s="39"/>
      <c r="E156" s="39"/>
      <c r="F156" s="39"/>
      <c r="G156" s="39"/>
      <c r="H156" s="39"/>
      <c r="J156" s="40"/>
    </row>
    <row r="157" spans="1:10" ht="15.75" customHeight="1">
      <c r="A157" s="39"/>
      <c r="C157" s="39"/>
      <c r="D157" s="39"/>
      <c r="E157" s="39"/>
      <c r="F157" s="39"/>
      <c r="G157" s="39"/>
      <c r="H157" s="39"/>
      <c r="J157" s="40"/>
    </row>
    <row r="158" spans="1:10" ht="15.75" customHeight="1">
      <c r="A158" s="39"/>
      <c r="C158" s="39"/>
      <c r="D158" s="39"/>
      <c r="E158" s="39"/>
      <c r="F158" s="39"/>
      <c r="G158" s="39"/>
      <c r="H158" s="39"/>
      <c r="J158" s="40"/>
    </row>
    <row r="159" spans="1:10" ht="15.75" customHeight="1">
      <c r="A159" s="39"/>
      <c r="C159" s="39"/>
      <c r="D159" s="39"/>
      <c r="E159" s="39"/>
      <c r="F159" s="39"/>
      <c r="G159" s="39"/>
      <c r="H159" s="39"/>
      <c r="J159" s="40"/>
    </row>
    <row r="160" spans="1:10" ht="15.75" customHeight="1">
      <c r="A160" s="39"/>
      <c r="C160" s="39"/>
      <c r="D160" s="39"/>
      <c r="E160" s="39"/>
      <c r="F160" s="39"/>
      <c r="G160" s="39"/>
      <c r="H160" s="39"/>
      <c r="J160" s="40"/>
    </row>
    <row r="161" spans="1:10" ht="15.75" customHeight="1">
      <c r="A161" s="39"/>
      <c r="C161" s="39"/>
      <c r="D161" s="39"/>
      <c r="E161" s="39"/>
      <c r="F161" s="39"/>
      <c r="G161" s="39"/>
      <c r="H161" s="39"/>
      <c r="J161" s="40"/>
    </row>
    <row r="162" spans="1:10" ht="15.75" customHeight="1">
      <c r="A162" s="39"/>
      <c r="C162" s="39"/>
      <c r="D162" s="39"/>
      <c r="E162" s="39"/>
      <c r="F162" s="39"/>
      <c r="G162" s="39"/>
      <c r="H162" s="39"/>
      <c r="J162" s="40"/>
    </row>
    <row r="163" spans="1:10" ht="15.75" customHeight="1">
      <c r="A163" s="39"/>
      <c r="C163" s="39"/>
      <c r="D163" s="39"/>
      <c r="E163" s="39"/>
      <c r="F163" s="39"/>
      <c r="G163" s="39"/>
      <c r="H163" s="39"/>
      <c r="J163" s="40"/>
    </row>
    <row r="164" spans="1:10" ht="15.75" customHeight="1">
      <c r="A164" s="39"/>
      <c r="C164" s="39"/>
      <c r="D164" s="39"/>
      <c r="E164" s="39"/>
      <c r="F164" s="39"/>
      <c r="G164" s="39"/>
      <c r="H164" s="39"/>
      <c r="J164" s="40"/>
    </row>
    <row r="165" spans="1:10" ht="15.75" customHeight="1">
      <c r="A165" s="39"/>
      <c r="C165" s="39"/>
      <c r="D165" s="39"/>
      <c r="E165" s="39"/>
      <c r="F165" s="39"/>
      <c r="G165" s="39"/>
      <c r="H165" s="39"/>
      <c r="J165" s="40"/>
    </row>
    <row r="166" spans="1:10" ht="15.75" customHeight="1">
      <c r="A166" s="39"/>
      <c r="C166" s="39"/>
      <c r="D166" s="39"/>
      <c r="E166" s="39"/>
      <c r="F166" s="39"/>
      <c r="G166" s="39"/>
      <c r="H166" s="39"/>
      <c r="J166" s="40"/>
    </row>
    <row r="167" spans="1:10" ht="15.75" customHeight="1">
      <c r="A167" s="39"/>
      <c r="C167" s="39"/>
      <c r="D167" s="39"/>
      <c r="E167" s="39"/>
      <c r="F167" s="39"/>
      <c r="G167" s="39"/>
      <c r="H167" s="39"/>
      <c r="J167" s="40"/>
    </row>
    <row r="168" spans="1:10" ht="15.75" customHeight="1">
      <c r="A168" s="39"/>
      <c r="C168" s="39"/>
      <c r="D168" s="39"/>
      <c r="E168" s="39"/>
      <c r="F168" s="39"/>
      <c r="G168" s="39"/>
      <c r="H168" s="39"/>
      <c r="J168" s="40"/>
    </row>
    <row r="169" spans="1:10" ht="15.75" customHeight="1">
      <c r="A169" s="39"/>
      <c r="C169" s="39"/>
      <c r="D169" s="39"/>
      <c r="E169" s="39"/>
      <c r="F169" s="39"/>
      <c r="G169" s="39"/>
      <c r="H169" s="39"/>
      <c r="J169" s="40"/>
    </row>
    <row r="170" spans="1:10" ht="15.75" customHeight="1">
      <c r="A170" s="39"/>
      <c r="C170" s="39"/>
      <c r="D170" s="39"/>
      <c r="E170" s="39"/>
      <c r="F170" s="39"/>
      <c r="G170" s="39"/>
      <c r="H170" s="39"/>
      <c r="J170" s="40"/>
    </row>
    <row r="171" spans="1:10" ht="15.75" customHeight="1">
      <c r="A171" s="39"/>
      <c r="C171" s="39"/>
      <c r="D171" s="39"/>
      <c r="E171" s="39"/>
      <c r="F171" s="39"/>
      <c r="G171" s="39"/>
      <c r="H171" s="39"/>
      <c r="J171" s="40"/>
    </row>
    <row r="172" spans="1:10" ht="15.75" customHeight="1">
      <c r="A172" s="39"/>
      <c r="C172" s="39"/>
      <c r="D172" s="39"/>
      <c r="E172" s="39"/>
      <c r="F172" s="39"/>
      <c r="G172" s="39"/>
      <c r="H172" s="39"/>
      <c r="J172" s="40"/>
    </row>
    <row r="173" spans="1:10" ht="15.75" customHeight="1">
      <c r="A173" s="39"/>
      <c r="C173" s="39"/>
      <c r="D173" s="39"/>
      <c r="E173" s="39"/>
      <c r="F173" s="39"/>
      <c r="G173" s="39"/>
      <c r="H173" s="39"/>
      <c r="J173" s="40"/>
    </row>
    <row r="174" spans="1:10" ht="15.75" customHeight="1">
      <c r="A174" s="39"/>
      <c r="C174" s="39"/>
      <c r="D174" s="39"/>
      <c r="E174" s="39"/>
      <c r="F174" s="39"/>
      <c r="G174" s="39"/>
      <c r="H174" s="39"/>
      <c r="J174" s="40"/>
    </row>
    <row r="175" spans="1:10" ht="15.75" customHeight="1">
      <c r="A175" s="39"/>
      <c r="C175" s="39"/>
      <c r="D175" s="39"/>
      <c r="E175" s="39"/>
      <c r="F175" s="39"/>
      <c r="G175" s="39"/>
      <c r="H175" s="39"/>
      <c r="J175" s="40"/>
    </row>
    <row r="176" spans="1:10" ht="15.75" customHeight="1">
      <c r="A176" s="39"/>
      <c r="C176" s="39"/>
      <c r="D176" s="39"/>
      <c r="E176" s="39"/>
      <c r="F176" s="39"/>
      <c r="G176" s="39"/>
      <c r="H176" s="39"/>
      <c r="J176" s="40"/>
    </row>
    <row r="177" spans="1:10" ht="15.75" customHeight="1">
      <c r="A177" s="39"/>
      <c r="C177" s="39"/>
      <c r="D177" s="39"/>
      <c r="E177" s="39"/>
      <c r="F177" s="39"/>
      <c r="G177" s="39"/>
      <c r="H177" s="39"/>
      <c r="J177" s="40"/>
    </row>
    <row r="178" spans="1:10" ht="15.75" customHeight="1">
      <c r="A178" s="39"/>
      <c r="C178" s="39"/>
      <c r="D178" s="39"/>
      <c r="E178" s="39"/>
      <c r="F178" s="39"/>
      <c r="G178" s="39"/>
      <c r="H178" s="39"/>
      <c r="J178" s="40"/>
    </row>
    <row r="179" spans="1:10" ht="15.75" customHeight="1">
      <c r="A179" s="39"/>
      <c r="C179" s="39"/>
      <c r="D179" s="39"/>
      <c r="E179" s="39"/>
      <c r="F179" s="39"/>
      <c r="G179" s="39"/>
      <c r="H179" s="39"/>
      <c r="J179" s="40"/>
    </row>
    <row r="180" spans="1:10" ht="15.75" customHeight="1">
      <c r="A180" s="39"/>
      <c r="C180" s="39"/>
      <c r="D180" s="39"/>
      <c r="E180" s="39"/>
      <c r="F180" s="39"/>
      <c r="G180" s="39"/>
      <c r="H180" s="39"/>
      <c r="J180" s="40"/>
    </row>
    <row r="181" spans="1:10" ht="15.75" customHeight="1">
      <c r="A181" s="39"/>
      <c r="C181" s="39"/>
      <c r="D181" s="39"/>
      <c r="E181" s="39"/>
      <c r="F181" s="39"/>
      <c r="G181" s="39"/>
      <c r="H181" s="39"/>
      <c r="J181" s="40"/>
    </row>
    <row r="182" spans="1:10" ht="15.75" customHeight="1">
      <c r="A182" s="39"/>
      <c r="C182" s="39"/>
      <c r="D182" s="39"/>
      <c r="E182" s="39"/>
      <c r="F182" s="39"/>
      <c r="G182" s="39"/>
      <c r="H182" s="39"/>
      <c r="J182" s="40"/>
    </row>
    <row r="183" spans="1:10" ht="15.75" customHeight="1">
      <c r="A183" s="39"/>
      <c r="C183" s="39"/>
      <c r="D183" s="39"/>
      <c r="E183" s="39"/>
      <c r="F183" s="39"/>
      <c r="G183" s="39"/>
      <c r="H183" s="39"/>
      <c r="J183" s="40"/>
    </row>
    <row r="184" spans="1:10" ht="15.75" customHeight="1">
      <c r="A184" s="39"/>
      <c r="C184" s="39"/>
      <c r="D184" s="39"/>
      <c r="E184" s="39"/>
      <c r="F184" s="39"/>
      <c r="G184" s="39"/>
      <c r="H184" s="39"/>
      <c r="J184" s="40"/>
    </row>
    <row r="185" spans="1:10" ht="15.75" customHeight="1">
      <c r="A185" s="39"/>
      <c r="C185" s="39"/>
      <c r="D185" s="39"/>
      <c r="E185" s="39"/>
      <c r="F185" s="39"/>
      <c r="G185" s="39"/>
      <c r="H185" s="39"/>
      <c r="J185" s="40"/>
    </row>
    <row r="186" spans="1:10" ht="15.75" customHeight="1">
      <c r="A186" s="39"/>
      <c r="C186" s="39"/>
      <c r="D186" s="39"/>
      <c r="E186" s="39"/>
      <c r="F186" s="39"/>
      <c r="G186" s="39"/>
      <c r="H186" s="39"/>
      <c r="J186" s="40"/>
    </row>
    <row r="187" spans="1:10" ht="15.75" customHeight="1">
      <c r="A187" s="39"/>
      <c r="C187" s="39"/>
      <c r="D187" s="39"/>
      <c r="E187" s="39"/>
      <c r="F187" s="39"/>
      <c r="G187" s="39"/>
      <c r="H187" s="39"/>
      <c r="J187" s="40"/>
    </row>
    <row r="188" spans="1:10" ht="15.75" customHeight="1">
      <c r="A188" s="39"/>
      <c r="C188" s="39"/>
      <c r="D188" s="39"/>
      <c r="E188" s="39"/>
      <c r="F188" s="39"/>
      <c r="G188" s="39"/>
      <c r="H188" s="39"/>
      <c r="J188" s="40"/>
    </row>
    <row r="189" spans="1:10" ht="15.75" customHeight="1">
      <c r="A189" s="39"/>
      <c r="C189" s="39"/>
      <c r="D189" s="39"/>
      <c r="E189" s="39"/>
      <c r="F189" s="39"/>
      <c r="G189" s="39"/>
      <c r="H189" s="39"/>
      <c r="J189" s="40"/>
    </row>
    <row r="190" spans="1:10" ht="15.75" customHeight="1">
      <c r="A190" s="39"/>
      <c r="C190" s="39"/>
      <c r="D190" s="39"/>
      <c r="E190" s="39"/>
      <c r="F190" s="39"/>
      <c r="G190" s="39"/>
      <c r="H190" s="39"/>
      <c r="J190" s="40"/>
    </row>
    <row r="191" spans="1:10" ht="15.75" customHeight="1">
      <c r="A191" s="39"/>
      <c r="C191" s="39"/>
      <c r="D191" s="39"/>
      <c r="E191" s="39"/>
      <c r="F191" s="39"/>
      <c r="G191" s="39"/>
      <c r="H191" s="39"/>
      <c r="J191" s="40"/>
    </row>
    <row r="192" spans="1:10" ht="15.75" customHeight="1">
      <c r="A192" s="39"/>
      <c r="C192" s="39"/>
      <c r="D192" s="39"/>
      <c r="E192" s="39"/>
      <c r="F192" s="39"/>
      <c r="G192" s="39"/>
      <c r="H192" s="39"/>
      <c r="J192" s="40"/>
    </row>
    <row r="193" spans="1:10" ht="15.75" customHeight="1">
      <c r="A193" s="39"/>
      <c r="C193" s="39"/>
      <c r="D193" s="39"/>
      <c r="E193" s="39"/>
      <c r="F193" s="39"/>
      <c r="G193" s="39"/>
      <c r="H193" s="39"/>
      <c r="J193" s="40"/>
    </row>
    <row r="194" spans="1:10" ht="15.75" customHeight="1">
      <c r="A194" s="39"/>
      <c r="C194" s="39"/>
      <c r="D194" s="39"/>
      <c r="E194" s="39"/>
      <c r="F194" s="39"/>
      <c r="G194" s="39"/>
      <c r="H194" s="39"/>
      <c r="J194" s="40"/>
    </row>
    <row r="195" spans="1:10" ht="15.75" customHeight="1">
      <c r="A195" s="39"/>
      <c r="C195" s="39"/>
      <c r="D195" s="39"/>
      <c r="E195" s="39"/>
      <c r="F195" s="39"/>
      <c r="G195" s="39"/>
      <c r="H195" s="39"/>
      <c r="J195" s="40"/>
    </row>
    <row r="196" spans="1:10" ht="15.75" customHeight="1">
      <c r="A196" s="39"/>
      <c r="C196" s="39"/>
      <c r="D196" s="39"/>
      <c r="E196" s="39"/>
      <c r="F196" s="39"/>
      <c r="G196" s="39"/>
      <c r="H196" s="39"/>
      <c r="J196" s="40"/>
    </row>
    <row r="197" spans="1:10" ht="15.75" customHeight="1">
      <c r="A197" s="39"/>
      <c r="C197" s="39"/>
      <c r="D197" s="39"/>
      <c r="E197" s="39"/>
      <c r="F197" s="39"/>
      <c r="G197" s="39"/>
      <c r="H197" s="39"/>
      <c r="J197" s="40"/>
    </row>
    <row r="198" spans="1:10" ht="15.75" customHeight="1">
      <c r="A198" s="39"/>
      <c r="C198" s="39"/>
      <c r="D198" s="39"/>
      <c r="E198" s="39"/>
      <c r="F198" s="39"/>
      <c r="G198" s="39"/>
      <c r="H198" s="39"/>
      <c r="J198" s="40"/>
    </row>
    <row r="199" spans="1:10" ht="15.75" customHeight="1">
      <c r="A199" s="39"/>
      <c r="C199" s="39"/>
      <c r="D199" s="39"/>
      <c r="E199" s="39"/>
      <c r="F199" s="39"/>
      <c r="G199" s="39"/>
      <c r="H199" s="39"/>
      <c r="J199" s="40"/>
    </row>
    <row r="200" spans="1:10" ht="15.75" customHeight="1">
      <c r="A200" s="39"/>
      <c r="C200" s="39"/>
      <c r="D200" s="39"/>
      <c r="E200" s="39"/>
      <c r="F200" s="39"/>
      <c r="G200" s="39"/>
      <c r="H200" s="39"/>
      <c r="J200" s="40"/>
    </row>
    <row r="201" spans="1:10" ht="15.75" customHeight="1">
      <c r="A201" s="39"/>
      <c r="C201" s="39"/>
      <c r="D201" s="39"/>
      <c r="E201" s="39"/>
      <c r="F201" s="39"/>
      <c r="G201" s="39"/>
      <c r="H201" s="39"/>
      <c r="J201" s="40"/>
    </row>
    <row r="202" spans="1:10" ht="15.75" customHeight="1">
      <c r="A202" s="39"/>
      <c r="C202" s="39"/>
      <c r="D202" s="39"/>
      <c r="E202" s="39"/>
      <c r="F202" s="39"/>
      <c r="G202" s="39"/>
      <c r="H202" s="39"/>
      <c r="J202" s="40"/>
    </row>
    <row r="203" spans="1:10" ht="15.75" customHeight="1">
      <c r="A203" s="39"/>
      <c r="C203" s="39"/>
      <c r="D203" s="39"/>
      <c r="E203" s="39"/>
      <c r="F203" s="39"/>
      <c r="G203" s="39"/>
      <c r="H203" s="39"/>
      <c r="J203" s="40"/>
    </row>
    <row r="204" spans="1:10" ht="15.75" customHeight="1">
      <c r="A204" s="39"/>
      <c r="C204" s="39"/>
      <c r="D204" s="39"/>
      <c r="E204" s="39"/>
      <c r="F204" s="39"/>
      <c r="G204" s="39"/>
      <c r="H204" s="39"/>
      <c r="J204" s="40"/>
    </row>
    <row r="205" spans="1:10" ht="15.75" customHeight="1">
      <c r="A205" s="39"/>
      <c r="C205" s="39"/>
      <c r="D205" s="39"/>
      <c r="E205" s="39"/>
      <c r="F205" s="39"/>
      <c r="G205" s="39"/>
      <c r="H205" s="39"/>
      <c r="J205" s="40"/>
    </row>
    <row r="206" spans="1:10" ht="15.75" customHeight="1">
      <c r="A206" s="39"/>
      <c r="C206" s="39"/>
      <c r="D206" s="39"/>
      <c r="E206" s="39"/>
      <c r="F206" s="39"/>
      <c r="G206" s="39"/>
      <c r="H206" s="39"/>
      <c r="J206" s="40"/>
    </row>
    <row r="207" spans="1:10" ht="15.75" customHeight="1">
      <c r="A207" s="39"/>
      <c r="C207" s="39"/>
      <c r="D207" s="39"/>
      <c r="E207" s="39"/>
      <c r="F207" s="39"/>
      <c r="G207" s="39"/>
      <c r="H207" s="39"/>
      <c r="J207" s="40"/>
    </row>
    <row r="208" spans="1:10" ht="15.75" customHeight="1">
      <c r="A208" s="39"/>
      <c r="C208" s="39"/>
      <c r="D208" s="39"/>
      <c r="E208" s="39"/>
      <c r="F208" s="39"/>
      <c r="G208" s="39"/>
      <c r="H208" s="39"/>
      <c r="J208" s="40"/>
    </row>
    <row r="209" spans="1:10" ht="15.75" customHeight="1">
      <c r="A209" s="39"/>
      <c r="C209" s="39"/>
      <c r="D209" s="39"/>
      <c r="E209" s="39"/>
      <c r="F209" s="39"/>
      <c r="G209" s="39"/>
      <c r="H209" s="39"/>
      <c r="J209" s="40"/>
    </row>
    <row r="210" spans="1:10" ht="15.75" customHeight="1">
      <c r="A210" s="39"/>
      <c r="C210" s="39"/>
      <c r="D210" s="39"/>
      <c r="E210" s="39"/>
      <c r="F210" s="39"/>
      <c r="G210" s="39"/>
      <c r="H210" s="39"/>
      <c r="J210" s="40"/>
    </row>
    <row r="211" spans="1:10" ht="15.75" customHeight="1">
      <c r="A211" s="39"/>
      <c r="C211" s="39"/>
      <c r="D211" s="39"/>
      <c r="E211" s="39"/>
      <c r="F211" s="39"/>
      <c r="G211" s="39"/>
      <c r="H211" s="39"/>
      <c r="J211" s="40"/>
    </row>
    <row r="212" spans="1:10" ht="15.75" customHeight="1">
      <c r="A212" s="39"/>
      <c r="C212" s="39"/>
      <c r="D212" s="39"/>
      <c r="E212" s="39"/>
      <c r="F212" s="39"/>
      <c r="G212" s="39"/>
      <c r="H212" s="39"/>
      <c r="J212" s="40"/>
    </row>
    <row r="213" spans="1:10" ht="15.75" customHeight="1">
      <c r="A213" s="39"/>
      <c r="C213" s="39"/>
      <c r="D213" s="39"/>
      <c r="E213" s="39"/>
      <c r="F213" s="39"/>
      <c r="G213" s="39"/>
      <c r="H213" s="39"/>
      <c r="J213" s="40"/>
    </row>
    <row r="214" spans="1:10" ht="15.75" customHeight="1">
      <c r="A214" s="39"/>
      <c r="C214" s="39"/>
      <c r="D214" s="39"/>
      <c r="E214" s="39"/>
      <c r="F214" s="39"/>
      <c r="G214" s="39"/>
      <c r="H214" s="39"/>
      <c r="J214" s="40"/>
    </row>
    <row r="215" spans="1:10" ht="15.75" customHeight="1">
      <c r="A215" s="39"/>
      <c r="C215" s="39"/>
      <c r="D215" s="39"/>
      <c r="E215" s="39"/>
      <c r="F215" s="39"/>
      <c r="G215" s="39"/>
      <c r="H215" s="39"/>
      <c r="J215" s="40"/>
    </row>
    <row r="216" spans="1:10" ht="15.75" customHeight="1">
      <c r="A216" s="39"/>
      <c r="C216" s="39"/>
      <c r="D216" s="39"/>
      <c r="E216" s="39"/>
      <c r="F216" s="39"/>
      <c r="G216" s="39"/>
      <c r="H216" s="39"/>
      <c r="J216" s="40"/>
    </row>
    <row r="217" spans="1:10" ht="15.75" customHeight="1">
      <c r="A217" s="39"/>
      <c r="C217" s="39"/>
      <c r="D217" s="39"/>
      <c r="E217" s="39"/>
      <c r="F217" s="39"/>
      <c r="G217" s="39"/>
      <c r="H217" s="39"/>
      <c r="J217" s="40"/>
    </row>
    <row r="218" spans="1:10" ht="15.75" customHeight="1">
      <c r="A218" s="39"/>
      <c r="C218" s="39"/>
      <c r="D218" s="39"/>
      <c r="E218" s="39"/>
      <c r="F218" s="39"/>
      <c r="G218" s="39"/>
      <c r="H218" s="39"/>
      <c r="J218" s="40"/>
    </row>
    <row r="219" spans="1:10" ht="15.75" customHeight="1">
      <c r="A219" s="39"/>
      <c r="C219" s="39"/>
      <c r="D219" s="39"/>
      <c r="E219" s="39"/>
      <c r="F219" s="39"/>
      <c r="G219" s="39"/>
      <c r="H219" s="39"/>
      <c r="J219" s="40"/>
    </row>
    <row r="220" spans="1:10" ht="15.75" customHeight="1">
      <c r="A220" s="39"/>
      <c r="C220" s="39"/>
      <c r="D220" s="39"/>
      <c r="E220" s="39"/>
      <c r="F220" s="39"/>
      <c r="G220" s="39"/>
      <c r="H220" s="39"/>
      <c r="J220" s="40"/>
    </row>
    <row r="221" spans="1:10" ht="15.75" customHeight="1">
      <c r="A221" s="39"/>
      <c r="C221" s="39"/>
      <c r="D221" s="39"/>
      <c r="E221" s="39"/>
      <c r="F221" s="39"/>
      <c r="G221" s="39"/>
      <c r="H221" s="39"/>
      <c r="J221" s="40"/>
    </row>
    <row r="222" spans="1:10" ht="15.75" customHeight="1">
      <c r="A222" s="39"/>
      <c r="C222" s="39"/>
      <c r="D222" s="39"/>
      <c r="E222" s="39"/>
      <c r="F222" s="39"/>
      <c r="G222" s="39"/>
      <c r="H222" s="39"/>
      <c r="J222" s="40"/>
    </row>
    <row r="223" spans="1:10" ht="15.75" customHeight="1">
      <c r="A223" s="39"/>
      <c r="C223" s="39"/>
      <c r="D223" s="39"/>
      <c r="E223" s="39"/>
      <c r="F223" s="39"/>
      <c r="G223" s="39"/>
      <c r="H223" s="39"/>
      <c r="J223" s="40"/>
    </row>
    <row r="224" spans="1:10" ht="15.75" customHeight="1">
      <c r="A224" s="39"/>
      <c r="C224" s="39"/>
      <c r="D224" s="39"/>
      <c r="E224" s="39"/>
      <c r="F224" s="39"/>
      <c r="G224" s="39"/>
      <c r="H224" s="39"/>
      <c r="J224" s="40"/>
    </row>
    <row r="225" spans="1:10" ht="15.75" customHeight="1">
      <c r="A225" s="39"/>
      <c r="C225" s="39"/>
      <c r="D225" s="39"/>
      <c r="E225" s="39"/>
      <c r="F225" s="39"/>
      <c r="G225" s="39"/>
      <c r="H225" s="39"/>
      <c r="J225" s="40"/>
    </row>
    <row r="226" spans="1:10" ht="15.75" customHeight="1">
      <c r="A226" s="39"/>
      <c r="C226" s="39"/>
      <c r="D226" s="39"/>
      <c r="E226" s="39"/>
      <c r="F226" s="39"/>
      <c r="G226" s="39"/>
      <c r="H226" s="39"/>
      <c r="J226" s="40"/>
    </row>
    <row r="227" spans="1:10" ht="15.75" customHeight="1">
      <c r="A227" s="39"/>
      <c r="C227" s="39"/>
      <c r="D227" s="39"/>
      <c r="E227" s="39"/>
      <c r="F227" s="39"/>
      <c r="G227" s="39"/>
      <c r="H227" s="39"/>
      <c r="J227" s="40"/>
    </row>
    <row r="228" spans="1:10" ht="15.75" customHeight="1">
      <c r="A228" s="39"/>
      <c r="C228" s="39"/>
      <c r="D228" s="39"/>
      <c r="E228" s="39"/>
      <c r="F228" s="39"/>
      <c r="G228" s="39"/>
      <c r="H228" s="39"/>
      <c r="J228" s="40"/>
    </row>
    <row r="229" spans="1:10" ht="15.75" customHeight="1">
      <c r="A229" s="39"/>
      <c r="C229" s="39"/>
      <c r="D229" s="39"/>
      <c r="E229" s="39"/>
      <c r="F229" s="39"/>
      <c r="G229" s="39"/>
      <c r="H229" s="39"/>
      <c r="J229" s="40"/>
    </row>
    <row r="230" spans="1:10" ht="15.75" customHeight="1">
      <c r="A230" s="39"/>
      <c r="C230" s="39"/>
      <c r="D230" s="39"/>
      <c r="E230" s="39"/>
      <c r="F230" s="39"/>
      <c r="G230" s="39"/>
      <c r="H230" s="39"/>
      <c r="J230" s="40"/>
    </row>
    <row r="231" spans="1:10" ht="15.75" customHeight="1">
      <c r="A231" s="39"/>
      <c r="C231" s="39"/>
      <c r="D231" s="39"/>
      <c r="E231" s="39"/>
      <c r="F231" s="39"/>
      <c r="G231" s="39"/>
      <c r="H231" s="39"/>
      <c r="J231" s="40"/>
    </row>
    <row r="232" spans="1:10" ht="15.75" customHeight="1">
      <c r="A232" s="39"/>
      <c r="C232" s="39"/>
      <c r="D232" s="39"/>
      <c r="E232" s="39"/>
      <c r="F232" s="39"/>
      <c r="G232" s="39"/>
      <c r="H232" s="39"/>
      <c r="J232" s="40"/>
    </row>
    <row r="233" spans="1:10" ht="15.75" customHeight="1">
      <c r="J233" s="40"/>
    </row>
    <row r="234" spans="1:10" ht="15.75" customHeight="1">
      <c r="J234" s="40"/>
    </row>
    <row r="235" spans="1:10" ht="15.75" customHeight="1">
      <c r="J235" s="40"/>
    </row>
    <row r="236" spans="1:10" ht="15.75" customHeight="1">
      <c r="J236" s="40"/>
    </row>
    <row r="237" spans="1:10" ht="15.75" customHeight="1">
      <c r="J237" s="40"/>
    </row>
    <row r="238" spans="1:10" ht="15.75" customHeight="1">
      <c r="J238" s="40"/>
    </row>
    <row r="239" spans="1:10" ht="15.75" customHeight="1">
      <c r="J239" s="40"/>
    </row>
    <row r="240" spans="1:10" ht="15.75" customHeight="1">
      <c r="J240" s="40"/>
    </row>
    <row r="241" spans="10:10" ht="15.75" customHeight="1">
      <c r="J241" s="40"/>
    </row>
    <row r="242" spans="10:10" ht="15.75" customHeight="1">
      <c r="J242" s="40"/>
    </row>
    <row r="243" spans="10:10" ht="15.75" customHeight="1">
      <c r="J243" s="40"/>
    </row>
    <row r="244" spans="10:10" ht="15.75" customHeight="1">
      <c r="J244" s="40"/>
    </row>
    <row r="245" spans="10:10" ht="15.75" customHeight="1">
      <c r="J245" s="40"/>
    </row>
    <row r="246" spans="10:10" ht="15.75" customHeight="1">
      <c r="J246" s="40"/>
    </row>
    <row r="247" spans="10:10" ht="15.75" customHeight="1">
      <c r="J247" s="40"/>
    </row>
    <row r="248" spans="10:10" ht="15.75" customHeight="1">
      <c r="J248" s="40"/>
    </row>
    <row r="249" spans="10:10" ht="15.75" customHeight="1">
      <c r="J249" s="40"/>
    </row>
    <row r="250" spans="10:10" ht="15.75" customHeight="1">
      <c r="J250" s="40"/>
    </row>
    <row r="251" spans="10:10" ht="15.75" customHeight="1">
      <c r="J251" s="40"/>
    </row>
    <row r="252" spans="10:10" ht="15.75" customHeight="1">
      <c r="J252" s="40"/>
    </row>
    <row r="253" spans="10:10" ht="15.75" customHeight="1">
      <c r="J253" s="40"/>
    </row>
    <row r="254" spans="10:10" ht="15.75" customHeight="1"/>
    <row r="255" spans="10:10" ht="15.75" customHeight="1"/>
    <row r="256" spans="10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3:F31 G2:G31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O42:O52">
    <cfRule type="expression" dxfId="7" priority="2">
      <formula>"число"</formula>
    </cfRule>
  </conditionalFormatting>
  <conditionalFormatting sqref="O42:O51">
    <cfRule type="notContainsBlanks" dxfId="6" priority="3">
      <formula>LEN(TRIM(O42))&gt;0</formula>
    </cfRule>
  </conditionalFormatting>
  <hyperlinks>
    <hyperlink ref="G36" r:id="rId1" xr:uid="{00000000-0004-0000-0100-000000000000}"/>
    <hyperlink ref="O37" r:id="rId2" location="news-research" xr:uid="{00000000-0004-0000-0100-000001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" customHeight="1"/>
  <cols>
    <col min="1" max="1" width="5.08984375" customWidth="1"/>
    <col min="2" max="2" width="17.7265625" customWidth="1"/>
    <col min="3" max="3" width="7.36328125" customWidth="1"/>
    <col min="4" max="4" width="5.90625" customWidth="1"/>
    <col min="5" max="5" width="11.36328125" customWidth="1"/>
    <col min="6" max="6" width="8.7265625" customWidth="1"/>
    <col min="7" max="7" width="15.26953125" customWidth="1"/>
    <col min="8" max="8" width="15.08984375" customWidth="1"/>
    <col min="9" max="9" width="13.90625" customWidth="1"/>
    <col min="10" max="26" width="8.36328125" customWidth="1"/>
  </cols>
  <sheetData>
    <row r="1" spans="1:9" ht="29.25" customHeight="1">
      <c r="A1" s="70" t="s">
        <v>81</v>
      </c>
      <c r="B1" s="70" t="s">
        <v>82</v>
      </c>
      <c r="C1" s="70" t="s">
        <v>83</v>
      </c>
      <c r="D1" s="71" t="s">
        <v>84</v>
      </c>
      <c r="E1" s="71" t="s">
        <v>85</v>
      </c>
      <c r="F1" s="72" t="s">
        <v>86</v>
      </c>
      <c r="G1" s="73" t="s">
        <v>87</v>
      </c>
      <c r="H1" s="74" t="s">
        <v>88</v>
      </c>
      <c r="I1" s="75" t="s">
        <v>9</v>
      </c>
    </row>
    <row r="2" spans="1:9" ht="12" customHeight="1">
      <c r="A2" s="76" t="s">
        <v>36</v>
      </c>
      <c r="B2" s="76" t="s">
        <v>89</v>
      </c>
      <c r="C2" s="77">
        <v>12.97</v>
      </c>
      <c r="D2" s="76">
        <f ca="1">IFERROR(__xludf.DUMMYFUNCTION("GOOGLEFINANCE(A2, ""price"")"),144.87)</f>
        <v>144.87</v>
      </c>
      <c r="E2" s="76">
        <f t="shared" ref="E2:E53" si="0">$E$56/$C$53*C2</f>
        <v>9079</v>
      </c>
      <c r="F2" s="78">
        <f t="shared" ref="F2:F52" ca="1" si="1">ROUND(E2/D2, 0)</f>
        <v>63</v>
      </c>
      <c r="G2" s="79">
        <f t="shared" ref="G2:G52" ca="1" si="2">F2*D2</f>
        <v>9126.81</v>
      </c>
      <c r="H2" s="80">
        <f t="shared" ref="H2:H52" ca="1" si="3">G2/$G$53*100</f>
        <v>13.056349470546641</v>
      </c>
      <c r="I2" s="77">
        <f t="shared" ref="I2:I52" ca="1" si="4">ABS(H2-C2)</f>
        <v>8.6349470546640106E-2</v>
      </c>
    </row>
    <row r="3" spans="1:9" ht="12" customHeight="1">
      <c r="A3" s="76" t="s">
        <v>22</v>
      </c>
      <c r="B3" s="76" t="s">
        <v>90</v>
      </c>
      <c r="C3" s="77">
        <v>10.55</v>
      </c>
      <c r="D3" s="76">
        <f ca="1">IFERROR(__xludf.DUMMYFUNCTION("GOOGLEFINANCE(A3, ""price"")"),249.81)</f>
        <v>249.81</v>
      </c>
      <c r="E3" s="76">
        <f t="shared" si="0"/>
        <v>7385.0000000000009</v>
      </c>
      <c r="F3" s="78">
        <f t="shared" ca="1" si="1"/>
        <v>30</v>
      </c>
      <c r="G3" s="79">
        <f t="shared" ca="1" si="2"/>
        <v>7494.3</v>
      </c>
      <c r="H3" s="80">
        <f t="shared" ca="1" si="3"/>
        <v>10.720963823846196</v>
      </c>
      <c r="I3" s="77">
        <f t="shared" ca="1" si="4"/>
        <v>0.17096382384619524</v>
      </c>
    </row>
    <row r="4" spans="1:9" ht="12" customHeight="1">
      <c r="A4" s="76" t="s">
        <v>91</v>
      </c>
      <c r="B4" s="76" t="s">
        <v>92</v>
      </c>
      <c r="C4" s="77">
        <v>2.68</v>
      </c>
      <c r="D4" s="76">
        <f ca="1">IFERROR(__xludf.DUMMYFUNCTION("GOOGLEFINANCE(A4, ""price"")"),148.3)</f>
        <v>148.30000000000001</v>
      </c>
      <c r="E4" s="76">
        <f t="shared" si="0"/>
        <v>1876</v>
      </c>
      <c r="F4" s="78">
        <f t="shared" ca="1" si="1"/>
        <v>13</v>
      </c>
      <c r="G4" s="79">
        <f t="shared" ca="1" si="2"/>
        <v>1927.9</v>
      </c>
      <c r="H4" s="80">
        <f t="shared" ca="1" si="3"/>
        <v>2.7579555336713342</v>
      </c>
      <c r="I4" s="77">
        <f t="shared" ca="1" si="4"/>
        <v>7.795553367133401E-2</v>
      </c>
    </row>
    <row r="5" spans="1:9" ht="12" customHeight="1">
      <c r="A5" s="76" t="s">
        <v>25</v>
      </c>
      <c r="B5" s="76" t="s">
        <v>93</v>
      </c>
      <c r="C5" s="77">
        <v>1.75</v>
      </c>
      <c r="D5" s="76">
        <f ca="1">IFERROR(__xludf.DUMMYFUNCTION("GOOGLEFINANCE(A5, ""price"")"),200.92)</f>
        <v>200.92</v>
      </c>
      <c r="E5" s="76">
        <f t="shared" si="0"/>
        <v>1225</v>
      </c>
      <c r="F5" s="78">
        <f t="shared" ca="1" si="1"/>
        <v>6</v>
      </c>
      <c r="G5" s="79">
        <f t="shared" ca="1" si="2"/>
        <v>1205.52</v>
      </c>
      <c r="H5" s="80">
        <f t="shared" ca="1" si="3"/>
        <v>1.7245555033723048</v>
      </c>
      <c r="I5" s="77">
        <f t="shared" ca="1" si="4"/>
        <v>2.5444496627695212E-2</v>
      </c>
    </row>
    <row r="6" spans="1:9" ht="12" customHeight="1">
      <c r="A6" s="76" t="s">
        <v>94</v>
      </c>
      <c r="B6" s="76" t="s">
        <v>95</v>
      </c>
      <c r="C6" s="77">
        <v>1.5</v>
      </c>
      <c r="D6" s="76">
        <f ca="1">IFERROR(__xludf.DUMMYFUNCTION("GOOGLEFINANCE(A6, ""price"")"),316.39)</f>
        <v>316.39</v>
      </c>
      <c r="E6" s="76">
        <f t="shared" si="0"/>
        <v>1050</v>
      </c>
      <c r="F6" s="78">
        <f t="shared" ca="1" si="1"/>
        <v>3</v>
      </c>
      <c r="G6" s="79">
        <f t="shared" ca="1" si="2"/>
        <v>949.17</v>
      </c>
      <c r="H6" s="80">
        <f t="shared" ca="1" si="3"/>
        <v>1.3578342517219877</v>
      </c>
      <c r="I6" s="77">
        <f t="shared" ca="1" si="4"/>
        <v>0.14216574827801232</v>
      </c>
    </row>
    <row r="7" spans="1:9" ht="12" customHeight="1">
      <c r="A7" s="76" t="s">
        <v>96</v>
      </c>
      <c r="B7" s="76" t="s">
        <v>97</v>
      </c>
      <c r="C7" s="77">
        <v>1.2</v>
      </c>
      <c r="D7" s="76">
        <f ca="1">IFERROR(__xludf.DUMMYFUNCTION("GOOGLEFINANCE(A7, ""price"")"),479.47)</f>
        <v>479.47</v>
      </c>
      <c r="E7" s="76">
        <f t="shared" si="0"/>
        <v>840</v>
      </c>
      <c r="F7" s="78">
        <f t="shared" ca="1" si="1"/>
        <v>2</v>
      </c>
      <c r="G7" s="79">
        <f t="shared" ca="1" si="2"/>
        <v>958.94</v>
      </c>
      <c r="H7" s="80">
        <f t="shared" ca="1" si="3"/>
        <v>1.3718107160427353</v>
      </c>
      <c r="I7" s="77">
        <f t="shared" ca="1" si="4"/>
        <v>0.17181071604273535</v>
      </c>
    </row>
    <row r="8" spans="1:9" ht="12" customHeight="1">
      <c r="A8" s="76" t="s">
        <v>46</v>
      </c>
      <c r="B8" s="76" t="s">
        <v>98</v>
      </c>
      <c r="C8" s="77">
        <v>1.0900000000000001</v>
      </c>
      <c r="D8" s="76">
        <f ca="1">IFERROR(__xludf.DUMMYFUNCTION("GOOGLEFINANCE(A8, ""price"")"),42.23)</f>
        <v>42.23</v>
      </c>
      <c r="E8" s="76">
        <f t="shared" si="0"/>
        <v>763</v>
      </c>
      <c r="F8" s="78">
        <f t="shared" ca="1" si="1"/>
        <v>18</v>
      </c>
      <c r="G8" s="79">
        <f t="shared" ca="1" si="2"/>
        <v>760.14</v>
      </c>
      <c r="H8" s="80">
        <f t="shared" ca="1" si="3"/>
        <v>1.0874175628222043</v>
      </c>
      <c r="I8" s="77">
        <f t="shared" ca="1" si="4"/>
        <v>2.5824371777958266E-3</v>
      </c>
    </row>
    <row r="9" spans="1:9" ht="12" customHeight="1">
      <c r="A9" s="76" t="s">
        <v>99</v>
      </c>
      <c r="B9" s="76" t="s">
        <v>100</v>
      </c>
      <c r="C9" s="77">
        <v>1.03</v>
      </c>
      <c r="D9" s="76">
        <f ca="1">IFERROR(__xludf.DUMMYFUNCTION("GOOGLEFINANCE(A9, ""price"")"),270.21)</f>
        <v>270.20999999999998</v>
      </c>
      <c r="E9" s="76">
        <f t="shared" si="0"/>
        <v>721</v>
      </c>
      <c r="F9" s="78">
        <f t="shared" ca="1" si="1"/>
        <v>3</v>
      </c>
      <c r="G9" s="79">
        <f t="shared" ca="1" si="2"/>
        <v>810.62999999999988</v>
      </c>
      <c r="H9" s="80">
        <f t="shared" ca="1" si="3"/>
        <v>1.1596459848851046</v>
      </c>
      <c r="I9" s="77">
        <f t="shared" ca="1" si="4"/>
        <v>0.12964598488510459</v>
      </c>
    </row>
    <row r="10" spans="1:9" ht="12" customHeight="1">
      <c r="A10" s="76" t="s">
        <v>101</v>
      </c>
      <c r="B10" s="76" t="s">
        <v>102</v>
      </c>
      <c r="C10" s="77">
        <v>1</v>
      </c>
      <c r="D10" s="76">
        <f ca="1">IFERROR(__xludf.DUMMYFUNCTION("GOOGLEFINANCE(A10, ""price"")"),368.69)</f>
        <v>368.69</v>
      </c>
      <c r="E10" s="76">
        <f t="shared" si="0"/>
        <v>700</v>
      </c>
      <c r="F10" s="78">
        <f t="shared" ca="1" si="1"/>
        <v>2</v>
      </c>
      <c r="G10" s="79">
        <f t="shared" ca="1" si="2"/>
        <v>737.38</v>
      </c>
      <c r="H10" s="80">
        <f t="shared" ca="1" si="3"/>
        <v>1.0548582662060109</v>
      </c>
      <c r="I10" s="77">
        <f t="shared" ca="1" si="4"/>
        <v>5.4858266206010864E-2</v>
      </c>
    </row>
    <row r="11" spans="1:9" ht="12" customHeight="1">
      <c r="A11" s="76" t="s">
        <v>29</v>
      </c>
      <c r="B11" s="76" t="s">
        <v>103</v>
      </c>
      <c r="C11" s="77">
        <v>0.96</v>
      </c>
      <c r="D11" s="76">
        <f ca="1">IFERROR(__xludf.DUMMYFUNCTION("GOOGLEFINANCE(A11, ""price"")"),163.03)</f>
        <v>163.03</v>
      </c>
      <c r="E11" s="76">
        <f t="shared" si="0"/>
        <v>672</v>
      </c>
      <c r="F11" s="78">
        <f t="shared" ca="1" si="1"/>
        <v>4</v>
      </c>
      <c r="G11" s="79">
        <f t="shared" ca="1" si="2"/>
        <v>652.12</v>
      </c>
      <c r="H11" s="80">
        <f t="shared" ca="1" si="3"/>
        <v>0.93288965331072693</v>
      </c>
      <c r="I11" s="77">
        <f t="shared" ca="1" si="4"/>
        <v>2.7110346689273035E-2</v>
      </c>
    </row>
    <row r="12" spans="1:9" ht="12" customHeight="1">
      <c r="A12" s="76" t="s">
        <v>48</v>
      </c>
      <c r="B12" s="76" t="s">
        <v>104</v>
      </c>
      <c r="C12" s="77">
        <v>0.94</v>
      </c>
      <c r="D12" s="76">
        <f ca="1">IFERROR(__xludf.DUMMYFUNCTION("GOOGLEFINANCE(A12, ""price"")"),37.07)</f>
        <v>37.07</v>
      </c>
      <c r="E12" s="76">
        <f t="shared" si="0"/>
        <v>658</v>
      </c>
      <c r="F12" s="78">
        <f t="shared" ca="1" si="1"/>
        <v>18</v>
      </c>
      <c r="G12" s="79">
        <f t="shared" ca="1" si="2"/>
        <v>667.26</v>
      </c>
      <c r="H12" s="80">
        <f t="shared" ca="1" si="3"/>
        <v>0.95454816608617366</v>
      </c>
      <c r="I12" s="77">
        <f t="shared" ca="1" si="4"/>
        <v>1.4548166086173708E-2</v>
      </c>
    </row>
    <row r="13" spans="1:9" ht="12" customHeight="1">
      <c r="A13" s="76" t="s">
        <v>105</v>
      </c>
      <c r="B13" s="76" t="s">
        <v>106</v>
      </c>
      <c r="C13" s="77">
        <v>0.8</v>
      </c>
      <c r="D13" s="76">
        <f ca="1">IFERROR(__xludf.DUMMYFUNCTION("GOOGLEFINANCE(A13, ""price"")"),153.71)</f>
        <v>153.71</v>
      </c>
      <c r="E13" s="76">
        <f t="shared" si="0"/>
        <v>560</v>
      </c>
      <c r="F13" s="78">
        <f t="shared" ca="1" si="1"/>
        <v>4</v>
      </c>
      <c r="G13" s="79">
        <f t="shared" ca="1" si="2"/>
        <v>614.84</v>
      </c>
      <c r="H13" s="80">
        <f t="shared" ca="1" si="3"/>
        <v>0.87955878433657508</v>
      </c>
      <c r="I13" s="77">
        <f t="shared" ca="1" si="4"/>
        <v>7.9558784336575039E-2</v>
      </c>
    </row>
    <row r="14" spans="1:9" ht="12" customHeight="1">
      <c r="A14" s="76" t="s">
        <v>107</v>
      </c>
      <c r="B14" s="76" t="s">
        <v>108</v>
      </c>
      <c r="C14" s="77">
        <v>0.63</v>
      </c>
      <c r="D14" s="76">
        <f ca="1">IFERROR(__xludf.DUMMYFUNCTION("GOOGLEFINANCE(A14, ""price"")"),69.31)</f>
        <v>69.31</v>
      </c>
      <c r="E14" s="76">
        <f t="shared" si="0"/>
        <v>441</v>
      </c>
      <c r="F14" s="78">
        <f t="shared" ca="1" si="1"/>
        <v>6</v>
      </c>
      <c r="G14" s="79">
        <f t="shared" ca="1" si="2"/>
        <v>415.86</v>
      </c>
      <c r="H14" s="80">
        <f t="shared" ca="1" si="3"/>
        <v>0.5949081322851606</v>
      </c>
      <c r="I14" s="77">
        <f t="shared" ca="1" si="4"/>
        <v>3.5091867714839409E-2</v>
      </c>
    </row>
    <row r="15" spans="1:9" ht="12" customHeight="1">
      <c r="A15" s="76" t="s">
        <v>109</v>
      </c>
      <c r="B15" s="76" t="s">
        <v>110</v>
      </c>
      <c r="C15" s="77">
        <v>0.62</v>
      </c>
      <c r="D15" s="76">
        <f ca="1">IFERROR(__xludf.DUMMYFUNCTION("GOOGLEFINANCE(A15, ""price"")"),69.48)</f>
        <v>69.48</v>
      </c>
      <c r="E15" s="76">
        <f t="shared" si="0"/>
        <v>434</v>
      </c>
      <c r="F15" s="78">
        <f t="shared" ca="1" si="1"/>
        <v>6</v>
      </c>
      <c r="G15" s="79">
        <f t="shared" ca="1" si="2"/>
        <v>416.88</v>
      </c>
      <c r="H15" s="80">
        <f t="shared" ca="1" si="3"/>
        <v>0.59636729232683527</v>
      </c>
      <c r="I15" s="77">
        <f t="shared" ca="1" si="4"/>
        <v>2.3632707673164721E-2</v>
      </c>
    </row>
    <row r="16" spans="1:9" ht="12" customHeight="1">
      <c r="A16" s="76" t="s">
        <v>111</v>
      </c>
      <c r="B16" s="76" t="s">
        <v>112</v>
      </c>
      <c r="C16" s="77">
        <v>3.83</v>
      </c>
      <c r="D16" s="76">
        <f ca="1">IFERROR(__xludf.DUMMYFUNCTION("GOOGLEFINANCE(A16, ""price"")"),2240)</f>
        <v>2240</v>
      </c>
      <c r="E16" s="76">
        <f t="shared" si="0"/>
        <v>2681</v>
      </c>
      <c r="F16" s="78">
        <f t="shared" ca="1" si="1"/>
        <v>1</v>
      </c>
      <c r="G16" s="79">
        <f t="shared" ca="1" si="2"/>
        <v>2240</v>
      </c>
      <c r="H16" s="80">
        <f t="shared" ca="1" si="3"/>
        <v>3.2044298954426003</v>
      </c>
      <c r="I16" s="77">
        <f t="shared" ca="1" si="4"/>
        <v>0.62557010455739981</v>
      </c>
    </row>
    <row r="17" spans="1:9" ht="12" customHeight="1">
      <c r="A17" s="76" t="s">
        <v>113</v>
      </c>
      <c r="B17" s="76" t="s">
        <v>112</v>
      </c>
      <c r="C17" s="77">
        <v>3.56</v>
      </c>
      <c r="D17" s="76">
        <f ca="1">IFERROR(__xludf.DUMMYFUNCTION("GOOGLEFINANCE(A17, ""price"")"),2257.42)</f>
        <v>2257.42</v>
      </c>
      <c r="E17" s="76">
        <f t="shared" si="0"/>
        <v>2492</v>
      </c>
      <c r="F17" s="78">
        <f t="shared" ca="1" si="1"/>
        <v>1</v>
      </c>
      <c r="G17" s="79">
        <f t="shared" ca="1" si="2"/>
        <v>2257.42</v>
      </c>
      <c r="H17" s="80">
        <f t="shared" ca="1" si="3"/>
        <v>3.2293500600759084</v>
      </c>
      <c r="I17" s="77">
        <f t="shared" ca="1" si="4"/>
        <v>0.33064993992409164</v>
      </c>
    </row>
    <row r="18" spans="1:9" ht="12" customHeight="1">
      <c r="A18" s="76" t="s">
        <v>114</v>
      </c>
      <c r="B18" s="76" t="s">
        <v>115</v>
      </c>
      <c r="C18" s="77">
        <v>2.4700000000000002</v>
      </c>
      <c r="D18" s="76">
        <f ca="1">IFERROR(__xludf.DUMMYFUNCTION("GOOGLEFINANCE(A18, ""price"")"),185.26)</f>
        <v>185.26</v>
      </c>
      <c r="E18" s="76">
        <f t="shared" si="0"/>
        <v>1729.0000000000002</v>
      </c>
      <c r="F18" s="78">
        <f t="shared" ca="1" si="1"/>
        <v>9</v>
      </c>
      <c r="G18" s="79">
        <f t="shared" ca="1" si="2"/>
        <v>1667.34</v>
      </c>
      <c r="H18" s="80">
        <f t="shared" ca="1" si="3"/>
        <v>2.3852116704764574</v>
      </c>
      <c r="I18" s="77">
        <f t="shared" ca="1" si="4"/>
        <v>8.478832952354276E-2</v>
      </c>
    </row>
    <row r="19" spans="1:9" ht="12" customHeight="1">
      <c r="A19" s="76" t="s">
        <v>41</v>
      </c>
      <c r="B19" s="76" t="s">
        <v>116</v>
      </c>
      <c r="C19" s="77">
        <v>1.19</v>
      </c>
      <c r="D19" s="76">
        <f ca="1">IFERROR(__xludf.DUMMYFUNCTION("GOOGLEFINANCE(A19, ""price"")"),91.87)</f>
        <v>91.87</v>
      </c>
      <c r="E19" s="76">
        <f t="shared" si="0"/>
        <v>833</v>
      </c>
      <c r="F19" s="78">
        <f t="shared" ca="1" si="1"/>
        <v>9</v>
      </c>
      <c r="G19" s="79">
        <f t="shared" ca="1" si="2"/>
        <v>826.83</v>
      </c>
      <c r="H19" s="80">
        <f t="shared" ca="1" si="3"/>
        <v>1.1828208796646451</v>
      </c>
      <c r="I19" s="77">
        <f t="shared" ca="1" si="4"/>
        <v>7.1791203353548383E-3</v>
      </c>
    </row>
    <row r="20" spans="1:9" ht="12" customHeight="1">
      <c r="A20" s="76" t="s">
        <v>45</v>
      </c>
      <c r="B20" s="76" t="s">
        <v>117</v>
      </c>
      <c r="C20" s="77">
        <v>1.1200000000000001</v>
      </c>
      <c r="D20" s="76">
        <f ca="1">IFERROR(__xludf.DUMMYFUNCTION("GOOGLEFINANCE(A20, ""price"")"),50.53)</f>
        <v>50.53</v>
      </c>
      <c r="E20" s="76">
        <f t="shared" si="0"/>
        <v>784.00000000000011</v>
      </c>
      <c r="F20" s="78">
        <f t="shared" ca="1" si="1"/>
        <v>16</v>
      </c>
      <c r="G20" s="79">
        <f t="shared" ca="1" si="2"/>
        <v>808.48</v>
      </c>
      <c r="H20" s="80">
        <f t="shared" ca="1" si="3"/>
        <v>1.1565703044051041</v>
      </c>
      <c r="I20" s="77">
        <f t="shared" ca="1" si="4"/>
        <v>3.6570304405104004E-2</v>
      </c>
    </row>
    <row r="21" spans="1:9" ht="12" customHeight="1">
      <c r="A21" s="76" t="s">
        <v>118</v>
      </c>
      <c r="B21" s="76" t="s">
        <v>119</v>
      </c>
      <c r="C21" s="77">
        <v>1.07</v>
      </c>
      <c r="D21" s="76">
        <f ca="1">IFERROR(__xludf.DUMMYFUNCTION("GOOGLEFINANCE(A21, ""price"")"),39.26)</f>
        <v>39.26</v>
      </c>
      <c r="E21" s="76">
        <f t="shared" si="0"/>
        <v>749</v>
      </c>
      <c r="F21" s="78">
        <f t="shared" ca="1" si="1"/>
        <v>19</v>
      </c>
      <c r="G21" s="79">
        <f t="shared" ca="1" si="2"/>
        <v>745.93999999999994</v>
      </c>
      <c r="H21" s="80">
        <f t="shared" ca="1" si="3"/>
        <v>1.0671037661635951</v>
      </c>
      <c r="I21" s="77">
        <f t="shared" ca="1" si="4"/>
        <v>2.8962338364049156E-3</v>
      </c>
    </row>
    <row r="22" spans="1:9" ht="12" customHeight="1">
      <c r="A22" s="76" t="s">
        <v>120</v>
      </c>
      <c r="B22" s="76" t="s">
        <v>121</v>
      </c>
      <c r="C22" s="77">
        <v>0.76</v>
      </c>
      <c r="D22" s="76">
        <f ca="1">IFERROR(__xludf.DUMMYFUNCTION("GOOGLEFINANCE(A22, ""price"")"),171)</f>
        <v>171</v>
      </c>
      <c r="E22" s="76">
        <f t="shared" si="0"/>
        <v>532</v>
      </c>
      <c r="F22" s="78">
        <f t="shared" ca="1" si="1"/>
        <v>3</v>
      </c>
      <c r="G22" s="79">
        <f t="shared" ca="1" si="2"/>
        <v>513</v>
      </c>
      <c r="H22" s="80">
        <f t="shared" ca="1" si="3"/>
        <v>0.73387166801877401</v>
      </c>
      <c r="I22" s="77">
        <f t="shared" ca="1" si="4"/>
        <v>2.6128331981225994E-2</v>
      </c>
    </row>
    <row r="23" spans="1:9" ht="12" customHeight="1">
      <c r="A23" s="76" t="s">
        <v>122</v>
      </c>
      <c r="B23" s="76" t="s">
        <v>123</v>
      </c>
      <c r="C23" s="77">
        <v>0.7</v>
      </c>
      <c r="D23" s="76">
        <f ca="1">IFERROR(__xludf.DUMMYFUNCTION("GOOGLEFINANCE(A23, ""price"")"),20.41)</f>
        <v>20.41</v>
      </c>
      <c r="E23" s="76">
        <f t="shared" si="0"/>
        <v>489.99999999999994</v>
      </c>
      <c r="F23" s="78">
        <f t="shared" ca="1" si="1"/>
        <v>24</v>
      </c>
      <c r="G23" s="79">
        <f t="shared" ca="1" si="2"/>
        <v>489.84000000000003</v>
      </c>
      <c r="H23" s="80">
        <f t="shared" ca="1" si="3"/>
        <v>0.70074015177839433</v>
      </c>
      <c r="I23" s="77">
        <f t="shared" ca="1" si="4"/>
        <v>7.4015177839437118E-4</v>
      </c>
    </row>
    <row r="24" spans="1:9" ht="12" customHeight="1">
      <c r="A24" s="76" t="s">
        <v>124</v>
      </c>
      <c r="B24" s="76" t="s">
        <v>125</v>
      </c>
      <c r="C24" s="77">
        <v>6.58</v>
      </c>
      <c r="D24" s="76">
        <f ca="1">IFERROR(__xludf.DUMMYFUNCTION("GOOGLEFINANCE(A24, ""price"")"),108.29)</f>
        <v>108.29</v>
      </c>
      <c r="E24" s="76">
        <f t="shared" si="0"/>
        <v>4606</v>
      </c>
      <c r="F24" s="78">
        <f t="shared" ca="1" si="1"/>
        <v>43</v>
      </c>
      <c r="G24" s="79">
        <f t="shared" ca="1" si="2"/>
        <v>4656.47</v>
      </c>
      <c r="H24" s="80">
        <f t="shared" ca="1" si="3"/>
        <v>6.6613087835855369</v>
      </c>
      <c r="I24" s="77">
        <f t="shared" ca="1" si="4"/>
        <v>8.1308783585536837E-2</v>
      </c>
    </row>
    <row r="25" spans="1:9" ht="12" customHeight="1">
      <c r="A25" s="76" t="s">
        <v>126</v>
      </c>
      <c r="B25" s="76" t="s">
        <v>127</v>
      </c>
      <c r="C25" s="77">
        <v>4.12</v>
      </c>
      <c r="D25" s="76">
        <f ca="1">IFERROR(__xludf.DUMMYFUNCTION("GOOGLEFINANCE(A25, ""price"")"),699.25)</f>
        <v>699.25</v>
      </c>
      <c r="E25" s="76">
        <f t="shared" si="0"/>
        <v>2884</v>
      </c>
      <c r="F25" s="78">
        <f t="shared" ca="1" si="1"/>
        <v>4</v>
      </c>
      <c r="G25" s="79">
        <f t="shared" ca="1" si="2"/>
        <v>2797</v>
      </c>
      <c r="H25" s="80">
        <f t="shared" ca="1" si="3"/>
        <v>4.0012457221218538</v>
      </c>
      <c r="I25" s="77">
        <f t="shared" ca="1" si="4"/>
        <v>0.1187542778781463</v>
      </c>
    </row>
    <row r="26" spans="1:9" ht="12" customHeight="1">
      <c r="A26" s="76" t="s">
        <v>21</v>
      </c>
      <c r="B26" s="76" t="s">
        <v>128</v>
      </c>
      <c r="C26" s="77">
        <v>1.6</v>
      </c>
      <c r="D26" s="76">
        <f ca="1">IFERROR(__xludf.DUMMYFUNCTION("GOOGLEFINANCE(A26, ""price"")"),282.26)</f>
        <v>282.26</v>
      </c>
      <c r="E26" s="76">
        <f t="shared" si="0"/>
        <v>1120</v>
      </c>
      <c r="F26" s="78">
        <f t="shared" ca="1" si="1"/>
        <v>4</v>
      </c>
      <c r="G26" s="79">
        <f t="shared" ca="1" si="2"/>
        <v>1129.04</v>
      </c>
      <c r="H26" s="80">
        <f t="shared" ca="1" si="3"/>
        <v>1.6151471112279077</v>
      </c>
      <c r="I26" s="77">
        <f t="shared" ca="1" si="4"/>
        <v>1.5147111227907573E-2</v>
      </c>
    </row>
    <row r="27" spans="1:9" ht="12" customHeight="1">
      <c r="A27" s="76" t="s">
        <v>23</v>
      </c>
      <c r="B27" s="76" t="s">
        <v>129</v>
      </c>
      <c r="C27" s="77">
        <v>0.93</v>
      </c>
      <c r="D27" s="76">
        <f ca="1">IFERROR(__xludf.DUMMYFUNCTION("GOOGLEFINANCE(A27, ""price"")"),250.75)</f>
        <v>250.75</v>
      </c>
      <c r="E27" s="76">
        <f t="shared" si="0"/>
        <v>651</v>
      </c>
      <c r="F27" s="78">
        <f t="shared" ca="1" si="1"/>
        <v>3</v>
      </c>
      <c r="G27" s="79">
        <f t="shared" ca="1" si="2"/>
        <v>752.25</v>
      </c>
      <c r="H27" s="80">
        <f t="shared" ca="1" si="3"/>
        <v>1.0761305307351321</v>
      </c>
      <c r="I27" s="77">
        <f t="shared" ca="1" si="4"/>
        <v>0.14613053073513205</v>
      </c>
    </row>
    <row r="28" spans="1:9" ht="12" customHeight="1">
      <c r="A28" s="76" t="s">
        <v>39</v>
      </c>
      <c r="B28" s="76" t="s">
        <v>130</v>
      </c>
      <c r="C28" s="77">
        <v>0.8</v>
      </c>
      <c r="D28" s="76">
        <f ca="1">IFERROR(__xludf.DUMMYFUNCTION("GOOGLEFINANCE(A28, ""price"")"),102.96)</f>
        <v>102.96</v>
      </c>
      <c r="E28" s="76">
        <f t="shared" si="0"/>
        <v>560</v>
      </c>
      <c r="F28" s="78">
        <f t="shared" ca="1" si="1"/>
        <v>5</v>
      </c>
      <c r="G28" s="79">
        <f t="shared" ca="1" si="2"/>
        <v>514.79999999999995</v>
      </c>
      <c r="H28" s="80">
        <f t="shared" ca="1" si="3"/>
        <v>0.73644665632761175</v>
      </c>
      <c r="I28" s="77">
        <f t="shared" ca="1" si="4"/>
        <v>6.3553343672388296E-2</v>
      </c>
    </row>
    <row r="29" spans="1:9" ht="12" customHeight="1">
      <c r="A29" s="76" t="s">
        <v>19</v>
      </c>
      <c r="B29" s="76" t="s">
        <v>131</v>
      </c>
      <c r="C29" s="77">
        <v>2.5099999999999998</v>
      </c>
      <c r="D29" s="76">
        <f ca="1">IFERROR(__xludf.DUMMYFUNCTION("GOOGLEFINANCE(A29, ""price"")"),508.42)</f>
        <v>508.42</v>
      </c>
      <c r="E29" s="76">
        <f t="shared" si="0"/>
        <v>1756.9999999999998</v>
      </c>
      <c r="F29" s="78">
        <f t="shared" ca="1" si="1"/>
        <v>3</v>
      </c>
      <c r="G29" s="79">
        <f t="shared" ca="1" si="2"/>
        <v>1525.26</v>
      </c>
      <c r="H29" s="80">
        <f t="shared" ca="1" si="3"/>
        <v>2.1819592599655269</v>
      </c>
      <c r="I29" s="77">
        <f t="shared" ca="1" si="4"/>
        <v>0.32804074003447292</v>
      </c>
    </row>
    <row r="30" spans="1:9" ht="12" customHeight="1">
      <c r="A30" s="76" t="s">
        <v>27</v>
      </c>
      <c r="B30" s="76" t="s">
        <v>132</v>
      </c>
      <c r="C30" s="77">
        <v>2.36</v>
      </c>
      <c r="D30" s="76">
        <f ca="1">IFERROR(__xludf.DUMMYFUNCTION("GOOGLEFINANCE(A30, ""price"")"),175.18)</f>
        <v>175.18</v>
      </c>
      <c r="E30" s="76">
        <f t="shared" si="0"/>
        <v>1652</v>
      </c>
      <c r="F30" s="78">
        <f t="shared" ca="1" si="1"/>
        <v>9</v>
      </c>
      <c r="G30" s="79">
        <f t="shared" ca="1" si="2"/>
        <v>1576.6200000000001</v>
      </c>
      <c r="H30" s="80">
        <f t="shared" ca="1" si="3"/>
        <v>2.2554322597110321</v>
      </c>
      <c r="I30" s="77">
        <f t="shared" ca="1" si="4"/>
        <v>0.10456774028896776</v>
      </c>
    </row>
    <row r="31" spans="1:9" ht="12" customHeight="1">
      <c r="A31" s="76" t="s">
        <v>133</v>
      </c>
      <c r="B31" s="76" t="s">
        <v>134</v>
      </c>
      <c r="C31" s="77">
        <v>1.49</v>
      </c>
      <c r="D31" s="76">
        <f ca="1">IFERROR(__xludf.DUMMYFUNCTION("GOOGLEFINANCE(A31, ""price"")"),51.87)</f>
        <v>51.87</v>
      </c>
      <c r="E31" s="76">
        <f t="shared" si="0"/>
        <v>1043</v>
      </c>
      <c r="F31" s="78">
        <f t="shared" ca="1" si="1"/>
        <v>20</v>
      </c>
      <c r="G31" s="79">
        <f t="shared" ca="1" si="2"/>
        <v>1037.3999999999999</v>
      </c>
      <c r="H31" s="80">
        <f t="shared" ca="1" si="3"/>
        <v>1.4840515953268538</v>
      </c>
      <c r="I31" s="77">
        <f t="shared" ca="1" si="4"/>
        <v>5.9484046731461682E-3</v>
      </c>
    </row>
    <row r="32" spans="1:9" ht="12" customHeight="1">
      <c r="A32" s="76" t="s">
        <v>135</v>
      </c>
      <c r="B32" s="76" t="s">
        <v>136</v>
      </c>
      <c r="C32" s="77">
        <v>1.48</v>
      </c>
      <c r="D32" s="76">
        <f ca="1">IFERROR(__xludf.DUMMYFUNCTION("GOOGLEFINANCE(A32, ""price"")"),152.5)</f>
        <v>152.5</v>
      </c>
      <c r="E32" s="76">
        <f t="shared" si="0"/>
        <v>1036</v>
      </c>
      <c r="F32" s="78">
        <f t="shared" ca="1" si="1"/>
        <v>7</v>
      </c>
      <c r="G32" s="79">
        <f t="shared" ca="1" si="2"/>
        <v>1067.5</v>
      </c>
      <c r="H32" s="80">
        <f t="shared" ca="1" si="3"/>
        <v>1.5271111220468641</v>
      </c>
      <c r="I32" s="77">
        <f t="shared" ca="1" si="4"/>
        <v>4.7111122046864073E-2</v>
      </c>
    </row>
    <row r="33" spans="1:9" ht="12" customHeight="1">
      <c r="A33" s="76" t="s">
        <v>137</v>
      </c>
      <c r="B33" s="76" t="s">
        <v>138</v>
      </c>
      <c r="C33" s="77">
        <v>1.22</v>
      </c>
      <c r="D33" s="76">
        <f ca="1">IFERROR(__xludf.DUMMYFUNCTION("GOOGLEFINANCE(A33, ""price"")"),323.83)</f>
        <v>323.83</v>
      </c>
      <c r="E33" s="76">
        <f t="shared" si="0"/>
        <v>854</v>
      </c>
      <c r="F33" s="78">
        <f t="shared" ca="1" si="1"/>
        <v>3</v>
      </c>
      <c r="G33" s="79">
        <f t="shared" ca="1" si="2"/>
        <v>971.49</v>
      </c>
      <c r="H33" s="80">
        <f t="shared" ca="1" si="3"/>
        <v>1.3897641067515767</v>
      </c>
      <c r="I33" s="77">
        <f t="shared" ca="1" si="4"/>
        <v>0.16976410675157672</v>
      </c>
    </row>
    <row r="34" spans="1:9" ht="12" customHeight="1">
      <c r="A34" s="76" t="s">
        <v>139</v>
      </c>
      <c r="B34" s="76" t="s">
        <v>140</v>
      </c>
      <c r="C34" s="77">
        <v>1.1200000000000001</v>
      </c>
      <c r="D34" s="76">
        <f ca="1">IFERROR(__xludf.DUMMYFUNCTION("GOOGLEFINANCE(A34, ""price"")"),515.42)</f>
        <v>515.41999999999996</v>
      </c>
      <c r="E34" s="76">
        <f t="shared" si="0"/>
        <v>784.00000000000011</v>
      </c>
      <c r="F34" s="78">
        <f t="shared" ca="1" si="1"/>
        <v>2</v>
      </c>
      <c r="G34" s="79">
        <f t="shared" ca="1" si="2"/>
        <v>1030.8399999999999</v>
      </c>
      <c r="H34" s="80">
        <f t="shared" ca="1" si="3"/>
        <v>1.4746671934902005</v>
      </c>
      <c r="I34" s="77">
        <f t="shared" ca="1" si="4"/>
        <v>0.35466719349020037</v>
      </c>
    </row>
    <row r="35" spans="1:9" ht="12" customHeight="1">
      <c r="A35" s="76" t="s">
        <v>42</v>
      </c>
      <c r="B35" s="76" t="s">
        <v>141</v>
      </c>
      <c r="C35" s="77">
        <v>1.08</v>
      </c>
      <c r="D35" s="76">
        <f ca="1">IFERROR(__xludf.DUMMYFUNCTION("GOOGLEFINANCE(A35, ""price"")"),93.73)</f>
        <v>93.73</v>
      </c>
      <c r="E35" s="76">
        <f t="shared" si="0"/>
        <v>756</v>
      </c>
      <c r="F35" s="78">
        <f t="shared" ca="1" si="1"/>
        <v>8</v>
      </c>
      <c r="G35" s="79">
        <f t="shared" ca="1" si="2"/>
        <v>749.84</v>
      </c>
      <c r="H35" s="80">
        <f t="shared" ca="1" si="3"/>
        <v>1.0726829074994104</v>
      </c>
      <c r="I35" s="77">
        <f t="shared" ca="1" si="4"/>
        <v>7.3170925005896503E-3</v>
      </c>
    </row>
    <row r="36" spans="1:9" ht="12" customHeight="1">
      <c r="A36" s="76" t="s">
        <v>142</v>
      </c>
      <c r="B36" s="76" t="s">
        <v>143</v>
      </c>
      <c r="C36" s="77">
        <v>1.04</v>
      </c>
      <c r="D36" s="76">
        <f ca="1">IFERROR(__xludf.DUMMYFUNCTION("GOOGLEFINANCE(A36, ""price"")"),105.79)</f>
        <v>105.79</v>
      </c>
      <c r="E36" s="76">
        <f t="shared" si="0"/>
        <v>728</v>
      </c>
      <c r="F36" s="78">
        <f t="shared" ca="1" si="1"/>
        <v>7</v>
      </c>
      <c r="G36" s="79">
        <f t="shared" ca="1" si="2"/>
        <v>740.53000000000009</v>
      </c>
      <c r="H36" s="80">
        <f t="shared" ca="1" si="3"/>
        <v>1.0593644957464772</v>
      </c>
      <c r="I36" s="77">
        <f t="shared" ca="1" si="4"/>
        <v>1.9364495746477139E-2</v>
      </c>
    </row>
    <row r="37" spans="1:9" ht="12" customHeight="1">
      <c r="A37" s="76" t="s">
        <v>144</v>
      </c>
      <c r="B37" s="76" t="s">
        <v>145</v>
      </c>
      <c r="C37" s="77">
        <v>0.83</v>
      </c>
      <c r="D37" s="76">
        <f ca="1">IFERROR(__xludf.DUMMYFUNCTION("GOOGLEFINANCE(A37, ""price"")"),74.79)</f>
        <v>74.790000000000006</v>
      </c>
      <c r="E37" s="76">
        <f t="shared" si="0"/>
        <v>581</v>
      </c>
      <c r="F37" s="78">
        <f t="shared" ca="1" si="1"/>
        <v>8</v>
      </c>
      <c r="G37" s="79">
        <f t="shared" ca="1" si="2"/>
        <v>598.32000000000005</v>
      </c>
      <c r="H37" s="80">
        <f t="shared" ca="1" si="3"/>
        <v>0.85592611385768602</v>
      </c>
      <c r="I37" s="77">
        <f t="shared" ca="1" si="4"/>
        <v>2.5926113857686062E-2</v>
      </c>
    </row>
    <row r="38" spans="1:9" ht="12" customHeight="1">
      <c r="A38" s="76" t="s">
        <v>146</v>
      </c>
      <c r="B38" s="76" t="s">
        <v>147</v>
      </c>
      <c r="C38" s="77">
        <v>0.74</v>
      </c>
      <c r="D38" s="76">
        <f ca="1">IFERROR(__xludf.DUMMYFUNCTION("GOOGLEFINANCE(A38, ""price"")"),86.86)</f>
        <v>86.86</v>
      </c>
      <c r="E38" s="76">
        <f t="shared" si="0"/>
        <v>518</v>
      </c>
      <c r="F38" s="78">
        <f t="shared" ca="1" si="1"/>
        <v>6</v>
      </c>
      <c r="G38" s="79">
        <f t="shared" ca="1" si="2"/>
        <v>521.16</v>
      </c>
      <c r="H38" s="80">
        <f t="shared" ca="1" si="3"/>
        <v>0.745544948352172</v>
      </c>
      <c r="I38" s="77">
        <f t="shared" ca="1" si="4"/>
        <v>5.5449483521720078E-3</v>
      </c>
    </row>
    <row r="39" spans="1:9" ht="12" customHeight="1">
      <c r="A39" s="76" t="s">
        <v>148</v>
      </c>
      <c r="B39" s="76" t="s">
        <v>149</v>
      </c>
      <c r="C39" s="77">
        <v>3.19</v>
      </c>
      <c r="D39" s="76">
        <f ca="1">IFERROR(__xludf.DUMMYFUNCTION("GOOGLEFINANCE(A39, ""price"")"),206.82)</f>
        <v>206.82</v>
      </c>
      <c r="E39" s="76">
        <f t="shared" si="0"/>
        <v>2233</v>
      </c>
      <c r="F39" s="78">
        <f t="shared" ca="1" si="1"/>
        <v>11</v>
      </c>
      <c r="G39" s="79">
        <f t="shared" ca="1" si="2"/>
        <v>2275.02</v>
      </c>
      <c r="H39" s="80">
        <f t="shared" ca="1" si="3"/>
        <v>3.2545277235400993</v>
      </c>
      <c r="I39" s="77">
        <f t="shared" ca="1" si="4"/>
        <v>6.4527723540099391E-2</v>
      </c>
    </row>
    <row r="40" spans="1:9" ht="12" customHeight="1">
      <c r="A40" s="76" t="s">
        <v>40</v>
      </c>
      <c r="B40" s="76" t="s">
        <v>150</v>
      </c>
      <c r="C40" s="77">
        <v>1.94</v>
      </c>
      <c r="D40" s="76">
        <f ca="1">IFERROR(__xludf.DUMMYFUNCTION("GOOGLEFINANCE(A40, ""price"")"),111.34)</f>
        <v>111.34</v>
      </c>
      <c r="E40" s="76">
        <f t="shared" si="0"/>
        <v>1358</v>
      </c>
      <c r="F40" s="78">
        <f t="shared" ca="1" si="1"/>
        <v>12</v>
      </c>
      <c r="G40" s="79">
        <f t="shared" ca="1" si="2"/>
        <v>1336.08</v>
      </c>
      <c r="H40" s="80">
        <f t="shared" ca="1" si="3"/>
        <v>1.9113279887066736</v>
      </c>
      <c r="I40" s="77">
        <f t="shared" ca="1" si="4"/>
        <v>2.8672011293326305E-2</v>
      </c>
    </row>
    <row r="41" spans="1:9" ht="12" customHeight="1">
      <c r="A41" s="76" t="s">
        <v>151</v>
      </c>
      <c r="B41" s="76" t="s">
        <v>152</v>
      </c>
      <c r="C41" s="77">
        <v>1.39</v>
      </c>
      <c r="D41" s="76">
        <f ca="1">IFERROR(__xludf.DUMMYFUNCTION("GOOGLEFINANCE(A41, ""price"")"),30.76)</f>
        <v>30.76</v>
      </c>
      <c r="E41" s="76">
        <f t="shared" si="0"/>
        <v>972.99999999999989</v>
      </c>
      <c r="F41" s="78">
        <f t="shared" ca="1" si="1"/>
        <v>32</v>
      </c>
      <c r="G41" s="79">
        <f t="shared" ca="1" si="2"/>
        <v>984.32</v>
      </c>
      <c r="H41" s="80">
        <f t="shared" ca="1" si="3"/>
        <v>1.4081180511973483</v>
      </c>
      <c r="I41" s="77">
        <f t="shared" ca="1" si="4"/>
        <v>1.8118051197348439E-2</v>
      </c>
    </row>
    <row r="42" spans="1:9" ht="12" customHeight="1">
      <c r="A42" s="76" t="s">
        <v>153</v>
      </c>
      <c r="B42" s="76" t="s">
        <v>154</v>
      </c>
      <c r="C42" s="77">
        <v>0.94</v>
      </c>
      <c r="D42" s="76">
        <f ca="1">IFERROR(__xludf.DUMMYFUNCTION("GOOGLEFINANCE(A42, ""price"")"),38.85)</f>
        <v>38.85</v>
      </c>
      <c r="E42" s="76">
        <f t="shared" si="0"/>
        <v>658</v>
      </c>
      <c r="F42" s="78">
        <f t="shared" ca="1" si="1"/>
        <v>17</v>
      </c>
      <c r="G42" s="79">
        <f t="shared" ca="1" si="2"/>
        <v>660.45</v>
      </c>
      <c r="H42" s="80">
        <f t="shared" ca="1" si="3"/>
        <v>0.94480612698440414</v>
      </c>
      <c r="I42" s="77">
        <f t="shared" ca="1" si="4"/>
        <v>4.8061269844041909E-3</v>
      </c>
    </row>
    <row r="43" spans="1:9" ht="12" customHeight="1">
      <c r="A43" s="76" t="s">
        <v>155</v>
      </c>
      <c r="B43" s="76" t="s">
        <v>156</v>
      </c>
      <c r="C43" s="77">
        <v>0.5</v>
      </c>
      <c r="D43" s="76">
        <f ca="1">IFERROR(__xludf.DUMMYFUNCTION("GOOGLEFINANCE(A43, ""price"")"),45.16)</f>
        <v>45.16</v>
      </c>
      <c r="E43" s="76">
        <f t="shared" si="0"/>
        <v>350</v>
      </c>
      <c r="F43" s="78">
        <f t="shared" ca="1" si="1"/>
        <v>8</v>
      </c>
      <c r="G43" s="79">
        <f t="shared" ca="1" si="2"/>
        <v>361.28</v>
      </c>
      <c r="H43" s="80">
        <f t="shared" ca="1" si="3"/>
        <v>0.51682876456495641</v>
      </c>
      <c r="I43" s="77">
        <f t="shared" ca="1" si="4"/>
        <v>1.6828764564956411E-2</v>
      </c>
    </row>
    <row r="44" spans="1:9" ht="12" customHeight="1">
      <c r="A44" s="76" t="s">
        <v>34</v>
      </c>
      <c r="B44" s="76" t="s">
        <v>157</v>
      </c>
      <c r="C44" s="77">
        <v>1.9</v>
      </c>
      <c r="D44" s="76">
        <f ca="1">IFERROR(__xludf.DUMMYFUNCTION("GOOGLEFINANCE(A44, ""price"")"),145)</f>
        <v>145</v>
      </c>
      <c r="E44" s="76">
        <f t="shared" si="0"/>
        <v>1330</v>
      </c>
      <c r="F44" s="78">
        <f t="shared" ca="1" si="1"/>
        <v>9</v>
      </c>
      <c r="G44" s="79">
        <f t="shared" ca="1" si="2"/>
        <v>1305</v>
      </c>
      <c r="H44" s="80">
        <f t="shared" ca="1" si="3"/>
        <v>1.8668665239074074</v>
      </c>
      <c r="I44" s="77">
        <f t="shared" ca="1" si="4"/>
        <v>3.313347609259254E-2</v>
      </c>
    </row>
    <row r="45" spans="1:9" ht="12" customHeight="1">
      <c r="A45" s="76" t="s">
        <v>158</v>
      </c>
      <c r="B45" s="76" t="s">
        <v>159</v>
      </c>
      <c r="C45" s="77">
        <v>1.29</v>
      </c>
      <c r="D45" s="76">
        <f ca="1">IFERROR(__xludf.DUMMYFUNCTION("GOOGLEFINANCE(A45, ""price"")"),487.82)</f>
        <v>487.82</v>
      </c>
      <c r="E45" s="76">
        <f t="shared" si="0"/>
        <v>903</v>
      </c>
      <c r="F45" s="78">
        <f t="shared" ca="1" si="1"/>
        <v>2</v>
      </c>
      <c r="G45" s="79">
        <f t="shared" ca="1" si="2"/>
        <v>975.64</v>
      </c>
      <c r="H45" s="80">
        <f t="shared" ca="1" si="3"/>
        <v>1.3957008853525081</v>
      </c>
      <c r="I45" s="77">
        <f t="shared" ca="1" si="4"/>
        <v>0.1057008853525081</v>
      </c>
    </row>
    <row r="46" spans="1:9" ht="12" customHeight="1">
      <c r="A46" s="76" t="s">
        <v>43</v>
      </c>
      <c r="B46" s="76" t="s">
        <v>160</v>
      </c>
      <c r="C46" s="77">
        <v>1.25</v>
      </c>
      <c r="D46" s="76">
        <f ca="1">IFERROR(__xludf.DUMMYFUNCTION("GOOGLEFINANCE(A46, ""price"")"),62.34)</f>
        <v>62.34</v>
      </c>
      <c r="E46" s="76">
        <f t="shared" si="0"/>
        <v>875</v>
      </c>
      <c r="F46" s="78">
        <f t="shared" ca="1" si="1"/>
        <v>14</v>
      </c>
      <c r="G46" s="79">
        <f t="shared" ca="1" si="2"/>
        <v>872.76</v>
      </c>
      <c r="H46" s="80">
        <f t="shared" ca="1" si="3"/>
        <v>1.2485259980118231</v>
      </c>
      <c r="I46" s="77">
        <f t="shared" ca="1" si="4"/>
        <v>1.4740019881769317E-3</v>
      </c>
    </row>
    <row r="47" spans="1:9" ht="12" customHeight="1">
      <c r="A47" s="76" t="s">
        <v>161</v>
      </c>
      <c r="B47" s="76" t="s">
        <v>162</v>
      </c>
      <c r="C47" s="77">
        <v>1.2</v>
      </c>
      <c r="D47" s="76">
        <f ca="1">IFERROR(__xludf.DUMMYFUNCTION("GOOGLEFINANCE(A47, ""price"")"),168.86)</f>
        <v>168.86</v>
      </c>
      <c r="E47" s="76">
        <f t="shared" si="0"/>
        <v>840</v>
      </c>
      <c r="F47" s="78">
        <f t="shared" ca="1" si="1"/>
        <v>5</v>
      </c>
      <c r="G47" s="79">
        <f t="shared" ca="1" si="2"/>
        <v>844.30000000000007</v>
      </c>
      <c r="H47" s="80">
        <f t="shared" ca="1" si="3"/>
        <v>1.2078125717509764</v>
      </c>
      <c r="I47" s="77">
        <f t="shared" ca="1" si="4"/>
        <v>7.8125717509764936E-3</v>
      </c>
    </row>
    <row r="48" spans="1:9" ht="12" customHeight="1">
      <c r="A48" s="76" t="s">
        <v>37</v>
      </c>
      <c r="B48" s="76" t="s">
        <v>163</v>
      </c>
      <c r="C48" s="77">
        <v>1.08</v>
      </c>
      <c r="D48" s="76">
        <f ca="1">IFERROR(__xludf.DUMMYFUNCTION("GOOGLEFINANCE(A48, ""price"")"),124.54)</f>
        <v>124.54</v>
      </c>
      <c r="E48" s="76">
        <f t="shared" si="0"/>
        <v>756</v>
      </c>
      <c r="F48" s="78">
        <f t="shared" ca="1" si="1"/>
        <v>6</v>
      </c>
      <c r="G48" s="79">
        <f t="shared" ca="1" si="2"/>
        <v>747.24</v>
      </c>
      <c r="H48" s="80">
        <f t="shared" ca="1" si="3"/>
        <v>1.0689634799422003</v>
      </c>
      <c r="I48" s="77">
        <f t="shared" ca="1" si="4"/>
        <v>1.1036520057799759E-2</v>
      </c>
    </row>
    <row r="49" spans="1:9" ht="12" customHeight="1">
      <c r="A49" s="76" t="s">
        <v>164</v>
      </c>
      <c r="B49" s="76" t="s">
        <v>165</v>
      </c>
      <c r="C49" s="77">
        <v>0.78</v>
      </c>
      <c r="D49" s="76">
        <f ca="1">IFERROR(__xludf.DUMMYFUNCTION("GOOGLEFINANCE(A49, ""price"")"),92.46)</f>
        <v>92.46</v>
      </c>
      <c r="E49" s="76">
        <f t="shared" si="0"/>
        <v>546</v>
      </c>
      <c r="F49" s="78">
        <f t="shared" ca="1" si="1"/>
        <v>6</v>
      </c>
      <c r="G49" s="79">
        <f t="shared" ca="1" si="2"/>
        <v>554.76</v>
      </c>
      <c r="H49" s="80">
        <f t="shared" ca="1" si="3"/>
        <v>0.79361139678381099</v>
      </c>
      <c r="I49" s="77">
        <f t="shared" ca="1" si="4"/>
        <v>1.3611396783810958E-2</v>
      </c>
    </row>
    <row r="50" spans="1:9" ht="12" customHeight="1">
      <c r="A50" s="76" t="s">
        <v>166</v>
      </c>
      <c r="B50" s="76" t="s">
        <v>167</v>
      </c>
      <c r="C50" s="77">
        <v>1.81</v>
      </c>
      <c r="D50" s="76">
        <f ca="1">IFERROR(__xludf.DUMMYFUNCTION("GOOGLEFINANCE(A50, ""price"")"),86.06)</f>
        <v>86.06</v>
      </c>
      <c r="E50" s="76">
        <f t="shared" si="0"/>
        <v>1267</v>
      </c>
      <c r="F50" s="78">
        <f t="shared" ca="1" si="1"/>
        <v>15</v>
      </c>
      <c r="G50" s="79">
        <f t="shared" ca="1" si="2"/>
        <v>1290.9000000000001</v>
      </c>
      <c r="H50" s="80">
        <f t="shared" ca="1" si="3"/>
        <v>1.8466957821548451</v>
      </c>
      <c r="I50" s="77">
        <f t="shared" ca="1" si="4"/>
        <v>3.6695782154845036E-2</v>
      </c>
    </row>
    <row r="51" spans="1:9" ht="12" customHeight="1">
      <c r="A51" s="76" t="s">
        <v>32</v>
      </c>
      <c r="B51" s="76" t="s">
        <v>168</v>
      </c>
      <c r="C51" s="77">
        <v>1.63</v>
      </c>
      <c r="D51" s="76">
        <f ca="1">IFERROR(__xludf.DUMMYFUNCTION("GOOGLEFINANCE(A51, ""price"")"),140.4)</f>
        <v>140.4</v>
      </c>
      <c r="E51" s="76">
        <f t="shared" si="0"/>
        <v>1141</v>
      </c>
      <c r="F51" s="78">
        <f t="shared" ca="1" si="1"/>
        <v>8</v>
      </c>
      <c r="G51" s="79">
        <f t="shared" ca="1" si="2"/>
        <v>1123.2</v>
      </c>
      <c r="H51" s="80">
        <f t="shared" ca="1" si="3"/>
        <v>1.6067927047147896</v>
      </c>
      <c r="I51" s="77">
        <f t="shared" ca="1" si="4"/>
        <v>2.3207295285210261E-2</v>
      </c>
    </row>
    <row r="52" spans="1:9" ht="12" customHeight="1">
      <c r="A52" s="76" t="s">
        <v>169</v>
      </c>
      <c r="B52" s="76" t="s">
        <v>170</v>
      </c>
      <c r="C52" s="77">
        <v>0.78</v>
      </c>
      <c r="D52" s="76">
        <f ca="1">IFERROR(__xludf.DUMMYFUNCTION("GOOGLEFINANCE(A52, ""price"")"),205.72)</f>
        <v>205.72</v>
      </c>
      <c r="E52" s="76">
        <f t="shared" si="0"/>
        <v>546</v>
      </c>
      <c r="F52" s="78">
        <f t="shared" ca="1" si="1"/>
        <v>3</v>
      </c>
      <c r="G52" s="79">
        <f t="shared" ca="1" si="2"/>
        <v>617.16</v>
      </c>
      <c r="H52" s="80">
        <f t="shared" ca="1" si="3"/>
        <v>0.88287765815685482</v>
      </c>
      <c r="I52" s="77">
        <f t="shared" ca="1" si="4"/>
        <v>0.10287765815685479</v>
      </c>
    </row>
    <row r="53" spans="1:9" ht="12" customHeight="1">
      <c r="A53" s="81"/>
      <c r="B53" s="81"/>
      <c r="C53" s="82">
        <f t="shared" ref="C53:D53" si="5">SUM(C2:C52)</f>
        <v>100</v>
      </c>
      <c r="D53" s="83">
        <f t="shared" ca="1" si="5"/>
        <v>13247.27</v>
      </c>
      <c r="E53" s="83">
        <f t="shared" si="0"/>
        <v>70000</v>
      </c>
      <c r="F53" s="84"/>
      <c r="G53" s="83">
        <f ca="1">SUM(G2:G52)</f>
        <v>69903.23</v>
      </c>
      <c r="H53" s="85">
        <f ca="1">G53/$G$53</f>
        <v>1</v>
      </c>
      <c r="I53" s="85">
        <f ca="1">SUM(I2:I52)/100</f>
        <v>4.1178891361672409E-2</v>
      </c>
    </row>
    <row r="54" spans="1:9" ht="12" customHeight="1">
      <c r="F54" s="86"/>
      <c r="G54" s="87"/>
      <c r="H54" s="40"/>
      <c r="I54" s="88"/>
    </row>
    <row r="55" spans="1:9" ht="12" customHeight="1">
      <c r="F55" s="86"/>
      <c r="G55" s="87" t="s">
        <v>171</v>
      </c>
      <c r="H55" s="40"/>
      <c r="I55" s="88"/>
    </row>
    <row r="56" spans="1:9" ht="12" customHeight="1">
      <c r="C56" s="21" t="s">
        <v>172</v>
      </c>
      <c r="E56" s="89">
        <v>70000</v>
      </c>
      <c r="F56" s="86"/>
      <c r="G56" s="90" t="s">
        <v>173</v>
      </c>
      <c r="H56" s="40"/>
      <c r="I56" s="88"/>
    </row>
    <row r="57" spans="1:9" ht="12" customHeight="1">
      <c r="C57" s="21" t="s">
        <v>174</v>
      </c>
      <c r="E57" s="91">
        <f ca="1">G53</f>
        <v>69903.23</v>
      </c>
      <c r="F57" s="86"/>
      <c r="G57" s="87"/>
      <c r="H57" s="40"/>
      <c r="I57" s="88"/>
    </row>
    <row r="58" spans="1:9" ht="12" customHeight="1">
      <c r="C58" s="21" t="s">
        <v>9</v>
      </c>
      <c r="E58" s="92">
        <f ca="1">I53</f>
        <v>4.1178891361672409E-2</v>
      </c>
      <c r="F58" s="86"/>
      <c r="G58" s="87"/>
      <c r="H58" s="40"/>
      <c r="I58" s="88"/>
    </row>
    <row r="59" spans="1:9" ht="12" customHeight="1">
      <c r="B59" s="21" t="s">
        <v>175</v>
      </c>
      <c r="F59" s="86"/>
      <c r="G59" s="87"/>
      <c r="H59" s="40"/>
      <c r="I59" s="88"/>
    </row>
    <row r="60" spans="1:9" ht="12" customHeight="1">
      <c r="B60" s="21" t="s">
        <v>176</v>
      </c>
      <c r="F60" s="86"/>
      <c r="G60" s="87"/>
      <c r="H60" s="40"/>
      <c r="I60" s="88"/>
    </row>
    <row r="61" spans="1:9" ht="12" customHeight="1">
      <c r="B61" s="21" t="s">
        <v>177</v>
      </c>
      <c r="F61" s="86"/>
      <c r="G61" s="87"/>
      <c r="H61" s="40"/>
      <c r="I61" s="88"/>
    </row>
    <row r="62" spans="1:9" ht="12" customHeight="1">
      <c r="F62" s="86"/>
      <c r="G62" s="87"/>
      <c r="H62" s="40"/>
      <c r="I62" s="88"/>
    </row>
    <row r="63" spans="1:9" ht="12" customHeight="1">
      <c r="F63" s="86"/>
      <c r="G63" s="87"/>
      <c r="H63" s="40"/>
      <c r="I63" s="88"/>
    </row>
    <row r="64" spans="1:9" ht="12" customHeight="1">
      <c r="F64" s="86"/>
      <c r="G64" s="87"/>
      <c r="H64" s="40"/>
      <c r="I64" s="88"/>
    </row>
    <row r="65" spans="6:9" ht="12" customHeight="1">
      <c r="F65" s="86"/>
      <c r="G65" s="87"/>
      <c r="H65" s="40"/>
      <c r="I65" s="88"/>
    </row>
    <row r="66" spans="6:9" ht="12" customHeight="1">
      <c r="F66" s="86"/>
      <c r="G66" s="87"/>
      <c r="H66" s="40"/>
      <c r="I66" s="88"/>
    </row>
    <row r="67" spans="6:9" ht="12" customHeight="1">
      <c r="F67" s="86"/>
      <c r="G67" s="87"/>
      <c r="H67" s="40"/>
      <c r="I67" s="88"/>
    </row>
    <row r="68" spans="6:9" ht="12" customHeight="1">
      <c r="F68" s="86"/>
      <c r="G68" s="87"/>
      <c r="H68" s="40"/>
      <c r="I68" s="88"/>
    </row>
    <row r="69" spans="6:9" ht="12" customHeight="1">
      <c r="F69" s="86"/>
      <c r="G69" s="87"/>
      <c r="H69" s="40"/>
      <c r="I69" s="88"/>
    </row>
    <row r="70" spans="6:9" ht="12" customHeight="1">
      <c r="F70" s="86"/>
      <c r="G70" s="87"/>
      <c r="H70" s="40"/>
      <c r="I70" s="88"/>
    </row>
    <row r="71" spans="6:9" ht="12" customHeight="1">
      <c r="F71" s="86"/>
      <c r="G71" s="87"/>
      <c r="H71" s="40"/>
      <c r="I71" s="88"/>
    </row>
    <row r="72" spans="6:9" ht="12" customHeight="1">
      <c r="F72" s="86"/>
      <c r="G72" s="87"/>
      <c r="H72" s="40"/>
      <c r="I72" s="88"/>
    </row>
    <row r="73" spans="6:9" ht="12" customHeight="1">
      <c r="F73" s="86"/>
      <c r="G73" s="87"/>
      <c r="H73" s="40"/>
      <c r="I73" s="88"/>
    </row>
    <row r="74" spans="6:9" ht="12" customHeight="1">
      <c r="F74" s="86"/>
      <c r="G74" s="87"/>
      <c r="H74" s="40"/>
      <c r="I74" s="88"/>
    </row>
    <row r="75" spans="6:9" ht="12" customHeight="1">
      <c r="F75" s="86"/>
      <c r="G75" s="87"/>
      <c r="H75" s="40"/>
      <c r="I75" s="88"/>
    </row>
    <row r="76" spans="6:9" ht="12" customHeight="1">
      <c r="F76" s="86"/>
      <c r="G76" s="87"/>
      <c r="H76" s="40"/>
      <c r="I76" s="88"/>
    </row>
    <row r="77" spans="6:9" ht="12" customHeight="1">
      <c r="F77" s="86"/>
      <c r="G77" s="87"/>
      <c r="H77" s="40"/>
      <c r="I77" s="88"/>
    </row>
    <row r="78" spans="6:9" ht="12" customHeight="1">
      <c r="F78" s="86"/>
      <c r="G78" s="87"/>
      <c r="H78" s="40"/>
      <c r="I78" s="88"/>
    </row>
    <row r="79" spans="6:9" ht="12" customHeight="1">
      <c r="F79" s="86"/>
      <c r="G79" s="87"/>
      <c r="H79" s="40"/>
      <c r="I79" s="88"/>
    </row>
    <row r="80" spans="6:9" ht="12" customHeight="1">
      <c r="F80" s="86"/>
      <c r="G80" s="87"/>
      <c r="H80" s="40"/>
      <c r="I80" s="88"/>
    </row>
    <row r="81" spans="6:9" ht="12" customHeight="1">
      <c r="F81" s="86"/>
      <c r="G81" s="87"/>
      <c r="H81" s="40"/>
      <c r="I81" s="88"/>
    </row>
    <row r="82" spans="6:9" ht="12" customHeight="1">
      <c r="F82" s="86"/>
      <c r="G82" s="87"/>
      <c r="H82" s="40"/>
      <c r="I82" s="88"/>
    </row>
    <row r="83" spans="6:9" ht="12" customHeight="1">
      <c r="F83" s="86"/>
      <c r="G83" s="87"/>
      <c r="H83" s="40"/>
      <c r="I83" s="88"/>
    </row>
    <row r="84" spans="6:9" ht="12" customHeight="1">
      <c r="F84" s="86"/>
      <c r="G84" s="87"/>
      <c r="H84" s="40"/>
      <c r="I84" s="88"/>
    </row>
    <row r="85" spans="6:9" ht="12" customHeight="1">
      <c r="F85" s="86"/>
      <c r="G85" s="87"/>
      <c r="H85" s="40"/>
      <c r="I85" s="88"/>
    </row>
    <row r="86" spans="6:9" ht="12" customHeight="1">
      <c r="F86" s="86"/>
      <c r="G86" s="87"/>
      <c r="H86" s="40"/>
      <c r="I86" s="88"/>
    </row>
    <row r="87" spans="6:9" ht="12" customHeight="1">
      <c r="F87" s="86"/>
      <c r="G87" s="87"/>
      <c r="H87" s="40"/>
      <c r="I87" s="88"/>
    </row>
    <row r="88" spans="6:9" ht="12" customHeight="1">
      <c r="F88" s="86"/>
      <c r="G88" s="87"/>
      <c r="H88" s="40"/>
      <c r="I88" s="88"/>
    </row>
    <row r="89" spans="6:9" ht="12" customHeight="1">
      <c r="F89" s="86"/>
      <c r="G89" s="87"/>
      <c r="H89" s="40"/>
      <c r="I89" s="88"/>
    </row>
    <row r="90" spans="6:9" ht="12" customHeight="1">
      <c r="F90" s="86"/>
      <c r="G90" s="87"/>
      <c r="H90" s="40"/>
      <c r="I90" s="88"/>
    </row>
    <row r="91" spans="6:9" ht="12" customHeight="1">
      <c r="F91" s="86"/>
      <c r="G91" s="87"/>
      <c r="H91" s="40"/>
      <c r="I91" s="88"/>
    </row>
    <row r="92" spans="6:9" ht="12" customHeight="1">
      <c r="F92" s="86"/>
      <c r="G92" s="87"/>
      <c r="H92" s="40"/>
      <c r="I92" s="88"/>
    </row>
    <row r="93" spans="6:9" ht="12" customHeight="1">
      <c r="F93" s="86"/>
      <c r="G93" s="87"/>
      <c r="H93" s="40"/>
      <c r="I93" s="88"/>
    </row>
    <row r="94" spans="6:9" ht="12" customHeight="1">
      <c r="F94" s="86"/>
      <c r="G94" s="87"/>
      <c r="H94" s="40"/>
      <c r="I94" s="88"/>
    </row>
    <row r="95" spans="6:9" ht="12" customHeight="1">
      <c r="F95" s="86"/>
      <c r="G95" s="87"/>
      <c r="H95" s="40"/>
      <c r="I95" s="88"/>
    </row>
    <row r="96" spans="6:9" ht="12" customHeight="1">
      <c r="F96" s="86"/>
      <c r="G96" s="87"/>
      <c r="H96" s="40"/>
      <c r="I96" s="88"/>
    </row>
    <row r="97" spans="6:9" ht="12" customHeight="1">
      <c r="F97" s="86"/>
      <c r="G97" s="87"/>
      <c r="H97" s="40"/>
      <c r="I97" s="88"/>
    </row>
    <row r="98" spans="6:9" ht="12" customHeight="1">
      <c r="F98" s="86"/>
      <c r="G98" s="87"/>
      <c r="H98" s="40"/>
      <c r="I98" s="88"/>
    </row>
    <row r="99" spans="6:9" ht="12" customHeight="1">
      <c r="F99" s="86"/>
      <c r="G99" s="87"/>
      <c r="H99" s="40"/>
      <c r="I99" s="88"/>
    </row>
    <row r="100" spans="6:9" ht="12" customHeight="1">
      <c r="F100" s="86"/>
      <c r="G100" s="87"/>
      <c r="H100" s="40"/>
      <c r="I100" s="88"/>
    </row>
    <row r="101" spans="6:9" ht="12" customHeight="1">
      <c r="F101" s="86"/>
      <c r="G101" s="87"/>
      <c r="H101" s="40"/>
      <c r="I101" s="88"/>
    </row>
    <row r="102" spans="6:9" ht="12" customHeight="1">
      <c r="F102" s="86"/>
      <c r="G102" s="87"/>
      <c r="H102" s="40"/>
      <c r="I102" s="88"/>
    </row>
    <row r="103" spans="6:9" ht="12" customHeight="1">
      <c r="F103" s="86"/>
      <c r="G103" s="87"/>
      <c r="H103" s="40"/>
      <c r="I103" s="88"/>
    </row>
    <row r="104" spans="6:9" ht="12" customHeight="1">
      <c r="F104" s="86"/>
      <c r="G104" s="87"/>
      <c r="H104" s="40"/>
      <c r="I104" s="88"/>
    </row>
    <row r="105" spans="6:9" ht="12" customHeight="1">
      <c r="F105" s="86"/>
      <c r="G105" s="87"/>
      <c r="H105" s="40"/>
      <c r="I105" s="88"/>
    </row>
    <row r="106" spans="6:9" ht="12" customHeight="1">
      <c r="F106" s="86"/>
      <c r="G106" s="87"/>
      <c r="H106" s="40"/>
      <c r="I106" s="88"/>
    </row>
    <row r="107" spans="6:9" ht="12" customHeight="1">
      <c r="F107" s="86"/>
      <c r="G107" s="87"/>
      <c r="H107" s="40"/>
      <c r="I107" s="88"/>
    </row>
    <row r="108" spans="6:9" ht="12" customHeight="1">
      <c r="F108" s="86"/>
      <c r="G108" s="87"/>
      <c r="H108" s="40"/>
      <c r="I108" s="88"/>
    </row>
    <row r="109" spans="6:9" ht="12" customHeight="1">
      <c r="F109" s="86"/>
      <c r="G109" s="87"/>
      <c r="H109" s="40"/>
      <c r="I109" s="88"/>
    </row>
    <row r="110" spans="6:9" ht="12" customHeight="1">
      <c r="F110" s="86"/>
      <c r="G110" s="87"/>
      <c r="H110" s="40"/>
      <c r="I110" s="88"/>
    </row>
    <row r="111" spans="6:9" ht="12" customHeight="1">
      <c r="F111" s="86"/>
      <c r="G111" s="87"/>
      <c r="H111" s="40"/>
      <c r="I111" s="88"/>
    </row>
    <row r="112" spans="6:9" ht="12" customHeight="1">
      <c r="F112" s="86"/>
      <c r="G112" s="87"/>
      <c r="H112" s="40"/>
      <c r="I112" s="88"/>
    </row>
    <row r="113" spans="6:9" ht="12" customHeight="1">
      <c r="F113" s="86"/>
      <c r="G113" s="87"/>
      <c r="H113" s="40"/>
      <c r="I113" s="88"/>
    </row>
    <row r="114" spans="6:9" ht="12" customHeight="1">
      <c r="F114" s="86"/>
      <c r="G114" s="87"/>
      <c r="H114" s="40"/>
      <c r="I114" s="88"/>
    </row>
    <row r="115" spans="6:9" ht="12" customHeight="1">
      <c r="F115" s="86"/>
      <c r="G115" s="87"/>
      <c r="H115" s="40"/>
      <c r="I115" s="88"/>
    </row>
    <row r="116" spans="6:9" ht="12" customHeight="1">
      <c r="F116" s="86"/>
      <c r="G116" s="87"/>
      <c r="H116" s="40"/>
      <c r="I116" s="88"/>
    </row>
    <row r="117" spans="6:9" ht="12" customHeight="1">
      <c r="F117" s="86"/>
      <c r="G117" s="87"/>
      <c r="H117" s="40"/>
      <c r="I117" s="88"/>
    </row>
    <row r="118" spans="6:9" ht="12" customHeight="1">
      <c r="F118" s="86"/>
      <c r="G118" s="87"/>
      <c r="H118" s="40"/>
      <c r="I118" s="88"/>
    </row>
    <row r="119" spans="6:9" ht="12" customHeight="1">
      <c r="F119" s="86"/>
      <c r="G119" s="87"/>
      <c r="H119" s="40"/>
      <c r="I119" s="88"/>
    </row>
    <row r="120" spans="6:9" ht="12" customHeight="1">
      <c r="F120" s="86"/>
      <c r="G120" s="87"/>
      <c r="H120" s="40"/>
      <c r="I120" s="88"/>
    </row>
    <row r="121" spans="6:9" ht="12" customHeight="1">
      <c r="F121" s="86"/>
      <c r="G121" s="87"/>
      <c r="H121" s="40"/>
      <c r="I121" s="88"/>
    </row>
    <row r="122" spans="6:9" ht="12" customHeight="1">
      <c r="F122" s="86"/>
      <c r="G122" s="87"/>
      <c r="H122" s="40"/>
      <c r="I122" s="88"/>
    </row>
    <row r="123" spans="6:9" ht="12" customHeight="1">
      <c r="F123" s="86"/>
      <c r="G123" s="87"/>
      <c r="H123" s="40"/>
      <c r="I123" s="88"/>
    </row>
    <row r="124" spans="6:9" ht="12" customHeight="1">
      <c r="F124" s="86"/>
      <c r="G124" s="87"/>
      <c r="H124" s="40"/>
      <c r="I124" s="88"/>
    </row>
    <row r="125" spans="6:9" ht="12" customHeight="1">
      <c r="F125" s="86"/>
      <c r="G125" s="87"/>
      <c r="H125" s="40"/>
      <c r="I125" s="88"/>
    </row>
    <row r="126" spans="6:9" ht="12" customHeight="1">
      <c r="F126" s="86"/>
      <c r="G126" s="87"/>
      <c r="H126" s="40"/>
      <c r="I126" s="88"/>
    </row>
    <row r="127" spans="6:9" ht="12" customHeight="1">
      <c r="F127" s="86"/>
      <c r="G127" s="87"/>
      <c r="H127" s="40"/>
      <c r="I127" s="88"/>
    </row>
    <row r="128" spans="6:9" ht="12" customHeight="1">
      <c r="F128" s="86"/>
      <c r="G128" s="87"/>
      <c r="H128" s="40"/>
      <c r="I128" s="88"/>
    </row>
    <row r="129" spans="6:9" ht="12" customHeight="1">
      <c r="F129" s="86"/>
      <c r="G129" s="87"/>
      <c r="H129" s="40"/>
      <c r="I129" s="88"/>
    </row>
    <row r="130" spans="6:9" ht="12" customHeight="1">
      <c r="F130" s="86"/>
      <c r="G130" s="87"/>
      <c r="H130" s="40"/>
      <c r="I130" s="88"/>
    </row>
    <row r="131" spans="6:9" ht="12" customHeight="1">
      <c r="F131" s="86"/>
      <c r="G131" s="87"/>
      <c r="H131" s="40"/>
      <c r="I131" s="88"/>
    </row>
    <row r="132" spans="6:9" ht="12" customHeight="1">
      <c r="F132" s="86"/>
      <c r="G132" s="87"/>
      <c r="H132" s="40"/>
      <c r="I132" s="88"/>
    </row>
    <row r="133" spans="6:9" ht="12" customHeight="1">
      <c r="F133" s="86"/>
      <c r="G133" s="87"/>
      <c r="H133" s="40"/>
      <c r="I133" s="88"/>
    </row>
    <row r="134" spans="6:9" ht="12" customHeight="1">
      <c r="F134" s="86"/>
      <c r="G134" s="87"/>
      <c r="H134" s="40"/>
      <c r="I134" s="88"/>
    </row>
    <row r="135" spans="6:9" ht="12" customHeight="1">
      <c r="F135" s="86"/>
      <c r="G135" s="87"/>
      <c r="H135" s="40"/>
      <c r="I135" s="88"/>
    </row>
    <row r="136" spans="6:9" ht="12" customHeight="1">
      <c r="F136" s="86"/>
      <c r="G136" s="87"/>
      <c r="H136" s="40"/>
      <c r="I136" s="88"/>
    </row>
    <row r="137" spans="6:9" ht="12" customHeight="1">
      <c r="F137" s="86"/>
      <c r="G137" s="87"/>
      <c r="H137" s="40"/>
      <c r="I137" s="88"/>
    </row>
    <row r="138" spans="6:9" ht="12" customHeight="1">
      <c r="F138" s="86"/>
      <c r="G138" s="87"/>
      <c r="H138" s="40"/>
      <c r="I138" s="88"/>
    </row>
    <row r="139" spans="6:9" ht="12" customHeight="1">
      <c r="F139" s="86"/>
      <c r="G139" s="87"/>
      <c r="H139" s="40"/>
      <c r="I139" s="88"/>
    </row>
    <row r="140" spans="6:9" ht="12" customHeight="1">
      <c r="F140" s="86"/>
      <c r="G140" s="87"/>
      <c r="H140" s="40"/>
      <c r="I140" s="88"/>
    </row>
    <row r="141" spans="6:9" ht="12" customHeight="1">
      <c r="F141" s="86"/>
      <c r="G141" s="87"/>
      <c r="H141" s="40"/>
      <c r="I141" s="88"/>
    </row>
    <row r="142" spans="6:9" ht="12" customHeight="1">
      <c r="F142" s="86"/>
      <c r="G142" s="87"/>
      <c r="H142" s="40"/>
      <c r="I142" s="88"/>
    </row>
    <row r="143" spans="6:9" ht="12" customHeight="1">
      <c r="F143" s="86"/>
      <c r="G143" s="87"/>
      <c r="H143" s="40"/>
      <c r="I143" s="88"/>
    </row>
    <row r="144" spans="6:9" ht="12" customHeight="1">
      <c r="F144" s="86"/>
      <c r="G144" s="87"/>
      <c r="H144" s="40"/>
      <c r="I144" s="88"/>
    </row>
    <row r="145" spans="6:9" ht="12" customHeight="1">
      <c r="F145" s="86"/>
      <c r="G145" s="87"/>
      <c r="H145" s="40"/>
      <c r="I145" s="88"/>
    </row>
    <row r="146" spans="6:9" ht="12" customHeight="1">
      <c r="F146" s="86"/>
      <c r="G146" s="87"/>
      <c r="H146" s="40"/>
      <c r="I146" s="88"/>
    </row>
    <row r="147" spans="6:9" ht="12" customHeight="1">
      <c r="F147" s="86"/>
      <c r="G147" s="87"/>
      <c r="H147" s="40"/>
      <c r="I147" s="88"/>
    </row>
    <row r="148" spans="6:9" ht="12" customHeight="1">
      <c r="F148" s="86"/>
      <c r="G148" s="87"/>
      <c r="H148" s="40"/>
      <c r="I148" s="88"/>
    </row>
    <row r="149" spans="6:9" ht="12" customHeight="1">
      <c r="F149" s="86"/>
      <c r="G149" s="87"/>
      <c r="H149" s="40"/>
      <c r="I149" s="88"/>
    </row>
    <row r="150" spans="6:9" ht="12" customHeight="1">
      <c r="F150" s="86"/>
      <c r="G150" s="87"/>
      <c r="H150" s="40"/>
      <c r="I150" s="88"/>
    </row>
    <row r="151" spans="6:9" ht="12" customHeight="1">
      <c r="F151" s="86"/>
      <c r="G151" s="87"/>
      <c r="H151" s="40"/>
      <c r="I151" s="88"/>
    </row>
    <row r="152" spans="6:9" ht="12" customHeight="1">
      <c r="F152" s="86"/>
      <c r="G152" s="87"/>
      <c r="H152" s="40"/>
      <c r="I152" s="88"/>
    </row>
    <row r="153" spans="6:9" ht="12" customHeight="1">
      <c r="F153" s="86"/>
      <c r="G153" s="87"/>
      <c r="H153" s="40"/>
      <c r="I153" s="88"/>
    </row>
    <row r="154" spans="6:9" ht="12" customHeight="1">
      <c r="F154" s="86"/>
      <c r="G154" s="87"/>
      <c r="H154" s="40"/>
      <c r="I154" s="88"/>
    </row>
    <row r="155" spans="6:9" ht="12" customHeight="1">
      <c r="F155" s="86"/>
      <c r="G155" s="87"/>
      <c r="H155" s="40"/>
      <c r="I155" s="88"/>
    </row>
    <row r="156" spans="6:9" ht="12" customHeight="1">
      <c r="F156" s="86"/>
      <c r="G156" s="87"/>
      <c r="H156" s="40"/>
      <c r="I156" s="88"/>
    </row>
    <row r="157" spans="6:9" ht="12" customHeight="1">
      <c r="F157" s="86"/>
      <c r="G157" s="87"/>
      <c r="H157" s="40"/>
      <c r="I157" s="88"/>
    </row>
    <row r="158" spans="6:9" ht="12" customHeight="1">
      <c r="F158" s="86"/>
      <c r="G158" s="87"/>
      <c r="H158" s="40"/>
      <c r="I158" s="88"/>
    </row>
    <row r="159" spans="6:9" ht="12" customHeight="1">
      <c r="F159" s="86"/>
      <c r="G159" s="87"/>
      <c r="H159" s="40"/>
      <c r="I159" s="88"/>
    </row>
    <row r="160" spans="6:9" ht="12" customHeight="1">
      <c r="F160" s="86"/>
      <c r="G160" s="87"/>
      <c r="H160" s="40"/>
      <c r="I160" s="88"/>
    </row>
    <row r="161" spans="6:9" ht="12" customHeight="1">
      <c r="F161" s="86"/>
      <c r="G161" s="87"/>
      <c r="H161" s="40"/>
      <c r="I161" s="88"/>
    </row>
    <row r="162" spans="6:9" ht="12" customHeight="1">
      <c r="F162" s="86"/>
      <c r="G162" s="87"/>
      <c r="H162" s="40"/>
      <c r="I162" s="88"/>
    </row>
    <row r="163" spans="6:9" ht="12" customHeight="1">
      <c r="F163" s="86"/>
      <c r="G163" s="87"/>
      <c r="H163" s="40"/>
      <c r="I163" s="88"/>
    </row>
    <row r="164" spans="6:9" ht="12" customHeight="1">
      <c r="F164" s="86"/>
      <c r="G164" s="87"/>
      <c r="H164" s="40"/>
      <c r="I164" s="88"/>
    </row>
    <row r="165" spans="6:9" ht="12" customHeight="1">
      <c r="F165" s="86"/>
      <c r="G165" s="87"/>
      <c r="H165" s="40"/>
      <c r="I165" s="88"/>
    </row>
    <row r="166" spans="6:9" ht="12" customHeight="1">
      <c r="F166" s="86"/>
      <c r="G166" s="87"/>
      <c r="H166" s="40"/>
      <c r="I166" s="88"/>
    </row>
    <row r="167" spans="6:9" ht="12" customHeight="1">
      <c r="F167" s="86"/>
      <c r="G167" s="87"/>
      <c r="H167" s="40"/>
      <c r="I167" s="88"/>
    </row>
    <row r="168" spans="6:9" ht="12" customHeight="1">
      <c r="F168" s="86"/>
      <c r="G168" s="87"/>
      <c r="H168" s="40"/>
      <c r="I168" s="88"/>
    </row>
    <row r="169" spans="6:9" ht="12" customHeight="1">
      <c r="F169" s="86"/>
      <c r="G169" s="87"/>
      <c r="H169" s="40"/>
      <c r="I169" s="88"/>
    </row>
    <row r="170" spans="6:9" ht="12" customHeight="1">
      <c r="F170" s="86"/>
      <c r="G170" s="87"/>
      <c r="H170" s="40"/>
      <c r="I170" s="88"/>
    </row>
    <row r="171" spans="6:9" ht="12" customHeight="1">
      <c r="F171" s="86"/>
      <c r="G171" s="87"/>
      <c r="H171" s="40"/>
      <c r="I171" s="88"/>
    </row>
    <row r="172" spans="6:9" ht="12" customHeight="1">
      <c r="F172" s="86"/>
      <c r="G172" s="87"/>
      <c r="H172" s="40"/>
      <c r="I172" s="88"/>
    </row>
    <row r="173" spans="6:9" ht="12" customHeight="1">
      <c r="F173" s="86"/>
      <c r="G173" s="87"/>
      <c r="H173" s="40"/>
      <c r="I173" s="88"/>
    </row>
    <row r="174" spans="6:9" ht="12" customHeight="1">
      <c r="F174" s="86"/>
      <c r="G174" s="87"/>
      <c r="H174" s="40"/>
      <c r="I174" s="88"/>
    </row>
    <row r="175" spans="6:9" ht="12" customHeight="1">
      <c r="F175" s="86"/>
      <c r="G175" s="87"/>
      <c r="H175" s="40"/>
      <c r="I175" s="88"/>
    </row>
    <row r="176" spans="6:9" ht="12" customHeight="1">
      <c r="F176" s="86"/>
      <c r="G176" s="87"/>
      <c r="H176" s="40"/>
      <c r="I176" s="88"/>
    </row>
    <row r="177" spans="6:9" ht="12" customHeight="1">
      <c r="F177" s="86"/>
      <c r="G177" s="87"/>
      <c r="H177" s="40"/>
      <c r="I177" s="88"/>
    </row>
    <row r="178" spans="6:9" ht="12" customHeight="1">
      <c r="F178" s="86"/>
      <c r="G178" s="87"/>
      <c r="H178" s="40"/>
      <c r="I178" s="88"/>
    </row>
    <row r="179" spans="6:9" ht="12" customHeight="1">
      <c r="F179" s="86"/>
      <c r="G179" s="87"/>
      <c r="H179" s="40"/>
      <c r="I179" s="88"/>
    </row>
    <row r="180" spans="6:9" ht="12" customHeight="1">
      <c r="F180" s="86"/>
      <c r="G180" s="87"/>
      <c r="H180" s="40"/>
      <c r="I180" s="88"/>
    </row>
    <row r="181" spans="6:9" ht="12" customHeight="1">
      <c r="F181" s="86"/>
      <c r="G181" s="87"/>
      <c r="H181" s="40"/>
      <c r="I181" s="88"/>
    </row>
    <row r="182" spans="6:9" ht="12" customHeight="1">
      <c r="F182" s="86"/>
      <c r="G182" s="87"/>
      <c r="H182" s="40"/>
      <c r="I182" s="88"/>
    </row>
    <row r="183" spans="6:9" ht="12" customHeight="1">
      <c r="F183" s="86"/>
      <c r="G183" s="87"/>
      <c r="H183" s="40"/>
      <c r="I183" s="88"/>
    </row>
    <row r="184" spans="6:9" ht="12" customHeight="1">
      <c r="F184" s="86"/>
      <c r="G184" s="87"/>
      <c r="H184" s="40"/>
      <c r="I184" s="88"/>
    </row>
    <row r="185" spans="6:9" ht="12" customHeight="1">
      <c r="F185" s="86"/>
      <c r="G185" s="87"/>
      <c r="H185" s="40"/>
      <c r="I185" s="88"/>
    </row>
    <row r="186" spans="6:9" ht="12" customHeight="1">
      <c r="F186" s="86"/>
      <c r="G186" s="87"/>
      <c r="H186" s="40"/>
      <c r="I186" s="88"/>
    </row>
    <row r="187" spans="6:9" ht="12" customHeight="1">
      <c r="F187" s="86"/>
      <c r="G187" s="87"/>
      <c r="H187" s="40"/>
      <c r="I187" s="88"/>
    </row>
    <row r="188" spans="6:9" ht="12" customHeight="1">
      <c r="F188" s="86"/>
      <c r="G188" s="87"/>
      <c r="H188" s="40"/>
      <c r="I188" s="88"/>
    </row>
    <row r="189" spans="6:9" ht="12" customHeight="1">
      <c r="F189" s="86"/>
      <c r="G189" s="87"/>
      <c r="H189" s="40"/>
      <c r="I189" s="88"/>
    </row>
    <row r="190" spans="6:9" ht="12" customHeight="1">
      <c r="F190" s="86"/>
      <c r="G190" s="87"/>
      <c r="H190" s="40"/>
      <c r="I190" s="88"/>
    </row>
    <row r="191" spans="6:9" ht="12" customHeight="1">
      <c r="F191" s="86"/>
      <c r="G191" s="87"/>
      <c r="H191" s="40"/>
      <c r="I191" s="88"/>
    </row>
    <row r="192" spans="6:9" ht="12" customHeight="1">
      <c r="F192" s="86"/>
      <c r="G192" s="87"/>
      <c r="H192" s="40"/>
      <c r="I192" s="88"/>
    </row>
    <row r="193" spans="6:9" ht="12" customHeight="1">
      <c r="F193" s="86"/>
      <c r="G193" s="87"/>
      <c r="H193" s="40"/>
      <c r="I193" s="88"/>
    </row>
    <row r="194" spans="6:9" ht="12" customHeight="1">
      <c r="F194" s="86"/>
      <c r="G194" s="87"/>
      <c r="H194" s="40"/>
      <c r="I194" s="88"/>
    </row>
    <row r="195" spans="6:9" ht="12" customHeight="1">
      <c r="F195" s="86"/>
      <c r="G195" s="87"/>
      <c r="H195" s="40"/>
      <c r="I195" s="88"/>
    </row>
    <row r="196" spans="6:9" ht="12" customHeight="1">
      <c r="F196" s="86"/>
      <c r="G196" s="87"/>
      <c r="H196" s="40"/>
      <c r="I196" s="88"/>
    </row>
    <row r="197" spans="6:9" ht="12" customHeight="1">
      <c r="F197" s="86"/>
      <c r="G197" s="87"/>
      <c r="H197" s="40"/>
      <c r="I197" s="88"/>
    </row>
    <row r="198" spans="6:9" ht="12" customHeight="1">
      <c r="F198" s="86"/>
      <c r="G198" s="87"/>
      <c r="H198" s="40"/>
      <c r="I198" s="88"/>
    </row>
    <row r="199" spans="6:9" ht="12" customHeight="1">
      <c r="F199" s="86"/>
      <c r="G199" s="87"/>
      <c r="H199" s="40"/>
      <c r="I199" s="88"/>
    </row>
    <row r="200" spans="6:9" ht="12" customHeight="1">
      <c r="F200" s="86"/>
      <c r="G200" s="87"/>
      <c r="H200" s="40"/>
      <c r="I200" s="88"/>
    </row>
    <row r="201" spans="6:9" ht="12" customHeight="1">
      <c r="F201" s="86"/>
      <c r="G201" s="87"/>
      <c r="H201" s="40"/>
      <c r="I201" s="88"/>
    </row>
    <row r="202" spans="6:9" ht="12" customHeight="1">
      <c r="F202" s="86"/>
      <c r="G202" s="87"/>
      <c r="H202" s="40"/>
      <c r="I202" s="88"/>
    </row>
    <row r="203" spans="6:9" ht="12" customHeight="1">
      <c r="F203" s="86"/>
      <c r="G203" s="87"/>
      <c r="H203" s="40"/>
      <c r="I203" s="88"/>
    </row>
    <row r="204" spans="6:9" ht="12" customHeight="1">
      <c r="F204" s="86"/>
      <c r="G204" s="87"/>
      <c r="H204" s="40"/>
      <c r="I204" s="88"/>
    </row>
    <row r="205" spans="6:9" ht="12" customHeight="1">
      <c r="F205" s="86"/>
      <c r="G205" s="87"/>
      <c r="H205" s="40"/>
      <c r="I205" s="88"/>
    </row>
    <row r="206" spans="6:9" ht="12" customHeight="1">
      <c r="F206" s="86"/>
      <c r="G206" s="87"/>
      <c r="H206" s="40"/>
      <c r="I206" s="88"/>
    </row>
    <row r="207" spans="6:9" ht="12" customHeight="1">
      <c r="F207" s="86"/>
      <c r="G207" s="87"/>
      <c r="H207" s="40"/>
      <c r="I207" s="88"/>
    </row>
    <row r="208" spans="6:9" ht="12" customHeight="1">
      <c r="F208" s="86"/>
      <c r="G208" s="87"/>
      <c r="H208" s="40"/>
      <c r="I208" s="88"/>
    </row>
    <row r="209" spans="6:9" ht="12" customHeight="1">
      <c r="F209" s="86"/>
      <c r="G209" s="87"/>
      <c r="H209" s="40"/>
      <c r="I209" s="88"/>
    </row>
    <row r="210" spans="6:9" ht="12" customHeight="1">
      <c r="F210" s="86"/>
      <c r="G210" s="87"/>
      <c r="H210" s="40"/>
      <c r="I210" s="88"/>
    </row>
    <row r="211" spans="6:9" ht="12" customHeight="1">
      <c r="F211" s="86"/>
      <c r="G211" s="87"/>
      <c r="H211" s="40"/>
      <c r="I211" s="88"/>
    </row>
    <row r="212" spans="6:9" ht="12" customHeight="1">
      <c r="F212" s="86"/>
      <c r="G212" s="87"/>
      <c r="H212" s="40"/>
      <c r="I212" s="88"/>
    </row>
    <row r="213" spans="6:9" ht="12" customHeight="1">
      <c r="F213" s="86"/>
      <c r="G213" s="87"/>
      <c r="H213" s="40"/>
      <c r="I213" s="88"/>
    </row>
    <row r="214" spans="6:9" ht="12" customHeight="1">
      <c r="F214" s="86"/>
      <c r="G214" s="87"/>
      <c r="H214" s="40"/>
      <c r="I214" s="88"/>
    </row>
    <row r="215" spans="6:9" ht="12" customHeight="1">
      <c r="F215" s="86"/>
      <c r="G215" s="87"/>
      <c r="H215" s="40"/>
      <c r="I215" s="88"/>
    </row>
    <row r="216" spans="6:9" ht="12" customHeight="1">
      <c r="F216" s="86"/>
      <c r="G216" s="87"/>
      <c r="H216" s="40"/>
      <c r="I216" s="88"/>
    </row>
    <row r="217" spans="6:9" ht="12" customHeight="1">
      <c r="F217" s="86"/>
      <c r="G217" s="87"/>
      <c r="H217" s="40"/>
      <c r="I217" s="88"/>
    </row>
    <row r="218" spans="6:9" ht="12" customHeight="1">
      <c r="F218" s="86"/>
      <c r="G218" s="87"/>
      <c r="H218" s="40"/>
      <c r="I218" s="88"/>
    </row>
    <row r="219" spans="6:9" ht="12" customHeight="1">
      <c r="F219" s="86"/>
      <c r="G219" s="87"/>
      <c r="H219" s="40"/>
      <c r="I219" s="88"/>
    </row>
    <row r="220" spans="6:9" ht="12" customHeight="1">
      <c r="F220" s="86"/>
      <c r="G220" s="87"/>
      <c r="H220" s="40"/>
      <c r="I220" s="88"/>
    </row>
    <row r="221" spans="6:9" ht="12" customHeight="1">
      <c r="F221" s="86"/>
      <c r="G221" s="87"/>
      <c r="H221" s="40"/>
      <c r="I221" s="88"/>
    </row>
    <row r="222" spans="6:9" ht="12" customHeight="1">
      <c r="F222" s="86"/>
      <c r="G222" s="87"/>
      <c r="H222" s="40"/>
      <c r="I222" s="88"/>
    </row>
    <row r="223" spans="6:9" ht="12" customHeight="1">
      <c r="F223" s="86"/>
      <c r="G223" s="87"/>
      <c r="H223" s="40"/>
      <c r="I223" s="88"/>
    </row>
    <row r="224" spans="6:9" ht="12" customHeight="1">
      <c r="F224" s="86"/>
      <c r="G224" s="87"/>
      <c r="H224" s="40"/>
      <c r="I224" s="88"/>
    </row>
    <row r="225" spans="6:9" ht="12" customHeight="1">
      <c r="F225" s="86"/>
      <c r="G225" s="87"/>
      <c r="H225" s="40"/>
      <c r="I225" s="88"/>
    </row>
    <row r="226" spans="6:9" ht="12" customHeight="1">
      <c r="F226" s="86"/>
      <c r="G226" s="87"/>
      <c r="H226" s="40"/>
      <c r="I226" s="88"/>
    </row>
    <row r="227" spans="6:9" ht="12" customHeight="1">
      <c r="F227" s="86"/>
      <c r="G227" s="87"/>
      <c r="H227" s="40"/>
      <c r="I227" s="88"/>
    </row>
    <row r="228" spans="6:9" ht="12" customHeight="1">
      <c r="F228" s="86"/>
      <c r="G228" s="87"/>
      <c r="H228" s="40"/>
      <c r="I228" s="88"/>
    </row>
    <row r="229" spans="6:9" ht="12" customHeight="1">
      <c r="F229" s="86"/>
      <c r="G229" s="87"/>
      <c r="H229" s="40"/>
      <c r="I229" s="88"/>
    </row>
    <row r="230" spans="6:9" ht="12" customHeight="1">
      <c r="F230" s="86"/>
      <c r="G230" s="87"/>
      <c r="H230" s="40"/>
      <c r="I230" s="88"/>
    </row>
    <row r="231" spans="6:9" ht="12" customHeight="1">
      <c r="F231" s="86"/>
      <c r="G231" s="87"/>
      <c r="H231" s="40"/>
      <c r="I231" s="88"/>
    </row>
    <row r="232" spans="6:9" ht="12" customHeight="1">
      <c r="F232" s="86"/>
      <c r="G232" s="87"/>
      <c r="H232" s="40"/>
      <c r="I232" s="88"/>
    </row>
    <row r="233" spans="6:9" ht="12" customHeight="1">
      <c r="F233" s="86"/>
      <c r="G233" s="87"/>
      <c r="H233" s="40"/>
      <c r="I233" s="88"/>
    </row>
    <row r="234" spans="6:9" ht="12" customHeight="1">
      <c r="F234" s="86"/>
      <c r="G234" s="87"/>
      <c r="H234" s="40"/>
      <c r="I234" s="88"/>
    </row>
    <row r="235" spans="6:9" ht="12" customHeight="1">
      <c r="F235" s="86"/>
      <c r="G235" s="87"/>
      <c r="H235" s="40"/>
      <c r="I235" s="88"/>
    </row>
    <row r="236" spans="6:9" ht="12" customHeight="1">
      <c r="F236" s="86"/>
      <c r="G236" s="87"/>
      <c r="H236" s="40"/>
      <c r="I236" s="88"/>
    </row>
    <row r="237" spans="6:9" ht="12" customHeight="1">
      <c r="F237" s="86"/>
      <c r="G237" s="87"/>
      <c r="H237" s="40"/>
      <c r="I237" s="88"/>
    </row>
    <row r="238" spans="6:9" ht="12" customHeight="1">
      <c r="F238" s="86"/>
      <c r="G238" s="87"/>
      <c r="H238" s="40"/>
      <c r="I238" s="88"/>
    </row>
    <row r="239" spans="6:9" ht="12" customHeight="1">
      <c r="F239" s="86"/>
      <c r="G239" s="87"/>
      <c r="H239" s="40"/>
      <c r="I239" s="88"/>
    </row>
    <row r="240" spans="6:9" ht="12" customHeight="1">
      <c r="F240" s="86"/>
      <c r="G240" s="87"/>
      <c r="H240" s="40"/>
      <c r="I240" s="88"/>
    </row>
    <row r="241" spans="6:9" ht="12" customHeight="1">
      <c r="F241" s="86"/>
      <c r="G241" s="87"/>
      <c r="H241" s="40"/>
      <c r="I241" s="88"/>
    </row>
    <row r="242" spans="6:9" ht="12" customHeight="1">
      <c r="F242" s="86"/>
      <c r="G242" s="87"/>
      <c r="H242" s="40"/>
      <c r="I242" s="88"/>
    </row>
    <row r="243" spans="6:9" ht="12" customHeight="1">
      <c r="F243" s="86"/>
      <c r="G243" s="87"/>
      <c r="H243" s="40"/>
      <c r="I243" s="88"/>
    </row>
    <row r="244" spans="6:9" ht="12" customHeight="1">
      <c r="F244" s="86"/>
      <c r="G244" s="87"/>
      <c r="H244" s="40"/>
      <c r="I244" s="88"/>
    </row>
    <row r="245" spans="6:9" ht="12" customHeight="1">
      <c r="F245" s="86"/>
      <c r="G245" s="87"/>
      <c r="H245" s="40"/>
      <c r="I245" s="88"/>
    </row>
    <row r="246" spans="6:9" ht="12" customHeight="1">
      <c r="F246" s="86"/>
      <c r="G246" s="87"/>
      <c r="H246" s="40"/>
      <c r="I246" s="88"/>
    </row>
    <row r="247" spans="6:9" ht="12" customHeight="1">
      <c r="F247" s="86"/>
      <c r="G247" s="87"/>
      <c r="H247" s="40"/>
      <c r="I247" s="88"/>
    </row>
    <row r="248" spans="6:9" ht="12" customHeight="1">
      <c r="F248" s="86"/>
      <c r="G248" s="87"/>
      <c r="H248" s="40"/>
      <c r="I248" s="88"/>
    </row>
    <row r="249" spans="6:9" ht="12" customHeight="1">
      <c r="F249" s="86"/>
      <c r="G249" s="87"/>
      <c r="H249" s="40"/>
      <c r="I249" s="88"/>
    </row>
    <row r="250" spans="6:9" ht="12" customHeight="1">
      <c r="F250" s="86"/>
      <c r="G250" s="87"/>
      <c r="H250" s="40"/>
      <c r="I250" s="88"/>
    </row>
    <row r="251" spans="6:9" ht="12" customHeight="1">
      <c r="F251" s="86"/>
      <c r="G251" s="87"/>
      <c r="H251" s="40"/>
      <c r="I251" s="88"/>
    </row>
    <row r="252" spans="6:9" ht="12" customHeight="1">
      <c r="F252" s="86"/>
      <c r="G252" s="87"/>
      <c r="H252" s="40"/>
      <c r="I252" s="88"/>
    </row>
    <row r="253" spans="6:9" ht="12" customHeight="1">
      <c r="F253" s="86"/>
      <c r="G253" s="87"/>
      <c r="H253" s="40"/>
      <c r="I253" s="88"/>
    </row>
    <row r="254" spans="6:9" ht="12" customHeight="1">
      <c r="F254" s="86"/>
      <c r="G254" s="87"/>
      <c r="H254" s="40"/>
      <c r="I254" s="88"/>
    </row>
    <row r="255" spans="6:9" ht="12" customHeight="1">
      <c r="F255" s="86"/>
      <c r="G255" s="87"/>
      <c r="H255" s="40"/>
      <c r="I255" s="88"/>
    </row>
    <row r="256" spans="6:9" ht="12" customHeight="1">
      <c r="F256" s="86"/>
      <c r="G256" s="87"/>
      <c r="H256" s="40"/>
      <c r="I256" s="88"/>
    </row>
    <row r="257" spans="6:9" ht="12" customHeight="1">
      <c r="F257" s="86"/>
      <c r="G257" s="87"/>
      <c r="H257" s="40"/>
      <c r="I257" s="88"/>
    </row>
    <row r="258" spans="6:9" ht="12" customHeight="1">
      <c r="F258" s="86"/>
      <c r="G258" s="87"/>
      <c r="H258" s="40"/>
      <c r="I258" s="88"/>
    </row>
    <row r="259" spans="6:9" ht="12" customHeight="1">
      <c r="F259" s="86"/>
      <c r="G259" s="87"/>
      <c r="H259" s="40"/>
      <c r="I259" s="88"/>
    </row>
    <row r="260" spans="6:9" ht="12" customHeight="1">
      <c r="F260" s="86"/>
      <c r="G260" s="87"/>
      <c r="H260" s="40"/>
      <c r="I260" s="88"/>
    </row>
    <row r="261" spans="6:9" ht="12" customHeight="1">
      <c r="F261" s="86"/>
      <c r="G261" s="87"/>
      <c r="H261" s="40"/>
      <c r="I261" s="88"/>
    </row>
    <row r="262" spans="6:9" ht="15.75" customHeight="1"/>
    <row r="263" spans="6:9" ht="15.75" customHeight="1"/>
    <row r="264" spans="6:9" ht="15.75" customHeight="1"/>
    <row r="265" spans="6:9" ht="15.75" customHeight="1"/>
    <row r="266" spans="6:9" ht="15.75" customHeight="1"/>
    <row r="267" spans="6:9" ht="15.75" customHeight="1"/>
    <row r="268" spans="6:9" ht="15.75" customHeight="1"/>
    <row r="269" spans="6:9" ht="15.75" customHeight="1"/>
    <row r="270" spans="6:9" ht="15.75" customHeight="1"/>
    <row r="271" spans="6:9" ht="15.75" customHeight="1"/>
    <row r="272" spans="6: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52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G56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DJ</vt:lpstr>
      <vt:lpstr>DJ (Полина)</vt:lpstr>
      <vt:lpstr>SP50</vt:lpstr>
      <vt:lpstr>'SP50'!ExternalData_1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Покусай Вова</dc:creator>
  <cp:lastModifiedBy>Покусай Вова</cp:lastModifiedBy>
  <dcterms:created xsi:type="dcterms:W3CDTF">2022-05-06T12:22:40Z</dcterms:created>
  <dcterms:modified xsi:type="dcterms:W3CDTF">2022-08-28T09:42:25Z</dcterms:modified>
</cp:coreProperties>
</file>