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ha.LENOVO-PC\YandexDisk\Лабы\Лаба 1.4.4\"/>
    </mc:Choice>
  </mc:AlternateContent>
  <bookViews>
    <workbookView xWindow="0" yWindow="0" windowWidth="28800" windowHeight="11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25" i="1"/>
  <c r="U28" i="1"/>
  <c r="U31" i="1"/>
  <c r="U19" i="1"/>
  <c r="T22" i="1"/>
  <c r="T25" i="1"/>
  <c r="T28" i="1"/>
  <c r="T31" i="1"/>
  <c r="T19" i="1"/>
  <c r="S22" i="1"/>
  <c r="S25" i="1"/>
  <c r="S28" i="1"/>
  <c r="S31" i="1"/>
  <c r="S19" i="1"/>
  <c r="R22" i="1"/>
  <c r="R25" i="1"/>
  <c r="R28" i="1"/>
  <c r="R31" i="1"/>
  <c r="R19" i="1"/>
  <c r="P19" i="1" l="1"/>
  <c r="Q19" i="1" s="1"/>
  <c r="N19" i="1"/>
  <c r="O19" i="1" s="1"/>
  <c r="N31" i="1"/>
  <c r="O31" i="1" s="1"/>
  <c r="N22" i="1"/>
  <c r="O22" i="1" s="1"/>
  <c r="N25" i="1"/>
  <c r="O25" i="1" s="1"/>
  <c r="N28" i="1"/>
  <c r="O28" i="1" s="1"/>
  <c r="E22" i="1"/>
  <c r="C31" i="1"/>
  <c r="C32" i="1"/>
  <c r="E31" i="1" s="1"/>
  <c r="C33" i="1"/>
  <c r="D31" i="1" s="1"/>
  <c r="F31" i="1" s="1"/>
  <c r="C29" i="1"/>
  <c r="C30" i="1"/>
  <c r="C20" i="1"/>
  <c r="C21" i="1"/>
  <c r="C22" i="1"/>
  <c r="D22" i="1" s="1"/>
  <c r="F22" i="1" s="1"/>
  <c r="C23" i="1"/>
  <c r="C24" i="1"/>
  <c r="C25" i="1"/>
  <c r="E25" i="1" s="1"/>
  <c r="C26" i="1"/>
  <c r="C27" i="1"/>
  <c r="C28" i="1"/>
  <c r="E28" i="1" s="1"/>
  <c r="C19" i="1"/>
  <c r="D19" i="1" s="1"/>
  <c r="F19" i="1" s="1"/>
  <c r="Q5" i="1"/>
  <c r="Q8" i="1"/>
  <c r="Q11" i="1"/>
  <c r="Q14" i="1"/>
  <c r="Q2" i="1"/>
  <c r="R2" i="1"/>
  <c r="U11" i="1"/>
  <c r="U8" i="1"/>
  <c r="U2" i="1"/>
  <c r="U5" i="1"/>
  <c r="U14" i="1"/>
  <c r="S2" i="1"/>
  <c r="T2" i="1" s="1"/>
  <c r="L22" i="1" l="1"/>
  <c r="K22" i="1"/>
  <c r="H22" i="1"/>
  <c r="G22" i="1"/>
  <c r="L19" i="1"/>
  <c r="H19" i="1"/>
  <c r="K19" i="1"/>
  <c r="L31" i="1"/>
  <c r="K31" i="1"/>
  <c r="G31" i="1"/>
  <c r="H31" i="1"/>
  <c r="D28" i="1"/>
  <c r="F28" i="1" s="1"/>
  <c r="D25" i="1"/>
  <c r="F25" i="1" s="1"/>
  <c r="E19" i="1"/>
  <c r="G19" i="1" s="1"/>
  <c r="N2" i="1"/>
  <c r="N5" i="1"/>
  <c r="N8" i="1"/>
  <c r="N11" i="1"/>
  <c r="N14" i="1"/>
  <c r="R14" i="1"/>
  <c r="S14" i="1" s="1"/>
  <c r="T14" i="1" s="1"/>
  <c r="R11" i="1"/>
  <c r="S11" i="1" s="1"/>
  <c r="T11" i="1" s="1"/>
  <c r="R8" i="1"/>
  <c r="S8" i="1" s="1"/>
  <c r="T8" i="1" s="1"/>
  <c r="R5" i="1"/>
  <c r="S5" i="1" s="1"/>
  <c r="T5" i="1" s="1"/>
  <c r="P5" i="1"/>
  <c r="P8" i="1"/>
  <c r="P11" i="1"/>
  <c r="P14" i="1"/>
  <c r="P2" i="1"/>
  <c r="I19" i="1" l="1"/>
  <c r="L25" i="1"/>
  <c r="K25" i="1"/>
  <c r="H25" i="1"/>
  <c r="G25" i="1"/>
  <c r="I31" i="1"/>
  <c r="I22" i="1"/>
  <c r="H28" i="1"/>
  <c r="L28" i="1"/>
  <c r="K28" i="1"/>
  <c r="G2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6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2" i="1"/>
  <c r="H5" i="1" l="1"/>
  <c r="I14" i="1"/>
  <c r="I28" i="1"/>
  <c r="I25" i="1"/>
  <c r="K11" i="1"/>
  <c r="K5" i="1"/>
  <c r="I11" i="1"/>
  <c r="K8" i="1"/>
  <c r="J11" i="1"/>
  <c r="H8" i="1"/>
  <c r="J14" i="1"/>
  <c r="I2" i="1"/>
  <c r="J5" i="1"/>
  <c r="J2" i="1"/>
  <c r="I5" i="1"/>
  <c r="K2" i="1"/>
  <c r="H2" i="1"/>
  <c r="W2" i="1" s="1"/>
  <c r="H14" i="1"/>
  <c r="J8" i="1"/>
  <c r="K14" i="1"/>
  <c r="H11" i="1"/>
  <c r="I8" i="1"/>
  <c r="L11" i="1" l="1"/>
  <c r="W11" i="1"/>
  <c r="X14" i="1"/>
  <c r="Z14" i="1"/>
  <c r="L14" i="1"/>
  <c r="W14" i="1"/>
  <c r="Z11" i="1"/>
  <c r="X11" i="1"/>
  <c r="L5" i="1"/>
  <c r="X5" i="1"/>
  <c r="Z5" i="1"/>
  <c r="L8" i="1"/>
  <c r="Z8" i="1"/>
  <c r="X8" i="1"/>
  <c r="W8" i="1"/>
  <c r="Y8" i="1" s="1"/>
  <c r="Z2" i="1"/>
  <c r="X2" i="1"/>
  <c r="Y2" i="1" s="1"/>
  <c r="L2" i="1"/>
  <c r="W5" i="1"/>
  <c r="Y5" i="1" s="1"/>
  <c r="Y14" i="1" l="1"/>
  <c r="M14" i="1"/>
  <c r="O14" i="1"/>
  <c r="M8" i="1"/>
  <c r="O8" i="1"/>
  <c r="M5" i="1"/>
  <c r="O5" i="1"/>
  <c r="M2" i="1"/>
  <c r="O2" i="1"/>
  <c r="Y11" i="1"/>
  <c r="M11" i="1"/>
  <c r="O11" i="1"/>
</calcChain>
</file>

<file path=xl/sharedStrings.xml><?xml version="1.0" encoding="utf-8"?>
<sst xmlns="http://schemas.openxmlformats.org/spreadsheetml/2006/main" count="43" uniqueCount="36">
  <si>
    <t>M</t>
  </si>
  <si>
    <t>тау, экс</t>
  </si>
  <si>
    <t>T_1</t>
  </si>
  <si>
    <t>t1</t>
  </si>
  <si>
    <t>t2</t>
  </si>
  <si>
    <t>t0</t>
  </si>
  <si>
    <t>T_2</t>
  </si>
  <si>
    <t>T_1ср</t>
  </si>
  <si>
    <t>сигмаT_1</t>
  </si>
  <si>
    <t>T_2ср</t>
  </si>
  <si>
    <t>сигмаT_2</t>
  </si>
  <si>
    <t>отл тау, %</t>
  </si>
  <si>
    <t>тау_расч_пер</t>
  </si>
  <si>
    <t>тау, ф-ла</t>
  </si>
  <si>
    <t>отл тауN, %</t>
  </si>
  <si>
    <t>omega_0</t>
  </si>
  <si>
    <t>omega_0, экс</t>
  </si>
  <si>
    <t>тау из омеги</t>
  </si>
  <si>
    <t>отл тау</t>
  </si>
  <si>
    <t>произв по</t>
  </si>
  <si>
    <t>T_0</t>
  </si>
  <si>
    <t>сигма T_0</t>
  </si>
  <si>
    <t>тау, 31</t>
  </si>
  <si>
    <t>сигма тау 31</t>
  </si>
  <si>
    <t>T_0, ср</t>
  </si>
  <si>
    <t>омега_0</t>
  </si>
  <si>
    <t>сигма омега_0</t>
  </si>
  <si>
    <t>тау омега</t>
  </si>
  <si>
    <t>сигма тау омега</t>
  </si>
  <si>
    <t>омега</t>
  </si>
  <si>
    <t>l</t>
  </si>
  <si>
    <t>tau 33</t>
  </si>
  <si>
    <t>сигма tau</t>
  </si>
  <si>
    <t>k</t>
  </si>
  <si>
    <t>омега+</t>
  </si>
  <si>
    <t>омега-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</si>
</sst>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Fill="1" applyBorder="1"/>
    <xf numFmtId="166" fontId="0" fillId="0" borderId="0" xfId="0" applyNumberFormat="1" applyAlignment="1"/>
    <xf numFmtId="166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topLeftCell="H16" zoomScale="85" zoomScaleNormal="85" workbookViewId="0">
      <selection activeCell="S19" sqref="S19:S33"/>
    </sheetView>
  </sheetViews>
  <sheetFormatPr defaultRowHeight="14.5" x14ac:dyDescent="0.35"/>
  <cols>
    <col min="7" max="7" width="14" customWidth="1"/>
    <col min="9" max="9" width="14.81640625" customWidth="1"/>
    <col min="12" max="12" width="13.1796875" customWidth="1"/>
    <col min="13" max="13" width="9.54296875" customWidth="1"/>
    <col min="15" max="15" width="10.7265625" customWidth="1"/>
    <col min="17" max="17" width="9.54296875" bestFit="1" customWidth="1"/>
    <col min="18" max="18" width="13.1796875" customWidth="1"/>
    <col min="19" max="19" width="12.7265625" customWidth="1"/>
    <col min="21" max="21" width="9.7265625" customWidth="1"/>
    <col min="22" max="23" width="10.1796875" customWidth="1"/>
    <col min="25" max="25" width="11.1796875" customWidth="1"/>
  </cols>
  <sheetData>
    <row r="1" spans="1:26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20</v>
      </c>
      <c r="R1" s="2" t="s">
        <v>16</v>
      </c>
      <c r="S1" s="2" t="s">
        <v>17</v>
      </c>
      <c r="T1" s="2" t="s">
        <v>18</v>
      </c>
      <c r="U1" s="2" t="s">
        <v>21</v>
      </c>
      <c r="V1" t="s">
        <v>19</v>
      </c>
      <c r="W1" t="s">
        <v>2</v>
      </c>
      <c r="X1" t="s">
        <v>6</v>
      </c>
      <c r="Y1" t="s">
        <v>23</v>
      </c>
      <c r="Z1" t="s">
        <v>22</v>
      </c>
    </row>
    <row r="2" spans="1:26" x14ac:dyDescent="0.35">
      <c r="A2" s="11">
        <v>1.8951</v>
      </c>
      <c r="B2" s="11">
        <v>53.07</v>
      </c>
      <c r="C2" s="1">
        <v>13.59</v>
      </c>
      <c r="D2" s="1">
        <v>13.25</v>
      </c>
      <c r="E2" s="1">
        <v>13.47</v>
      </c>
      <c r="F2" s="1">
        <f>C2/10</f>
        <v>1.359</v>
      </c>
      <c r="G2" s="1">
        <f>D2/10</f>
        <v>1.325</v>
      </c>
      <c r="H2" s="13">
        <f>AVERAGE(F2:F4)</f>
        <v>1.3593333333333331</v>
      </c>
      <c r="I2" s="13">
        <f>STDEVA(F2:F4)</f>
        <v>5.7735026918956215E-4</v>
      </c>
      <c r="J2" s="11">
        <f>AVERAGE(G2:G4)</f>
        <v>1.3259999999999998</v>
      </c>
      <c r="K2" s="12">
        <f>STDEVA(G2:G4)</f>
        <v>2.6457513110645509E-3</v>
      </c>
      <c r="L2" s="11">
        <f>1/(1/J2-1/H2)</f>
        <v>54.074280000000073</v>
      </c>
      <c r="M2" s="11">
        <f>ABS(L2-B2)/L2*100</f>
        <v>1.8572230642739416</v>
      </c>
      <c r="N2" s="11">
        <f>(6*PI()*A2*0.42/(0.227*0.256))*SQRT(0.42/9.8)</f>
        <v>53.447614943441494</v>
      </c>
      <c r="O2" s="11">
        <f t="shared" ref="O2" si="0">ABS(L2-N2)/L2*100</f>
        <v>1.1588967186591821</v>
      </c>
      <c r="P2" s="11">
        <f>SQRT((9.8/0.42)*(1-0.256*0.227/(A2*0.42)))</f>
        <v>4.6507804309871137</v>
      </c>
      <c r="Q2" s="12">
        <f>AVERAGE(E2:E4)/10</f>
        <v>1.3480000000000003</v>
      </c>
      <c r="R2" s="17">
        <f>2*PI()/1.348</f>
        <v>4.6611166967207609</v>
      </c>
      <c r="S2" s="7">
        <f>6*PI()/(R2*(1-(R2)^2*0.42/9.8))</f>
        <v>58.706254768008755</v>
      </c>
      <c r="T2" s="7">
        <f>ABS(S2-B2)/S2*100</f>
        <v>9.600773870317072</v>
      </c>
      <c r="U2" s="8">
        <f>STDEVA(E2:E4)</f>
        <v>9.9999999999997868E-3</v>
      </c>
      <c r="W2">
        <f>0-H2^2/((H2-J2))^2</f>
        <v>-1663.0084000000111</v>
      </c>
      <c r="X2">
        <f>J2^2/(H2-J2)^2</f>
        <v>1582.4484000000107</v>
      </c>
      <c r="Y2" s="6">
        <f>SQRT((W2*I2)^2+(X2*K2)^2)</f>
        <v>4.295447149808072</v>
      </c>
      <c r="Z2" s="6">
        <f>1/(1/J2-1/H2)</f>
        <v>54.074280000000073</v>
      </c>
    </row>
    <row r="3" spans="1:26" x14ac:dyDescent="0.35">
      <c r="A3" s="11"/>
      <c r="B3" s="11"/>
      <c r="C3" s="1">
        <v>13.6</v>
      </c>
      <c r="D3" s="1">
        <v>13.24</v>
      </c>
      <c r="E3" s="1">
        <v>13.48</v>
      </c>
      <c r="F3" s="1">
        <f t="shared" ref="F3:F16" si="1">C3/10</f>
        <v>1.3599999999999999</v>
      </c>
      <c r="G3" s="1">
        <f t="shared" ref="G3:G16" si="2">D3/10</f>
        <v>1.3240000000000001</v>
      </c>
      <c r="H3" s="13"/>
      <c r="I3" s="13"/>
      <c r="J3" s="11"/>
      <c r="K3" s="12"/>
      <c r="L3" s="11"/>
      <c r="M3" s="11"/>
      <c r="N3" s="11"/>
      <c r="O3" s="11"/>
      <c r="P3" s="11"/>
      <c r="Q3" s="12"/>
      <c r="R3" s="17"/>
      <c r="S3" s="7"/>
      <c r="T3" s="7"/>
      <c r="U3" s="8"/>
      <c r="Y3" s="6"/>
      <c r="Z3" s="6"/>
    </row>
    <row r="4" spans="1:26" x14ac:dyDescent="0.35">
      <c r="A4" s="11"/>
      <c r="B4" s="11"/>
      <c r="C4" s="1">
        <v>13.59</v>
      </c>
      <c r="D4" s="1">
        <v>13.29</v>
      </c>
      <c r="E4" s="1">
        <v>13.49</v>
      </c>
      <c r="F4" s="1">
        <f t="shared" si="1"/>
        <v>1.359</v>
      </c>
      <c r="G4" s="1">
        <f t="shared" si="2"/>
        <v>1.329</v>
      </c>
      <c r="H4" s="13"/>
      <c r="I4" s="13"/>
      <c r="J4" s="11"/>
      <c r="K4" s="12"/>
      <c r="L4" s="11"/>
      <c r="M4" s="11"/>
      <c r="N4" s="11"/>
      <c r="O4" s="11"/>
      <c r="P4" s="11"/>
      <c r="Q4" s="12"/>
      <c r="R4" s="17"/>
      <c r="S4" s="7"/>
      <c r="T4" s="7"/>
      <c r="U4" s="8"/>
      <c r="Y4" s="6"/>
      <c r="Z4" s="6"/>
    </row>
    <row r="5" spans="1:26" x14ac:dyDescent="0.35">
      <c r="A5" s="11">
        <v>2.9106000000000001</v>
      </c>
      <c r="B5" s="11">
        <v>69.02</v>
      </c>
      <c r="C5" s="1">
        <v>13.48</v>
      </c>
      <c r="D5" s="1">
        <v>13.21</v>
      </c>
      <c r="E5" s="1">
        <v>13.43</v>
      </c>
      <c r="F5" s="1">
        <f t="shared" si="1"/>
        <v>1.3480000000000001</v>
      </c>
      <c r="G5" s="1">
        <f t="shared" si="2"/>
        <v>1.3210000000000002</v>
      </c>
      <c r="H5" s="11">
        <f t="shared" ref="H5" si="3">AVERAGE(F5:F7)</f>
        <v>1.3480000000000001</v>
      </c>
      <c r="I5" s="11">
        <f t="shared" ref="I5" si="4">STDEVA(F5:F7)</f>
        <v>0</v>
      </c>
      <c r="J5" s="12">
        <f t="shared" ref="J5" si="5">AVERAGE(G5:G7)</f>
        <v>1.3236666666666668</v>
      </c>
      <c r="K5" s="12">
        <f t="shared" ref="K5" si="6">STDEVA(G5:G7)</f>
        <v>2.5166114784235267E-3</v>
      </c>
      <c r="L5" s="11">
        <f t="shared" ref="L5" si="7">1/(1/J5-1/H5)</f>
        <v>73.3275068493151</v>
      </c>
      <c r="M5" s="11">
        <f t="shared" ref="M5" si="8">ABS(L5-B5)/L5*100</f>
        <v>5.8743397046988752</v>
      </c>
      <c r="N5" s="14">
        <f t="shared" ref="N5" si="9">(6*PI()*A5*0.42/(0.227*0.256))*SQRT(0.42/9.8)</f>
        <v>82.087820196496665</v>
      </c>
      <c r="O5" s="11">
        <f t="shared" ref="O5" si="10">ABS(L5-N5)/L5*100</f>
        <v>11.946831037339965</v>
      </c>
      <c r="P5" s="11">
        <f t="shared" ref="P5" si="11">SQRT((9.8/0.42)*(1-0.256*0.227/(A5*0.42)))</f>
        <v>4.7142476551714685</v>
      </c>
      <c r="Q5" s="12">
        <f t="shared" ref="Q5" si="12">AVERAGE(E5:E7)/10</f>
        <v>1.3423333333333332</v>
      </c>
      <c r="R5" s="17">
        <f>2*PI()/1.342</f>
        <v>4.6819562646643709</v>
      </c>
      <c r="S5" s="7">
        <f t="shared" ref="S5" si="13">6*PI()/(R5*(1-(R5)^2*0.42/9.8))</f>
        <v>66.500598324603416</v>
      </c>
      <c r="T5" s="7">
        <f>ABS(S5-B5)/S5*100</f>
        <v>3.7885398610984673</v>
      </c>
      <c r="U5" s="10">
        <f t="shared" ref="U5" si="14">STDEVA(E5:E7)</f>
        <v>2.0816659994660883E-2</v>
      </c>
      <c r="W5">
        <f>0-H5^2/((H5-J5))^2</f>
        <v>-3068.8564458622677</v>
      </c>
      <c r="X5">
        <f>J5^2/(H5-J5)^2</f>
        <v>2959.0619253143223</v>
      </c>
      <c r="Y5" s="6">
        <f>SQRT((W5*I5)^2+(X5*K5)^2)</f>
        <v>7.4468092066120439</v>
      </c>
      <c r="Z5" s="6">
        <f t="shared" ref="Z5" si="15">1/(1/J5-1/H5)</f>
        <v>73.3275068493151</v>
      </c>
    </row>
    <row r="6" spans="1:26" x14ac:dyDescent="0.35">
      <c r="A6" s="11"/>
      <c r="B6" s="11"/>
      <c r="C6" s="1">
        <v>13.48</v>
      </c>
      <c r="D6" s="1">
        <v>13.26</v>
      </c>
      <c r="E6" s="1">
        <v>13.4</v>
      </c>
      <c r="F6" s="1">
        <f>C6/10</f>
        <v>1.3480000000000001</v>
      </c>
      <c r="G6" s="1">
        <f t="shared" si="2"/>
        <v>1.3260000000000001</v>
      </c>
      <c r="H6" s="11"/>
      <c r="I6" s="11"/>
      <c r="J6" s="12"/>
      <c r="K6" s="12"/>
      <c r="L6" s="11"/>
      <c r="M6" s="11"/>
      <c r="N6" s="15"/>
      <c r="O6" s="11"/>
      <c r="P6" s="11"/>
      <c r="Q6" s="12"/>
      <c r="R6" s="17"/>
      <c r="S6" s="7"/>
      <c r="T6" s="7"/>
      <c r="U6" s="10"/>
      <c r="Y6" s="6"/>
      <c r="Z6" s="6"/>
    </row>
    <row r="7" spans="1:26" x14ac:dyDescent="0.35">
      <c r="A7" s="11"/>
      <c r="B7" s="11"/>
      <c r="C7" s="1">
        <v>13.48</v>
      </c>
      <c r="D7" s="1">
        <v>13.24</v>
      </c>
      <c r="E7" s="1">
        <v>13.44</v>
      </c>
      <c r="F7" s="1">
        <f t="shared" si="1"/>
        <v>1.3480000000000001</v>
      </c>
      <c r="G7" s="1">
        <f t="shared" si="2"/>
        <v>1.3240000000000001</v>
      </c>
      <c r="H7" s="11"/>
      <c r="I7" s="11"/>
      <c r="J7" s="12"/>
      <c r="K7" s="12"/>
      <c r="L7" s="11"/>
      <c r="M7" s="11"/>
      <c r="N7" s="16"/>
      <c r="O7" s="11"/>
      <c r="P7" s="11"/>
      <c r="Q7" s="12"/>
      <c r="R7" s="17"/>
      <c r="S7" s="7"/>
      <c r="T7" s="7"/>
      <c r="U7" s="10"/>
      <c r="Y7" s="6"/>
      <c r="Z7" s="6"/>
    </row>
    <row r="8" spans="1:26" x14ac:dyDescent="0.35">
      <c r="A8" s="11">
        <v>3.7258</v>
      </c>
      <c r="B8" s="11">
        <v>80.650000000000006</v>
      </c>
      <c r="C8" s="1">
        <v>13.44</v>
      </c>
      <c r="D8" s="1">
        <v>13.27</v>
      </c>
      <c r="E8" s="1">
        <v>13.32</v>
      </c>
      <c r="F8" s="1">
        <f t="shared" si="1"/>
        <v>1.3439999999999999</v>
      </c>
      <c r="G8" s="1">
        <f t="shared" si="2"/>
        <v>1.327</v>
      </c>
      <c r="H8" s="11">
        <f t="shared" ref="H8" si="16">AVERAGE(F8:F10)</f>
        <v>1.3460000000000001</v>
      </c>
      <c r="I8" s="12">
        <f t="shared" ref="I8" si="17">STDEVA(F8:F10)</f>
        <v>2.645751311064635E-3</v>
      </c>
      <c r="J8" s="11">
        <f t="shared" ref="J8" si="18">AVERAGE(G8:G10)</f>
        <v>1.3259999999999998</v>
      </c>
      <c r="K8" s="11">
        <f t="shared" ref="K8" si="19">STDEVA(G8:G10)</f>
        <v>1.0000000000000009E-3</v>
      </c>
      <c r="L8" s="11">
        <f t="shared" ref="L8" si="20">1/(1/J8-1/H8)</f>
        <v>89.239799999998553</v>
      </c>
      <c r="M8" s="11">
        <f t="shared" ref="M8" si="21">ABS(L8-B8)/L8*100</f>
        <v>9.6255258304015552</v>
      </c>
      <c r="N8" s="14">
        <f t="shared" ref="N8" si="22">(6*PI()*A8*0.42/(0.227*0.256))*SQRT(0.42/9.8)</f>
        <v>105.07895296093839</v>
      </c>
      <c r="O8" s="11">
        <f t="shared" ref="O8" si="23">ABS(L8-N8)/L8*100</f>
        <v>17.748978550982969</v>
      </c>
      <c r="P8" s="11">
        <f t="shared" ref="P8" si="24">SQRT((9.8/0.42)*(1-0.256*0.227/(A8*0.42)))</f>
        <v>4.7399180303433024</v>
      </c>
      <c r="Q8" s="12">
        <f t="shared" ref="Q8" si="25">AVERAGE(E8:E10)/10</f>
        <v>1.3329999999999997</v>
      </c>
      <c r="R8" s="17">
        <f>2*PI()/1.333</f>
        <v>4.7135673722277467</v>
      </c>
      <c r="S8" s="7">
        <f t="shared" ref="S8" si="26">6*PI()/(R8*(1-(R8)^2*0.42/9.8))</f>
        <v>83.639893366896388</v>
      </c>
      <c r="T8" s="7">
        <f>ABS(S8-B8)/S8*100</f>
        <v>3.5747216388486507</v>
      </c>
      <c r="U8" s="8">
        <f>STDEVA(E8:E10)</f>
        <v>9.9999999999997868E-3</v>
      </c>
      <c r="W8">
        <f>0-H8^2/((H8-J8))^2</f>
        <v>-4529.2899999998917</v>
      </c>
      <c r="X8">
        <f>J8^2/(H8-J8)^2</f>
        <v>4395.6899999998932</v>
      </c>
      <c r="Y8" s="6">
        <f>SQRT((W8*I8)^2+(X8*K8)^2)</f>
        <v>12.76414375917151</v>
      </c>
      <c r="Z8" s="6">
        <f t="shared" ref="Z8" si="27">1/(1/J8-1/H8)</f>
        <v>89.239799999998553</v>
      </c>
    </row>
    <row r="9" spans="1:26" x14ac:dyDescent="0.35">
      <c r="A9" s="11"/>
      <c r="B9" s="11"/>
      <c r="C9" s="1">
        <v>13.45</v>
      </c>
      <c r="D9" s="1">
        <v>13.26</v>
      </c>
      <c r="E9" s="1">
        <v>13.33</v>
      </c>
      <c r="F9" s="1">
        <f t="shared" si="1"/>
        <v>1.345</v>
      </c>
      <c r="G9" s="1">
        <f t="shared" si="2"/>
        <v>1.3260000000000001</v>
      </c>
      <c r="H9" s="11"/>
      <c r="I9" s="12"/>
      <c r="J9" s="11"/>
      <c r="K9" s="11"/>
      <c r="L9" s="11"/>
      <c r="M9" s="11"/>
      <c r="N9" s="15"/>
      <c r="O9" s="11"/>
      <c r="P9" s="11"/>
      <c r="Q9" s="12"/>
      <c r="R9" s="17"/>
      <c r="S9" s="7"/>
      <c r="T9" s="7"/>
      <c r="U9" s="8"/>
      <c r="Y9" s="6"/>
      <c r="Z9" s="6"/>
    </row>
    <row r="10" spans="1:26" x14ac:dyDescent="0.35">
      <c r="A10" s="11"/>
      <c r="B10" s="11"/>
      <c r="C10" s="1">
        <v>13.49</v>
      </c>
      <c r="D10" s="1">
        <v>13.25</v>
      </c>
      <c r="E10" s="1">
        <v>13.34</v>
      </c>
      <c r="F10" s="1">
        <f t="shared" si="1"/>
        <v>1.349</v>
      </c>
      <c r="G10" s="1">
        <f t="shared" si="2"/>
        <v>1.325</v>
      </c>
      <c r="H10" s="11"/>
      <c r="I10" s="12"/>
      <c r="J10" s="11"/>
      <c r="K10" s="11"/>
      <c r="L10" s="11"/>
      <c r="M10" s="11"/>
      <c r="N10" s="16"/>
      <c r="O10" s="11"/>
      <c r="P10" s="11"/>
      <c r="Q10" s="12"/>
      <c r="R10" s="17"/>
      <c r="S10" s="7"/>
      <c r="T10" s="7"/>
      <c r="U10" s="8"/>
      <c r="Y10" s="6"/>
      <c r="Z10" s="6"/>
    </row>
    <row r="11" spans="1:26" x14ac:dyDescent="0.35">
      <c r="A11" s="11">
        <v>4.4751000000000003</v>
      </c>
      <c r="B11" s="11">
        <v>90.41</v>
      </c>
      <c r="C11" s="1">
        <v>13.34</v>
      </c>
      <c r="D11" s="1">
        <v>13.16</v>
      </c>
      <c r="E11" s="1">
        <v>13.31</v>
      </c>
      <c r="F11" s="1">
        <f t="shared" si="1"/>
        <v>1.3340000000000001</v>
      </c>
      <c r="G11" s="1">
        <f t="shared" si="2"/>
        <v>1.3160000000000001</v>
      </c>
      <c r="H11" s="13">
        <f t="shared" ref="H11" si="28">AVERAGE(F11:F13)</f>
        <v>1.3353333333333335</v>
      </c>
      <c r="I11" s="13">
        <f t="shared" ref="I11" si="29">STDEVA(F11:F13)</f>
        <v>1.5275252316518995E-3</v>
      </c>
      <c r="J11" s="13">
        <f t="shared" ref="J11" si="30">AVERAGE(G11:G13)</f>
        <v>1.3163333333333334</v>
      </c>
      <c r="K11" s="13">
        <f t="shared" ref="K11" si="31">STDEVA(G11:G13)</f>
        <v>1.5275252316519965E-3</v>
      </c>
      <c r="L11" s="11">
        <f t="shared" ref="L11" si="32">1/(1/J11-1/H11)</f>
        <v>92.512830409356681</v>
      </c>
      <c r="M11" s="11">
        <f t="shared" ref="M11" si="33">ABS(L11-B11)/L11*100</f>
        <v>2.2730148889099451</v>
      </c>
      <c r="N11" s="14">
        <f t="shared" ref="N11" si="34">(6*PI()*A11*0.42/(0.227*0.256))*SQRT(0.42/9.8)</f>
        <v>126.21150421265111</v>
      </c>
      <c r="O11" s="11">
        <f t="shared" ref="O11" si="35">ABS(L11-N11)/L11*100</f>
        <v>36.425946167880049</v>
      </c>
      <c r="P11" s="11">
        <f t="shared" ref="P11" si="36">SQRT((9.8/0.42)*(1-0.256*0.227/(A11*0.42)))</f>
        <v>4.7551981404797798</v>
      </c>
      <c r="Q11" s="12">
        <f t="shared" ref="Q11" si="37">AVERAGE(E11:E13)/10</f>
        <v>1.329333333333333</v>
      </c>
      <c r="R11" s="17">
        <f>2*PI()/1.329</f>
        <v>4.7277541814744817</v>
      </c>
      <c r="S11" s="7">
        <f t="shared" ref="S11" si="38">6*PI()/(R11*(1-(R11)^2*0.42/9.8))</f>
        <v>94.766720228627335</v>
      </c>
      <c r="T11" s="7">
        <f>ABS(S11-B11)/S11*100</f>
        <v>4.5973103407152109</v>
      </c>
      <c r="U11" s="10">
        <f>STDEVA(E11:E13)</f>
        <v>2.0816659994661878E-2</v>
      </c>
      <c r="W11">
        <f>0-H11^2/((H11-J11))^2</f>
        <v>-4939.3770390888849</v>
      </c>
      <c r="X11">
        <f>J11^2/(H11-J11)^2</f>
        <v>4799.8156355801138</v>
      </c>
      <c r="Y11" s="6">
        <f>SQRT((W11*I11)^2+(X11*K11)^2)</f>
        <v>10.520610401950144</v>
      </c>
      <c r="Z11" s="6">
        <f t="shared" ref="Z11" si="39">1/(1/J11-1/H11)</f>
        <v>92.512830409356681</v>
      </c>
    </row>
    <row r="12" spans="1:26" x14ac:dyDescent="0.35">
      <c r="A12" s="11"/>
      <c r="B12" s="11"/>
      <c r="C12" s="1">
        <v>13.37</v>
      </c>
      <c r="D12" s="1">
        <v>13.18</v>
      </c>
      <c r="E12" s="1">
        <v>13.3</v>
      </c>
      <c r="F12" s="1">
        <f t="shared" si="1"/>
        <v>1.337</v>
      </c>
      <c r="G12" s="1">
        <f t="shared" si="2"/>
        <v>1.3180000000000001</v>
      </c>
      <c r="H12" s="13"/>
      <c r="I12" s="13"/>
      <c r="J12" s="13"/>
      <c r="K12" s="13"/>
      <c r="L12" s="11"/>
      <c r="M12" s="11"/>
      <c r="N12" s="15"/>
      <c r="O12" s="11"/>
      <c r="P12" s="11"/>
      <c r="Q12" s="12"/>
      <c r="R12" s="17"/>
      <c r="S12" s="7"/>
      <c r="T12" s="7"/>
      <c r="U12" s="10"/>
      <c r="Y12" s="6"/>
      <c r="Z12" s="6"/>
    </row>
    <row r="13" spans="1:26" x14ac:dyDescent="0.35">
      <c r="A13" s="11"/>
      <c r="B13" s="11"/>
      <c r="C13" s="1">
        <v>13.35</v>
      </c>
      <c r="D13" s="1">
        <v>13.15</v>
      </c>
      <c r="E13" s="1">
        <v>13.27</v>
      </c>
      <c r="F13" s="1">
        <f t="shared" si="1"/>
        <v>1.335</v>
      </c>
      <c r="G13" s="1">
        <f t="shared" si="2"/>
        <v>1.3149999999999999</v>
      </c>
      <c r="H13" s="13"/>
      <c r="I13" s="13"/>
      <c r="J13" s="13"/>
      <c r="K13" s="13"/>
      <c r="L13" s="11"/>
      <c r="M13" s="11"/>
      <c r="N13" s="16"/>
      <c r="O13" s="11"/>
      <c r="P13" s="11"/>
      <c r="Q13" s="12"/>
      <c r="R13" s="17"/>
      <c r="S13" s="7"/>
      <c r="T13" s="7"/>
      <c r="U13" s="10"/>
      <c r="Y13" s="6"/>
      <c r="Z13" s="6"/>
    </row>
    <row r="14" spans="1:26" x14ac:dyDescent="0.35">
      <c r="A14" s="11">
        <v>5.2972999999999999</v>
      </c>
      <c r="B14" s="11">
        <v>98.34</v>
      </c>
      <c r="C14" s="1">
        <v>13.32</v>
      </c>
      <c r="D14" s="1">
        <v>13.18</v>
      </c>
      <c r="E14" s="1">
        <v>13.28</v>
      </c>
      <c r="F14" s="1">
        <f t="shared" si="1"/>
        <v>1.3320000000000001</v>
      </c>
      <c r="G14" s="1">
        <f t="shared" si="2"/>
        <v>1.3180000000000001</v>
      </c>
      <c r="H14" s="11">
        <f>AVERAGE(F14:F16)</f>
        <v>1.333</v>
      </c>
      <c r="I14" s="11">
        <f>STDEVA(F14:F16)</f>
        <v>1.0000000000000009E-3</v>
      </c>
      <c r="J14" s="11">
        <f>AVERAGE(G14:G16)</f>
        <v>1.3160000000000001</v>
      </c>
      <c r="K14" s="11">
        <f t="shared" ref="K14" si="40">STDEVA(G14:G16)</f>
        <v>2.0000000000000018E-3</v>
      </c>
      <c r="L14" s="11">
        <f>1/(1/J14-1/H14)</f>
        <v>103.1898823529424</v>
      </c>
      <c r="M14" s="11">
        <f t="shared" ref="M14" si="41">ABS(L14-B14)/L14*100</f>
        <v>4.6999591843260875</v>
      </c>
      <c r="N14" s="14">
        <f t="shared" ref="N14" si="42">(6*PI()*A14*0.42/(0.227*0.256))*SQRT(0.42/9.8)</f>
        <v>149.40005838208677</v>
      </c>
      <c r="O14" s="11">
        <f t="shared" ref="O14" si="43">ABS(L14-N14)/L14*100</f>
        <v>44.781692715852486</v>
      </c>
      <c r="P14" s="11">
        <f t="shared" ref="P14" si="44">SQRT((9.8/0.42)*(1-0.256*0.227/(A14*0.42)))</f>
        <v>4.7669573521390101</v>
      </c>
      <c r="Q14" s="12">
        <f t="shared" ref="Q14" si="45">AVERAGE(E14:E16)/10</f>
        <v>1.3270000000000002</v>
      </c>
      <c r="R14" s="17">
        <f>2*PI()/1.327</f>
        <v>4.734879658763818</v>
      </c>
      <c r="S14" s="7">
        <f t="shared" ref="S14" si="46">6*PI()/(R14*(1-(R14)^2*0.42/9.8))</f>
        <v>101.60263412527217</v>
      </c>
      <c r="T14" s="7">
        <f>ABS(S14-B14)/S14*100</f>
        <v>3.2111708061126327</v>
      </c>
      <c r="U14" s="10">
        <f t="shared" ref="U14" si="47">STDEVA(E14:E16)</f>
        <v>2.6457513110645342E-2</v>
      </c>
      <c r="W14">
        <f>0-H14^2/((H14-J14))^2</f>
        <v>-6148.4048442907269</v>
      </c>
      <c r="X14">
        <f>J14^2/(H14-J14)^2</f>
        <v>5992.5813148789612</v>
      </c>
      <c r="Y14" s="6">
        <f>SQRT((W14*I14)^2+(X14*K14)^2)</f>
        <v>13.470226627308238</v>
      </c>
      <c r="Z14" s="6">
        <f t="shared" ref="Z14" si="48">1/(1/J14-1/H14)</f>
        <v>103.1898823529424</v>
      </c>
    </row>
    <row r="15" spans="1:26" x14ac:dyDescent="0.35">
      <c r="A15" s="11"/>
      <c r="B15" s="11"/>
      <c r="C15" s="1">
        <v>13.33</v>
      </c>
      <c r="D15" s="1">
        <v>13.14</v>
      </c>
      <c r="E15" s="1">
        <v>13.29</v>
      </c>
      <c r="F15" s="1">
        <f t="shared" si="1"/>
        <v>1.333</v>
      </c>
      <c r="G15" s="1">
        <f t="shared" si="2"/>
        <v>1.3140000000000001</v>
      </c>
      <c r="H15" s="11"/>
      <c r="I15" s="11"/>
      <c r="J15" s="11"/>
      <c r="K15" s="11"/>
      <c r="L15" s="11"/>
      <c r="M15" s="11"/>
      <c r="N15" s="15"/>
      <c r="O15" s="11"/>
      <c r="P15" s="11"/>
      <c r="Q15" s="12"/>
      <c r="R15" s="17"/>
      <c r="S15" s="7"/>
      <c r="T15" s="7"/>
      <c r="U15" s="10"/>
      <c r="Y15" s="6"/>
      <c r="Z15" s="6"/>
    </row>
    <row r="16" spans="1:26" x14ac:dyDescent="0.35">
      <c r="A16" s="11"/>
      <c r="B16" s="11"/>
      <c r="C16" s="1">
        <v>13.34</v>
      </c>
      <c r="D16" s="1">
        <v>13.16</v>
      </c>
      <c r="E16" s="1">
        <v>13.24</v>
      </c>
      <c r="F16" s="1">
        <f t="shared" si="1"/>
        <v>1.3340000000000001</v>
      </c>
      <c r="G16" s="1">
        <f t="shared" si="2"/>
        <v>1.3160000000000001</v>
      </c>
      <c r="H16" s="11"/>
      <c r="I16" s="11"/>
      <c r="J16" s="11"/>
      <c r="K16" s="11"/>
      <c r="L16" s="11"/>
      <c r="M16" s="11"/>
      <c r="N16" s="16"/>
      <c r="O16" s="11"/>
      <c r="P16" s="11"/>
      <c r="Q16" s="12"/>
      <c r="R16" s="17"/>
      <c r="S16" s="7"/>
      <c r="T16" s="7"/>
      <c r="U16" s="10"/>
      <c r="Y16" s="6"/>
      <c r="Z16" s="6"/>
    </row>
    <row r="18" spans="3:21" x14ac:dyDescent="0.35">
      <c r="C18" t="s">
        <v>20</v>
      </c>
      <c r="D18" t="s">
        <v>24</v>
      </c>
      <c r="E18" t="s">
        <v>21</v>
      </c>
      <c r="F18" t="s">
        <v>25</v>
      </c>
      <c r="G18" t="s">
        <v>26</v>
      </c>
      <c r="H18" t="s">
        <v>27</v>
      </c>
      <c r="I18" t="s">
        <v>28</v>
      </c>
      <c r="J18" t="s">
        <v>19</v>
      </c>
      <c r="K18" t="s">
        <v>29</v>
      </c>
      <c r="L18" t="s">
        <v>30</v>
      </c>
      <c r="N18" t="s">
        <v>31</v>
      </c>
      <c r="O18" t="s">
        <v>32</v>
      </c>
      <c r="P18" t="s">
        <v>33</v>
      </c>
      <c r="R18" t="s">
        <v>34</v>
      </c>
      <c r="S18" t="s">
        <v>2</v>
      </c>
      <c r="T18" t="s">
        <v>35</v>
      </c>
      <c r="U18" t="s">
        <v>6</v>
      </c>
    </row>
    <row r="19" spans="3:21" x14ac:dyDescent="0.35">
      <c r="C19">
        <f>E2/10</f>
        <v>1.347</v>
      </c>
      <c r="D19" s="9">
        <f>AVERAGE(C19:C21)</f>
        <v>1.3480000000000001</v>
      </c>
      <c r="E19" s="9">
        <f>STDEVA(C19:C21)</f>
        <v>1.0000000000000009E-3</v>
      </c>
      <c r="F19" s="8">
        <f>(2*PI())/D19</f>
        <v>4.6611166967207609</v>
      </c>
      <c r="G19" s="8">
        <f>F19*E19/D19</f>
        <v>3.457801703798787E-3</v>
      </c>
      <c r="H19" s="6">
        <f>(6*PI())/(F19*(1-(F19^2*0.42)/9.8))</f>
        <v>58.706254768008755</v>
      </c>
      <c r="I19" s="6">
        <f>SQRT((K19*G19)^2+(L19*0.005)^2)</f>
        <v>9.5145242632108147</v>
      </c>
      <c r="K19" s="7">
        <f>(6*PI()*9.8*(3*F19^2*0.42-9.8))/(F19^2*(F19^2*0.42-9.8)^2)</f>
        <v>327.89230901004078</v>
      </c>
      <c r="L19" s="7">
        <f>(6*PI()*F19)/(9.8*(1-(F19^2*0.42)/9.8)^2)</f>
        <v>1889.3459178821793</v>
      </c>
      <c r="N19" s="5">
        <f>((6*PI()*A2*0.42)/(0.227*0.262))*SQRT(0.42/9.8)</f>
        <v>52.223623761530618</v>
      </c>
      <c r="O19" s="5">
        <f>N19*SQRT((0.00005/A2)^2+2.25*(0.005/0.42)^2+(0.0005/0.227)^2+(0.005/0.262)^2)</f>
        <v>1.3697409068397735</v>
      </c>
      <c r="P19" s="4">
        <f>((6*PI()*0.42)/(0.227*0.262))*SQRT(0.42/9.8)</f>
        <v>27.557186302322108</v>
      </c>
      <c r="Q19" s="3">
        <f>P19*SQRT(2.25*(0.005/0.42)^2+(0.0005/0.227)^2+(0.005/0.262)^2)</f>
        <v>0.72277991336957315</v>
      </c>
      <c r="R19" s="7">
        <f>SQRT(9.8/0.42*(1-(0.227*0.26)/(A2*0.42)))</f>
        <v>4.6479178416054134</v>
      </c>
      <c r="S19" s="7">
        <f>2*PI()/R19</f>
        <v>1.3518279628215939</v>
      </c>
      <c r="T19" s="7">
        <f>R19*SQRT(1+2*0.227*0.27/(3*A2*0.42))</f>
        <v>4.7657261863474956</v>
      </c>
      <c r="U19" s="7">
        <f>2*PI()/T19</f>
        <v>1.3184108909108536</v>
      </c>
    </row>
    <row r="20" spans="3:21" x14ac:dyDescent="0.35">
      <c r="C20">
        <f t="shared" ref="C20:C33" si="49">E3/10</f>
        <v>1.3480000000000001</v>
      </c>
      <c r="D20" s="9"/>
      <c r="E20" s="9"/>
      <c r="F20" s="8"/>
      <c r="G20" s="8"/>
      <c r="H20" s="6"/>
      <c r="I20" s="6"/>
      <c r="K20" s="7"/>
      <c r="L20" s="7"/>
      <c r="N20" s="5"/>
      <c r="O20" s="5"/>
      <c r="Q20" s="3"/>
      <c r="R20" s="7"/>
      <c r="S20" s="7"/>
      <c r="T20" s="7"/>
      <c r="U20" s="7"/>
    </row>
    <row r="21" spans="3:21" x14ac:dyDescent="0.35">
      <c r="C21">
        <f t="shared" si="49"/>
        <v>1.349</v>
      </c>
      <c r="D21" s="9"/>
      <c r="E21" s="9"/>
      <c r="F21" s="8"/>
      <c r="G21" s="8"/>
      <c r="H21" s="6"/>
      <c r="I21" s="6"/>
      <c r="K21" s="7"/>
      <c r="L21" s="7"/>
      <c r="N21" s="5"/>
      <c r="O21" s="5"/>
      <c r="Q21" s="3"/>
      <c r="R21" s="7"/>
      <c r="S21" s="7"/>
      <c r="T21" s="7"/>
      <c r="U21" s="7"/>
    </row>
    <row r="22" spans="3:21" x14ac:dyDescent="0.35">
      <c r="C22">
        <f t="shared" si="49"/>
        <v>1.343</v>
      </c>
      <c r="D22" s="8">
        <f t="shared" ref="D22" si="50">AVERAGE(C22:C24)</f>
        <v>1.3423333333333332</v>
      </c>
      <c r="E22" s="8">
        <f t="shared" ref="E22" si="51">STDEVA(C22:C24)</f>
        <v>2.0816659994660281E-3</v>
      </c>
      <c r="F22" s="8">
        <f t="shared" ref="F22" si="52">(2*PI())/D22</f>
        <v>4.6807936234265606</v>
      </c>
      <c r="G22" s="8">
        <f t="shared" ref="G22" si="53">F22*E22/D22</f>
        <v>7.2588892002019845E-3</v>
      </c>
      <c r="H22" s="6">
        <f t="shared" ref="H22" si="54">(6*PI())/(F22*(1-(F22^2*0.42)/9.8))</f>
        <v>66.008460606614378</v>
      </c>
      <c r="I22" s="6">
        <f t="shared" ref="I22" si="55">SQRT((K22*G22)^2+(L22*0.005)^2)</f>
        <v>12.473175714504142</v>
      </c>
      <c r="K22" s="7">
        <f t="shared" ref="K22" si="56">(6*PI()*9.8*(3*F22^2*0.42-9.8))/(F22^2*(F22^2*0.42-9.8)^2)</f>
        <v>419.99851687090307</v>
      </c>
      <c r="L22" s="7">
        <f t="shared" ref="L22" si="57">(6*PI()*F22)/(9.8*(1-(F22^2*0.42)/9.8)^2)</f>
        <v>2418.9700478863665</v>
      </c>
      <c r="N22" s="6">
        <f t="shared" ref="N22" si="58">((6*PI()*A5*0.42)/(0.227*0.262))*SQRT(0.42/9.8)</f>
        <v>80.207946451538731</v>
      </c>
      <c r="O22" s="6">
        <f t="shared" ref="O22" si="59">N22*SQRT((0.00005/A5)^2+2.25*(0.005/0.42)^2+(0.0005/0.227)^2+(0.005/0.262)^2)</f>
        <v>2.1037236670763577</v>
      </c>
      <c r="R22" s="7">
        <f t="shared" ref="R22" si="60">SQRT(9.8/0.42*(1-(0.227*0.26)/(A5*0.42)))</f>
        <v>4.7124091149980956</v>
      </c>
      <c r="S22" s="7">
        <f t="shared" ref="S22" si="61">2*PI()/R22</f>
        <v>1.3333276364274509</v>
      </c>
      <c r="T22" s="7">
        <f t="shared" ref="T22" si="62">R22*SQRT(1+2*0.227*0.27/(3*A5*0.42))</f>
        <v>4.790517051868683</v>
      </c>
      <c r="U22" s="7">
        <f t="shared" ref="U22" si="63">2*PI()/T22</f>
        <v>1.3115881311243103</v>
      </c>
    </row>
    <row r="23" spans="3:21" x14ac:dyDescent="0.35">
      <c r="C23">
        <f t="shared" si="49"/>
        <v>1.34</v>
      </c>
      <c r="D23" s="8"/>
      <c r="E23" s="8"/>
      <c r="F23" s="8"/>
      <c r="G23" s="8"/>
      <c r="H23" s="6"/>
      <c r="I23" s="6"/>
      <c r="K23" s="7"/>
      <c r="L23" s="7"/>
      <c r="N23" s="6"/>
      <c r="O23" s="6"/>
      <c r="R23" s="7"/>
      <c r="S23" s="7"/>
      <c r="T23" s="7"/>
      <c r="U23" s="7"/>
    </row>
    <row r="24" spans="3:21" x14ac:dyDescent="0.35">
      <c r="C24">
        <f t="shared" si="49"/>
        <v>1.3439999999999999</v>
      </c>
      <c r="D24" s="8"/>
      <c r="E24" s="8"/>
      <c r="F24" s="8"/>
      <c r="G24" s="8"/>
      <c r="H24" s="6"/>
      <c r="I24" s="6"/>
      <c r="K24" s="7"/>
      <c r="L24" s="7"/>
      <c r="N24" s="6"/>
      <c r="O24" s="6"/>
      <c r="R24" s="7"/>
      <c r="S24" s="7"/>
      <c r="T24" s="7"/>
      <c r="U24" s="7"/>
    </row>
    <row r="25" spans="3:21" x14ac:dyDescent="0.35">
      <c r="C25">
        <f t="shared" si="49"/>
        <v>1.3320000000000001</v>
      </c>
      <c r="D25" s="9">
        <f t="shared" ref="D25" si="64">AVERAGE(C25:C27)</f>
        <v>1.333</v>
      </c>
      <c r="E25" s="9">
        <f t="shared" ref="E25" si="65">STDEVA(C25:C27)</f>
        <v>1.0000000000000009E-3</v>
      </c>
      <c r="F25" s="8">
        <f t="shared" ref="F25" si="66">(2*PI())/D25</f>
        <v>4.7135673722277467</v>
      </c>
      <c r="G25" s="8">
        <f t="shared" ref="G25" si="67">F25*E25/D25</f>
        <v>3.5360595440568272E-3</v>
      </c>
      <c r="H25" s="6">
        <f t="shared" ref="H25" si="68">(6*PI())/(F25*(1-(F25^2*0.42)/9.8))</f>
        <v>83.639893366896388</v>
      </c>
      <c r="I25" s="6">
        <f t="shared" ref="I25" si="69">SQRT((K25*G25)^2+(L25*0.005)^2)</f>
        <v>19.978944554866622</v>
      </c>
      <c r="K25" s="7">
        <f t="shared" ref="K25" si="70">(6*PI()*9.8*(3*F25^2*0.42-9.8))/(F25^2*(F25^2*0.42-9.8)^2)</f>
        <v>689.02608518687589</v>
      </c>
      <c r="L25" s="7">
        <f t="shared" ref="L25" si="71">(6*PI()*F25)/(9.8*(1-(F25^2*0.42)/9.8)^2)</f>
        <v>3965.9651989494864</v>
      </c>
      <c r="N25" s="6">
        <f t="shared" ref="N25" si="72">((6*PI()*A8*0.42)/(0.227*0.262))*SQRT(0.42/9.8)</f>
        <v>102.67256472519171</v>
      </c>
      <c r="O25" s="6">
        <f t="shared" ref="O25" si="73">N25*SQRT((0.00005/A8)^2+2.25*(0.005/0.42)^2+(0.0005/0.227)^2+(0.005/0.262)^2)</f>
        <v>2.6929337537282927</v>
      </c>
      <c r="R25" s="7">
        <f t="shared" ref="R25" si="74">SQRT(9.8/0.42*(1-(0.227*0.26)/(A8*0.42)))</f>
        <v>4.7384896021189897</v>
      </c>
      <c r="S25" s="7">
        <f t="shared" ref="S25" si="75">2*PI()/R25</f>
        <v>1.3259890460390225</v>
      </c>
      <c r="T25" s="7">
        <f t="shared" ref="T25" si="76">R25*SQRT(1+2*0.227*0.27/(3*A8*0.42))</f>
        <v>4.7999551600965198</v>
      </c>
      <c r="U25" s="7">
        <f t="shared" ref="U25" si="77">2*PI()/T25</f>
        <v>1.3090091672967297</v>
      </c>
    </row>
    <row r="26" spans="3:21" x14ac:dyDescent="0.35">
      <c r="C26">
        <f t="shared" si="49"/>
        <v>1.333</v>
      </c>
      <c r="D26" s="9"/>
      <c r="E26" s="9"/>
      <c r="F26" s="8"/>
      <c r="G26" s="8"/>
      <c r="H26" s="6"/>
      <c r="I26" s="6"/>
      <c r="K26" s="7"/>
      <c r="L26" s="7"/>
      <c r="N26" s="6"/>
      <c r="O26" s="6"/>
      <c r="R26" s="7"/>
      <c r="S26" s="7"/>
      <c r="T26" s="7"/>
      <c r="U26" s="7"/>
    </row>
    <row r="27" spans="3:21" x14ac:dyDescent="0.35">
      <c r="C27">
        <f t="shared" si="49"/>
        <v>1.3340000000000001</v>
      </c>
      <c r="D27" s="9"/>
      <c r="E27" s="9"/>
      <c r="F27" s="8"/>
      <c r="G27" s="8"/>
      <c r="H27" s="6"/>
      <c r="I27" s="6"/>
      <c r="K27" s="7"/>
      <c r="L27" s="7"/>
      <c r="N27" s="6"/>
      <c r="O27" s="6"/>
      <c r="R27" s="7"/>
      <c r="S27" s="7"/>
      <c r="T27" s="7"/>
      <c r="U27" s="7"/>
    </row>
    <row r="28" spans="3:21" x14ac:dyDescent="0.35">
      <c r="C28">
        <f t="shared" si="49"/>
        <v>1.331</v>
      </c>
      <c r="D28" s="8">
        <f t="shared" ref="D28" si="78">AVERAGE(C28:C30)</f>
        <v>1.3293333333333333</v>
      </c>
      <c r="E28" s="8">
        <f t="shared" ref="E28" si="79">STDEVA(C28:C30)</f>
        <v>2.0816659994661525E-3</v>
      </c>
      <c r="F28" s="8">
        <f t="shared" ref="F28" si="80">(2*PI())/D28</f>
        <v>4.7265686864440219</v>
      </c>
      <c r="G28" s="8">
        <f t="shared" ref="G28" si="81">F28*E28/D28</f>
        <v>7.4015576695425642E-3</v>
      </c>
      <c r="H28" s="6">
        <f>(6*PI())/(F28*(1-(F28^2*0.42)/9.8))</f>
        <v>93.720455624495102</v>
      </c>
      <c r="I28" s="6">
        <f t="shared" ref="I28" si="82">SQRT((K28*G28)^2+(L28*0.005)^2)</f>
        <v>25.921641974192504</v>
      </c>
      <c r="K28" s="7">
        <f t="shared" ref="K28" si="83">(6*PI()*9.8*(3*F28^2*0.42-9.8))/(F28^2*(F28^2*0.42-9.8)^2)</f>
        <v>872.47551837772323</v>
      </c>
      <c r="L28" s="7">
        <f t="shared" ref="L28" si="84">(6*PI()*F28)/(9.8*(1-(F28^2*0.42)/9.8)^2)</f>
        <v>5020.8760958067487</v>
      </c>
      <c r="N28" s="6">
        <f t="shared" ref="N28" si="85">((6*PI()*A11*0.42)/(0.227*0.262))*SQRT(0.42/9.8)</f>
        <v>123.32116442152167</v>
      </c>
      <c r="O28" s="6">
        <f t="shared" ref="O28" si="86">N28*SQRT((0.00005/A11)^2+2.25*(0.005/0.42)^2+(0.0005/0.227)^2+(0.005/0.262)^2)</f>
        <v>3.2345126837950469</v>
      </c>
      <c r="R28" s="7">
        <f t="shared" ref="R28" si="87">SQRT(9.8/0.42*(1-(0.227*0.26)/(A11*0.42)))</f>
        <v>4.7540127372109939</v>
      </c>
      <c r="S28" s="7">
        <f t="shared" ref="S28" si="88">2*PI()/R28</f>
        <v>1.3216593338085378</v>
      </c>
      <c r="T28" s="7">
        <f t="shared" ref="T28" si="89">R28*SQRT(1+2*0.227*0.27/(3*A11*0.42))</f>
        <v>4.8054094527696716</v>
      </c>
      <c r="U28" s="7">
        <f t="shared" ref="U28" si="90">2*PI()/T28</f>
        <v>1.3075234002293343</v>
      </c>
    </row>
    <row r="29" spans="3:21" x14ac:dyDescent="0.35">
      <c r="C29">
        <f>E12/10</f>
        <v>1.33</v>
      </c>
      <c r="D29" s="8"/>
      <c r="E29" s="8"/>
      <c r="F29" s="8"/>
      <c r="G29" s="8"/>
      <c r="H29" s="6"/>
      <c r="I29" s="6"/>
      <c r="K29" s="7"/>
      <c r="L29" s="7"/>
      <c r="N29" s="6"/>
      <c r="O29" s="6"/>
      <c r="R29" s="7"/>
      <c r="S29" s="7"/>
      <c r="T29" s="7"/>
      <c r="U29" s="7"/>
    </row>
    <row r="30" spans="3:21" x14ac:dyDescent="0.35">
      <c r="C30">
        <f t="shared" si="49"/>
        <v>1.327</v>
      </c>
      <c r="D30" s="8"/>
      <c r="E30" s="8"/>
      <c r="F30" s="8"/>
      <c r="G30" s="8"/>
      <c r="H30" s="6"/>
      <c r="I30" s="6"/>
      <c r="K30" s="7"/>
      <c r="L30" s="7"/>
      <c r="N30" s="6"/>
      <c r="O30" s="6"/>
      <c r="R30" s="7"/>
      <c r="S30" s="7"/>
      <c r="T30" s="7"/>
      <c r="U30" s="7"/>
    </row>
    <row r="31" spans="3:21" x14ac:dyDescent="0.35">
      <c r="C31">
        <f>E14/10</f>
        <v>1.3279999999999998</v>
      </c>
      <c r="D31" s="8">
        <f t="shared" ref="D31" si="91">AVERAGE(C31:C33)</f>
        <v>1.327</v>
      </c>
      <c r="E31" s="8">
        <f t="shared" ref="E31" si="92">STDEVA(C31:C33)</f>
        <v>2.6457513110645092E-3</v>
      </c>
      <c r="F31" s="8">
        <f t="shared" ref="F31" si="93">(2*PI())/D31</f>
        <v>4.734879658763818</v>
      </c>
      <c r="G31" s="8">
        <f t="shared" ref="G31" si="94">F31*E31/D31</f>
        <v>9.4403271024167661E-3</v>
      </c>
      <c r="H31" s="6">
        <f t="shared" ref="H31" si="95">(6*PI())/(F31*(1-(F31^2*0.42)/9.8))</f>
        <v>101.60263412527217</v>
      </c>
      <c r="I31" s="6">
        <f t="shared" ref="I31" si="96">SQRT((K31*G31)^2+(L31*0.005)^2)</f>
        <v>31.216493526632707</v>
      </c>
      <c r="K31" s="7">
        <f t="shared" ref="K31" si="97">(6*PI()*9.8*(3*F31^2*0.42-9.8))/(F31^2*(F31^2*0.42-9.8)^2)</f>
        <v>1030.9394207438338</v>
      </c>
      <c r="L31" s="7">
        <f>(6*PI()*F31)/(9.8*(1-(F31^2*0.42)/9.8)^2)</f>
        <v>5932.115150979781</v>
      </c>
      <c r="N31" s="6">
        <f>((6*PI()*A14*0.42)/(0.227*0.262))*SQRT(0.42/9.8)</f>
        <v>145.9786829992909</v>
      </c>
      <c r="O31" s="6">
        <f>N31*SQRT((0.00005/A14)^2+2.25*(0.005/0.42)^2+(0.0005/0.227)^2+(0.005/0.262)^2)</f>
        <v>3.8287822830169418</v>
      </c>
      <c r="R31" s="7">
        <f t="shared" ref="R31" si="98">SQRT(9.8/0.42*(1-(0.227*0.26)/(A14*0.42)))</f>
        <v>4.7659584268259936</v>
      </c>
      <c r="S31" s="7">
        <f t="shared" ref="S31" si="99">2*PI()/R31</f>
        <v>1.3183466460415658</v>
      </c>
      <c r="T31" s="7">
        <f t="shared" ref="T31" si="100">R31*SQRT(1+2*0.227*0.27/(3*A14*0.42))</f>
        <v>4.8095230919517649</v>
      </c>
      <c r="U31" s="7">
        <f t="shared" ref="U31" si="101">2*PI()/T31</f>
        <v>1.3064050607624365</v>
      </c>
    </row>
    <row r="32" spans="3:21" x14ac:dyDescent="0.35">
      <c r="C32">
        <f t="shared" si="49"/>
        <v>1.329</v>
      </c>
      <c r="D32" s="8"/>
      <c r="E32" s="8"/>
      <c r="F32" s="8"/>
      <c r="G32" s="8"/>
      <c r="H32" s="6"/>
      <c r="I32" s="6"/>
      <c r="K32" s="7"/>
      <c r="L32" s="7"/>
      <c r="N32" s="6"/>
      <c r="O32" s="6"/>
      <c r="R32" s="7"/>
      <c r="S32" s="7"/>
      <c r="T32" s="7"/>
      <c r="U32" s="7"/>
    </row>
    <row r="33" spans="3:21" x14ac:dyDescent="0.35">
      <c r="C33">
        <f t="shared" si="49"/>
        <v>1.3240000000000001</v>
      </c>
      <c r="D33" s="8"/>
      <c r="E33" s="8"/>
      <c r="F33" s="8"/>
      <c r="G33" s="8"/>
      <c r="H33" s="6"/>
      <c r="I33" s="6"/>
      <c r="K33" s="7"/>
      <c r="L33" s="7"/>
      <c r="N33" s="6"/>
      <c r="O33" s="6"/>
      <c r="R33" s="7"/>
      <c r="S33" s="7"/>
      <c r="T33" s="7"/>
      <c r="U33" s="7"/>
    </row>
  </sheetData>
  <mergeCells count="160">
    <mergeCell ref="T19:T21"/>
    <mergeCell ref="T22:T24"/>
    <mergeCell ref="T25:T27"/>
    <mergeCell ref="T28:T30"/>
    <mergeCell ref="T31:T33"/>
    <mergeCell ref="U19:U21"/>
    <mergeCell ref="U22:U24"/>
    <mergeCell ref="U25:U27"/>
    <mergeCell ref="U28:U30"/>
    <mergeCell ref="U31:U33"/>
    <mergeCell ref="R19:R21"/>
    <mergeCell ref="R22:R24"/>
    <mergeCell ref="R25:R27"/>
    <mergeCell ref="R28:R30"/>
    <mergeCell ref="R31:R33"/>
    <mergeCell ref="S19:S21"/>
    <mergeCell ref="S22:S24"/>
    <mergeCell ref="S25:S27"/>
    <mergeCell ref="S28:S30"/>
    <mergeCell ref="S31:S33"/>
    <mergeCell ref="S2:S4"/>
    <mergeCell ref="S5:S7"/>
    <mergeCell ref="S8:S10"/>
    <mergeCell ref="S11:S13"/>
    <mergeCell ref="S14:S16"/>
    <mergeCell ref="T2:T4"/>
    <mergeCell ref="T5:T7"/>
    <mergeCell ref="T8:T10"/>
    <mergeCell ref="T11:T13"/>
    <mergeCell ref="T14:T16"/>
    <mergeCell ref="P14:P16"/>
    <mergeCell ref="Q2:Q4"/>
    <mergeCell ref="Q5:Q7"/>
    <mergeCell ref="Q8:Q10"/>
    <mergeCell ref="Q11:Q13"/>
    <mergeCell ref="Q14:Q16"/>
    <mergeCell ref="R2:R4"/>
    <mergeCell ref="R5:R7"/>
    <mergeCell ref="R8:R10"/>
    <mergeCell ref="R11:R13"/>
    <mergeCell ref="R14:R16"/>
    <mergeCell ref="A11:A13"/>
    <mergeCell ref="B11:B13"/>
    <mergeCell ref="A14:A16"/>
    <mergeCell ref="B14:B16"/>
    <mergeCell ref="H2:H4"/>
    <mergeCell ref="H5:H7"/>
    <mergeCell ref="H8:H10"/>
    <mergeCell ref="H11:H13"/>
    <mergeCell ref="H14:H16"/>
    <mergeCell ref="A2:A4"/>
    <mergeCell ref="B2:B4"/>
    <mergeCell ref="A5:A7"/>
    <mergeCell ref="B5:B7"/>
    <mergeCell ref="A8:A10"/>
    <mergeCell ref="B8:B10"/>
    <mergeCell ref="I2:I4"/>
    <mergeCell ref="I5:I7"/>
    <mergeCell ref="I8:I10"/>
    <mergeCell ref="I11:I13"/>
    <mergeCell ref="I14:I16"/>
    <mergeCell ref="J2:J4"/>
    <mergeCell ref="J5:J7"/>
    <mergeCell ref="J8:J10"/>
    <mergeCell ref="J11:J13"/>
    <mergeCell ref="J14:J16"/>
    <mergeCell ref="K2:K4"/>
    <mergeCell ref="K5:K7"/>
    <mergeCell ref="K8:K10"/>
    <mergeCell ref="K11:K13"/>
    <mergeCell ref="K14:K16"/>
    <mergeCell ref="L2:L4"/>
    <mergeCell ref="L5:L7"/>
    <mergeCell ref="L8:L10"/>
    <mergeCell ref="L11:L13"/>
    <mergeCell ref="L14:L16"/>
    <mergeCell ref="U2:U4"/>
    <mergeCell ref="U5:U7"/>
    <mergeCell ref="U8:U10"/>
    <mergeCell ref="U11:U13"/>
    <mergeCell ref="U14:U16"/>
    <mergeCell ref="M2:M4"/>
    <mergeCell ref="M5:M7"/>
    <mergeCell ref="M8:M10"/>
    <mergeCell ref="M11:M13"/>
    <mergeCell ref="M14:M16"/>
    <mergeCell ref="N2:N4"/>
    <mergeCell ref="N5:N7"/>
    <mergeCell ref="N8:N10"/>
    <mergeCell ref="N11:N13"/>
    <mergeCell ref="N14:N16"/>
    <mergeCell ref="O2:O4"/>
    <mergeCell ref="O5:O7"/>
    <mergeCell ref="O8:O10"/>
    <mergeCell ref="O11:O13"/>
    <mergeCell ref="O14:O16"/>
    <mergeCell ref="P2:P4"/>
    <mergeCell ref="P5:P7"/>
    <mergeCell ref="P8:P10"/>
    <mergeCell ref="P11:P13"/>
    <mergeCell ref="Y2:Y4"/>
    <mergeCell ref="Y5:Y7"/>
    <mergeCell ref="Y8:Y10"/>
    <mergeCell ref="Y11:Y13"/>
    <mergeCell ref="Y14:Y16"/>
    <mergeCell ref="Z2:Z4"/>
    <mergeCell ref="Z5:Z7"/>
    <mergeCell ref="Z8:Z10"/>
    <mergeCell ref="Z11:Z13"/>
    <mergeCell ref="Z14:Z16"/>
    <mergeCell ref="E19:E21"/>
    <mergeCell ref="E22:E24"/>
    <mergeCell ref="E25:E27"/>
    <mergeCell ref="E28:E30"/>
    <mergeCell ref="E31:E33"/>
    <mergeCell ref="D19:D21"/>
    <mergeCell ref="D22:D24"/>
    <mergeCell ref="D25:D27"/>
    <mergeCell ref="D28:D30"/>
    <mergeCell ref="D31:D33"/>
    <mergeCell ref="G19:G21"/>
    <mergeCell ref="G22:G24"/>
    <mergeCell ref="G25:G27"/>
    <mergeCell ref="G28:G30"/>
    <mergeCell ref="G31:G33"/>
    <mergeCell ref="F19:F21"/>
    <mergeCell ref="F22:F24"/>
    <mergeCell ref="F25:F27"/>
    <mergeCell ref="F28:F30"/>
    <mergeCell ref="F31:F33"/>
    <mergeCell ref="I19:I21"/>
    <mergeCell ref="I22:I24"/>
    <mergeCell ref="I25:I27"/>
    <mergeCell ref="I28:I30"/>
    <mergeCell ref="I31:I33"/>
    <mergeCell ref="H19:H21"/>
    <mergeCell ref="H22:H24"/>
    <mergeCell ref="H25:H27"/>
    <mergeCell ref="H28:H30"/>
    <mergeCell ref="H31:H33"/>
    <mergeCell ref="O19:O21"/>
    <mergeCell ref="O22:O24"/>
    <mergeCell ref="O25:O27"/>
    <mergeCell ref="O28:O30"/>
    <mergeCell ref="O31:O33"/>
    <mergeCell ref="K28:K30"/>
    <mergeCell ref="L28:L30"/>
    <mergeCell ref="K31:K33"/>
    <mergeCell ref="L31:L33"/>
    <mergeCell ref="N19:N21"/>
    <mergeCell ref="N22:N24"/>
    <mergeCell ref="N25:N27"/>
    <mergeCell ref="N28:N30"/>
    <mergeCell ref="N31:N33"/>
    <mergeCell ref="K19:K21"/>
    <mergeCell ref="L19:L21"/>
    <mergeCell ref="K22:K24"/>
    <mergeCell ref="L22:L24"/>
    <mergeCell ref="K25:K27"/>
    <mergeCell ref="L25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Демьянов Георгий</dc:creator>
  <cp:lastModifiedBy>Демьянов Георгий</cp:lastModifiedBy>
  <dcterms:created xsi:type="dcterms:W3CDTF">2016-12-03T19:21:00Z</dcterms:created>
  <dcterms:modified xsi:type="dcterms:W3CDTF">2016-12-14T21:27:57Z</dcterms:modified>
</cp:coreProperties>
</file>