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9040" windowHeight="16440" activeTab="3"/>
  </bookViews>
  <sheets>
    <sheet name="Основное" sheetId="1" r:id="rId1"/>
    <sheet name="3Д печать" sheetId="2" r:id="rId2"/>
    <sheet name="Лист1" sheetId="3" r:id="rId3"/>
    <sheet name="Лист2" sheetId="4" r:id="rId4"/>
  </sheets>
  <definedNames>
    <definedName name="_xlnm.Print_Area" localSheetId="0">Основное!$A$1:$C$107</definedName>
  </definedNames>
  <calcPr calcId="125725"/>
</workbook>
</file>

<file path=xl/calcChain.xml><?xml version="1.0" encoding="utf-8"?>
<calcChain xmlns="http://schemas.openxmlformats.org/spreadsheetml/2006/main">
  <c r="E3" i="1"/>
  <c r="K3" s="1"/>
  <c r="L3" s="1"/>
  <c r="L5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9"/>
  <c r="L51"/>
  <c r="L53"/>
  <c r="L57"/>
  <c r="L59"/>
  <c r="L61"/>
  <c r="L66"/>
  <c r="L67"/>
  <c r="L68"/>
  <c r="L69"/>
  <c r="L70"/>
  <c r="L71"/>
  <c r="L72"/>
  <c r="L75"/>
  <c r="L77"/>
  <c r="L79"/>
  <c r="L81"/>
  <c r="L85"/>
  <c r="L86"/>
  <c r="K51"/>
  <c r="K53"/>
  <c r="K57"/>
  <c r="K59"/>
  <c r="K61"/>
  <c r="K66"/>
  <c r="K67"/>
  <c r="K68"/>
  <c r="K69"/>
  <c r="K70"/>
  <c r="K71"/>
  <c r="K72"/>
  <c r="K75"/>
  <c r="K77"/>
  <c r="K79"/>
  <c r="K81"/>
  <c r="K85"/>
  <c r="K86"/>
  <c r="K49"/>
  <c r="K5"/>
  <c r="K7"/>
  <c r="K9"/>
  <c r="K11"/>
  <c r="K13"/>
  <c r="K15"/>
  <c r="K17"/>
  <c r="K19"/>
  <c r="K21"/>
  <c r="K23"/>
  <c r="K25"/>
  <c r="K27"/>
  <c r="K29"/>
  <c r="K31"/>
  <c r="K33"/>
  <c r="K35"/>
  <c r="K37"/>
  <c r="K39"/>
  <c r="K41"/>
  <c r="K43"/>
  <c r="K45"/>
  <c r="D45"/>
  <c r="D41"/>
  <c r="D37"/>
  <c r="D33"/>
  <c r="D29"/>
  <c r="D25"/>
  <c r="D21"/>
  <c r="I21" s="1"/>
  <c r="D5"/>
  <c r="I5"/>
  <c r="I7"/>
  <c r="I9"/>
  <c r="I11"/>
  <c r="I13"/>
  <c r="I15"/>
  <c r="I17"/>
  <c r="I19"/>
  <c r="I23"/>
  <c r="I25"/>
  <c r="I27"/>
  <c r="I31"/>
  <c r="I33"/>
  <c r="I35"/>
  <c r="I37"/>
  <c r="I39"/>
  <c r="I41"/>
  <c r="I43"/>
  <c r="I45"/>
  <c r="I49"/>
  <c r="I51"/>
  <c r="I53"/>
  <c r="I57"/>
  <c r="I59"/>
  <c r="I61"/>
  <c r="I66"/>
  <c r="I67"/>
  <c r="I68"/>
  <c r="I69"/>
  <c r="I70"/>
  <c r="I71"/>
  <c r="I72"/>
  <c r="I75"/>
  <c r="I77"/>
  <c r="I79"/>
  <c r="I81"/>
  <c r="I85"/>
  <c r="I86"/>
  <c r="H5"/>
  <c r="H7"/>
  <c r="H9"/>
  <c r="H11"/>
  <c r="H13"/>
  <c r="H15"/>
  <c r="H17"/>
  <c r="H19"/>
  <c r="H21"/>
  <c r="H23"/>
  <c r="H25"/>
  <c r="H27"/>
  <c r="H29"/>
  <c r="H31"/>
  <c r="H33"/>
  <c r="H35"/>
  <c r="H37"/>
  <c r="H39"/>
  <c r="H41"/>
  <c r="H43"/>
  <c r="H45"/>
  <c r="H49"/>
  <c r="H51"/>
  <c r="H53"/>
  <c r="H57"/>
  <c r="H59"/>
  <c r="H61"/>
  <c r="H66"/>
  <c r="H67"/>
  <c r="H68"/>
  <c r="H69"/>
  <c r="H70"/>
  <c r="H71"/>
  <c r="H72"/>
  <c r="H75"/>
  <c r="H77"/>
  <c r="H79"/>
  <c r="H81"/>
  <c r="H85"/>
  <c r="H86"/>
  <c r="I3"/>
  <c r="H3"/>
  <c r="G5"/>
  <c r="G7"/>
  <c r="G9"/>
  <c r="G11"/>
  <c r="G13"/>
  <c r="G15"/>
  <c r="G17"/>
  <c r="G19"/>
  <c r="G21"/>
  <c r="G23"/>
  <c r="G25"/>
  <c r="G27"/>
  <c r="G29"/>
  <c r="G31"/>
  <c r="G33"/>
  <c r="G35"/>
  <c r="G37"/>
  <c r="G39"/>
  <c r="G41"/>
  <c r="G43"/>
  <c r="G45"/>
  <c r="G49"/>
  <c r="G51"/>
  <c r="G53"/>
  <c r="G57"/>
  <c r="G59"/>
  <c r="G61"/>
  <c r="G66"/>
  <c r="G67"/>
  <c r="G68"/>
  <c r="G69"/>
  <c r="G70"/>
  <c r="G71"/>
  <c r="G72"/>
  <c r="G75"/>
  <c r="G77"/>
  <c r="G79"/>
  <c r="G81"/>
  <c r="G85"/>
  <c r="G86"/>
  <c r="G3"/>
  <c r="J72"/>
  <c r="M72" s="1"/>
  <c r="J5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9"/>
  <c r="J51"/>
  <c r="J53"/>
  <c r="J57"/>
  <c r="J59"/>
  <c r="J61"/>
  <c r="J66"/>
  <c r="J67"/>
  <c r="J68"/>
  <c r="J69"/>
  <c r="J70"/>
  <c r="M70" s="1"/>
  <c r="J71"/>
  <c r="J75"/>
  <c r="J77"/>
  <c r="J79"/>
  <c r="J81"/>
  <c r="J85"/>
  <c r="J86"/>
  <c r="J3"/>
  <c r="F66"/>
  <c r="F67"/>
  <c r="M67" s="1"/>
  <c r="F68"/>
  <c r="F69"/>
  <c r="F70"/>
  <c r="F71"/>
  <c r="F72"/>
  <c r="F85"/>
  <c r="F86"/>
  <c r="E45"/>
  <c r="F45" s="1"/>
  <c r="E41"/>
  <c r="F41" s="1"/>
  <c r="E37"/>
  <c r="F37" s="1"/>
  <c r="E33"/>
  <c r="F33" s="1"/>
  <c r="E29"/>
  <c r="F29" s="1"/>
  <c r="E25"/>
  <c r="F25" s="1"/>
  <c r="E21"/>
  <c r="F21" s="1"/>
  <c r="E15"/>
  <c r="F15" s="1"/>
  <c r="E11"/>
  <c r="F11" s="1"/>
  <c r="E7"/>
  <c r="F7" s="1"/>
  <c r="D15"/>
  <c r="D11"/>
  <c r="D7"/>
  <c r="D9"/>
  <c r="I29" l="1"/>
  <c r="M29" s="1"/>
  <c r="M21"/>
  <c r="M11"/>
  <c r="M45"/>
  <c r="M37"/>
  <c r="M33"/>
  <c r="M25"/>
  <c r="M41"/>
  <c r="M85"/>
  <c r="M86"/>
  <c r="M69"/>
  <c r="M7"/>
  <c r="M15"/>
  <c r="E35"/>
  <c r="F35" s="1"/>
  <c r="D66"/>
  <c r="M66" s="1"/>
  <c r="D68"/>
  <c r="E79"/>
  <c r="D79"/>
  <c r="D75"/>
  <c r="D81"/>
  <c r="E81"/>
  <c r="E75"/>
  <c r="E77"/>
  <c r="F22" i="2"/>
  <c r="F20"/>
  <c r="F17"/>
  <c r="F15"/>
  <c r="F13"/>
  <c r="F11"/>
  <c r="F9"/>
  <c r="D24"/>
  <c r="D14"/>
  <c r="D12"/>
  <c r="D10"/>
  <c r="D8"/>
  <c r="D21"/>
  <c r="D18"/>
  <c r="D16"/>
  <c r="E61" i="1"/>
  <c r="F61" s="1"/>
  <c r="M61" s="1"/>
  <c r="D61"/>
  <c r="D77"/>
  <c r="D57"/>
  <c r="E59"/>
  <c r="D59"/>
  <c r="E57"/>
  <c r="F57" s="1"/>
  <c r="M57" s="1"/>
  <c r="E53"/>
  <c r="F53" s="1"/>
  <c r="E51"/>
  <c r="F51" s="1"/>
  <c r="M51" s="1"/>
  <c r="E49"/>
  <c r="E43"/>
  <c r="F43" s="1"/>
  <c r="E39"/>
  <c r="E5"/>
  <c r="F3"/>
  <c r="E31"/>
  <c r="E27"/>
  <c r="F27" s="1"/>
  <c r="E23"/>
  <c r="E19"/>
  <c r="F19" s="1"/>
  <c r="E17"/>
  <c r="F17" s="1"/>
  <c r="E13"/>
  <c r="F13" s="1"/>
  <c r="E9"/>
  <c r="F9" s="1"/>
  <c r="M9" s="1"/>
  <c r="D53"/>
  <c r="D51"/>
  <c r="D49"/>
  <c r="D43"/>
  <c r="D27"/>
  <c r="D39"/>
  <c r="D35"/>
  <c r="D19"/>
  <c r="D31"/>
  <c r="D17"/>
  <c r="D23"/>
  <c r="D13"/>
  <c r="D3"/>
  <c r="F23" l="1"/>
  <c r="M23" s="1"/>
  <c r="F5"/>
  <c r="M5" s="1"/>
  <c r="F59"/>
  <c r="M59" s="1"/>
  <c r="F77"/>
  <c r="M77" s="1"/>
  <c r="F49"/>
  <c r="M49" s="1"/>
  <c r="M19"/>
  <c r="M3"/>
  <c r="F31"/>
  <c r="M31" s="1"/>
  <c r="M81"/>
  <c r="F81"/>
  <c r="F79"/>
  <c r="M79" s="1"/>
  <c r="M17"/>
  <c r="M43"/>
  <c r="F39"/>
  <c r="M39" s="1"/>
  <c r="F75"/>
  <c r="M75" s="1"/>
  <c r="M13"/>
  <c r="M27"/>
  <c r="M53"/>
  <c r="M35"/>
</calcChain>
</file>

<file path=xl/sharedStrings.xml><?xml version="1.0" encoding="utf-8"?>
<sst xmlns="http://schemas.openxmlformats.org/spreadsheetml/2006/main" count="223" uniqueCount="201">
  <si>
    <t>№</t>
  </si>
  <si>
    <t>Наименование изделий</t>
  </si>
  <si>
    <t>Металлокерамические конструкции</t>
  </si>
  <si>
    <t>1.1</t>
  </si>
  <si>
    <t>1.2</t>
  </si>
  <si>
    <t>1.3</t>
  </si>
  <si>
    <t>1.4</t>
  </si>
  <si>
    <t>1.5</t>
  </si>
  <si>
    <t>1.6</t>
  </si>
  <si>
    <t>Безметалловые конструкции</t>
  </si>
  <si>
    <t>2</t>
  </si>
  <si>
    <t>2.1</t>
  </si>
  <si>
    <t>5</t>
  </si>
  <si>
    <t>5.1</t>
  </si>
  <si>
    <t>5.2</t>
  </si>
  <si>
    <t>5.3</t>
  </si>
  <si>
    <t>5.5</t>
  </si>
  <si>
    <t>5.6</t>
  </si>
  <si>
    <r>
      <t xml:space="preserve">Коронка (зуб) </t>
    </r>
    <r>
      <rPr>
        <b/>
        <sz val="16"/>
        <color theme="1"/>
        <rFont val="Times New Roman"/>
        <family val="1"/>
        <charset val="204"/>
      </rPr>
      <t xml:space="preserve">металлокерамическая </t>
    </r>
    <r>
      <rPr>
        <sz val="16"/>
        <color theme="1"/>
        <rFont val="Times New Roman"/>
        <family val="1"/>
        <charset val="204"/>
      </rPr>
      <t>(цифровой протокол)</t>
    </r>
  </si>
  <si>
    <t>2.2</t>
  </si>
  <si>
    <t xml:space="preserve"> BYN</t>
  </si>
  <si>
    <t>2.3</t>
  </si>
  <si>
    <t>Прочие конструкции</t>
  </si>
  <si>
    <t>4</t>
  </si>
  <si>
    <t>4.1</t>
  </si>
  <si>
    <t>4.2</t>
  </si>
  <si>
    <t>4.3</t>
  </si>
  <si>
    <t>4.4</t>
  </si>
  <si>
    <t>4.5</t>
  </si>
  <si>
    <t>4.5.1</t>
  </si>
  <si>
    <t>1.7</t>
  </si>
  <si>
    <r>
      <rPr>
        <b/>
        <sz val="16"/>
        <color theme="1"/>
        <rFont val="Times New Roman"/>
        <family val="1"/>
        <charset val="204"/>
      </rPr>
      <t>Металлокерамическая</t>
    </r>
    <r>
      <rPr>
        <sz val="16"/>
        <color theme="1"/>
        <rFont val="Times New Roman"/>
        <family val="1"/>
        <charset val="204"/>
      </rPr>
      <t xml:space="preserve"> коронка </t>
    </r>
    <r>
      <rPr>
        <b/>
        <sz val="20"/>
        <color theme="1"/>
        <rFont val="Times New Roman"/>
        <family val="1"/>
        <charset val="204"/>
      </rPr>
      <t>на импланте</t>
    </r>
    <r>
      <rPr>
        <sz val="16"/>
        <color theme="1"/>
        <rFont val="Times New Roman"/>
        <family val="1"/>
        <charset val="204"/>
      </rPr>
      <t xml:space="preserve"> (</t>
    </r>
    <r>
      <rPr>
        <sz val="16"/>
        <color rgb="FFFF0000"/>
        <rFont val="Times New Roman"/>
        <family val="1"/>
        <charset val="204"/>
      </rPr>
      <t>винтовая</t>
    </r>
    <r>
      <rPr>
        <sz val="16"/>
        <color theme="1"/>
        <rFont val="Times New Roman"/>
        <family val="1"/>
        <charset val="204"/>
      </rPr>
      <t xml:space="preserve"> фиксация без учета стоимости титанового основания)</t>
    </r>
  </si>
  <si>
    <r>
      <t xml:space="preserve">Изготовление </t>
    </r>
    <r>
      <rPr>
        <b/>
        <sz val="18"/>
        <color rgb="FFFF0000"/>
        <rFont val="Times New Roman"/>
        <family val="1"/>
        <charset val="204"/>
      </rPr>
      <t>Прототипа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b/>
        <sz val="18"/>
        <color rgb="FFFF0000"/>
        <rFont val="Times New Roman"/>
        <family val="1"/>
        <charset val="204"/>
      </rPr>
      <t>протеза</t>
    </r>
    <r>
      <rPr>
        <sz val="18"/>
        <color theme="1"/>
        <rFont val="Times New Roman"/>
        <family val="1"/>
        <charset val="204"/>
      </rPr>
      <t xml:space="preserve"> для примерки работы.</t>
    </r>
  </si>
  <si>
    <t>Вклейка Титанового основания</t>
  </si>
  <si>
    <t>1</t>
  </si>
  <si>
    <t>MegaGen</t>
  </si>
  <si>
    <t>Osstem</t>
  </si>
  <si>
    <t>Mis(шестигранник)</t>
  </si>
  <si>
    <t>Mis(конус)</t>
  </si>
  <si>
    <t>5.4.1</t>
  </si>
  <si>
    <t>5.4.2</t>
  </si>
  <si>
    <t>Straumann</t>
  </si>
  <si>
    <t>Nobel Biocare</t>
  </si>
  <si>
    <t xml:space="preserve"> Noris Medical</t>
  </si>
  <si>
    <t>4.6</t>
  </si>
  <si>
    <t>1.8</t>
  </si>
  <si>
    <t>1.9</t>
  </si>
  <si>
    <r>
      <t xml:space="preserve">Изготовление коронки (зуба, винира, накладки, вкладки) потеза методом CAD/CAM из </t>
    </r>
    <r>
      <rPr>
        <b/>
        <sz val="18"/>
        <color rgb="FF7030A0"/>
        <rFont val="Times New Roman"/>
        <family val="1"/>
        <charset val="204"/>
      </rPr>
      <t>E-max CAD</t>
    </r>
    <r>
      <rPr>
        <sz val="16"/>
        <color theme="1"/>
        <rFont val="Times New Roman"/>
        <family val="1"/>
        <charset val="204"/>
      </rPr>
      <t xml:space="preserve"> блоков с </t>
    </r>
    <r>
      <rPr>
        <b/>
        <sz val="16"/>
        <color rgb="FFFF0000"/>
        <rFont val="Times New Roman"/>
        <family val="1"/>
        <charset val="204"/>
      </rPr>
      <t>нанесением керамической массы</t>
    </r>
  </si>
  <si>
    <r>
      <t xml:space="preserve">Изготовление коронки (зуба, винира, накладки, вкладки) потеза методом CAD/CAM из </t>
    </r>
    <r>
      <rPr>
        <b/>
        <sz val="18"/>
        <color rgb="FF7030A0"/>
        <rFont val="Times New Roman"/>
        <family val="1"/>
        <charset val="204"/>
      </rPr>
      <t>E-max CAD</t>
    </r>
    <r>
      <rPr>
        <sz val="16"/>
        <color theme="1"/>
        <rFont val="Times New Roman"/>
        <family val="1"/>
        <charset val="204"/>
      </rPr>
      <t xml:space="preserve"> блоков в </t>
    </r>
    <r>
      <rPr>
        <b/>
        <sz val="16"/>
        <color theme="1"/>
        <rFont val="Times New Roman"/>
        <family val="1"/>
        <charset val="204"/>
      </rPr>
      <t xml:space="preserve">полную анатомию </t>
    </r>
    <r>
      <rPr>
        <sz val="16"/>
        <color theme="1"/>
        <rFont val="Times New Roman"/>
        <family val="1"/>
        <charset val="204"/>
      </rPr>
      <t>и</t>
    </r>
    <r>
      <rPr>
        <sz val="18"/>
        <color theme="1"/>
        <rFont val="Times New Roman"/>
        <family val="1"/>
        <charset val="204"/>
      </rPr>
      <t xml:space="preserve"> </t>
    </r>
    <r>
      <rPr>
        <sz val="18"/>
        <color rgb="FF00B050"/>
        <rFont val="Times New Roman"/>
        <family val="1"/>
        <charset val="204"/>
      </rPr>
      <t>послойное окрашивание</t>
    </r>
    <r>
      <rPr>
        <sz val="18"/>
        <color theme="1"/>
        <rFont val="Times New Roman"/>
        <family val="1"/>
        <charset val="204"/>
      </rPr>
      <t>.</t>
    </r>
  </si>
  <si>
    <r>
      <t xml:space="preserve">Изготовление коронки (зуба, винира, накладки, вкладки) потеза методом CAD/CAM из </t>
    </r>
    <r>
      <rPr>
        <b/>
        <sz val="18"/>
        <color rgb="FF7030A0"/>
        <rFont val="Times New Roman"/>
        <family val="1"/>
        <charset val="204"/>
      </rPr>
      <t>E-max CAD</t>
    </r>
    <r>
      <rPr>
        <sz val="16"/>
        <color theme="1"/>
        <rFont val="Times New Roman"/>
        <family val="1"/>
        <charset val="204"/>
      </rPr>
      <t xml:space="preserve"> блоков в </t>
    </r>
    <r>
      <rPr>
        <b/>
        <sz val="16"/>
        <color theme="1"/>
        <rFont val="Times New Roman"/>
        <family val="1"/>
        <charset val="204"/>
      </rPr>
      <t>полную анатомию.</t>
    </r>
  </si>
  <si>
    <r>
      <t>Коронка (зуб)</t>
    </r>
    <r>
      <rPr>
        <b/>
        <sz val="16"/>
        <color theme="1"/>
        <rFont val="Times New Roman"/>
        <family val="1"/>
        <charset val="204"/>
      </rPr>
      <t xml:space="preserve"> металлокерамическая на</t>
    </r>
    <r>
      <rPr>
        <b/>
        <sz val="16"/>
        <color rgb="FF0070C0"/>
        <rFont val="Times New Roman"/>
        <family val="1"/>
        <charset val="204"/>
      </rPr>
      <t xml:space="preserve"> фронтальную </t>
    </r>
    <r>
      <rPr>
        <b/>
        <sz val="16"/>
        <color theme="1"/>
        <rFont val="Times New Roman"/>
        <family val="1"/>
        <charset val="204"/>
      </rPr>
      <t>группу зубов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rgb="FF00B050"/>
        <rFont val="Times New Roman"/>
        <family val="1"/>
        <charset val="204"/>
      </rPr>
      <t>от клыка до клыка на в/ч</t>
    </r>
    <r>
      <rPr>
        <sz val="16"/>
        <color rgb="FF00B050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(цифровой протокол)</t>
    </r>
  </si>
  <si>
    <r>
      <rPr>
        <b/>
        <sz val="18"/>
        <color theme="1"/>
        <rFont val="Times New Roman"/>
        <family val="1"/>
        <charset val="204"/>
      </rPr>
      <t>Каппа</t>
    </r>
    <r>
      <rPr>
        <sz val="18"/>
        <color theme="1"/>
        <rFont val="Times New Roman"/>
        <family val="1"/>
        <charset val="204"/>
      </rPr>
      <t xml:space="preserve"> для отбеливания</t>
    </r>
  </si>
  <si>
    <r>
      <rPr>
        <b/>
        <sz val="18"/>
        <color theme="1"/>
        <rFont val="Times New Roman"/>
        <family val="1"/>
        <charset val="204"/>
      </rPr>
      <t>Каппа</t>
    </r>
    <r>
      <rPr>
        <sz val="18"/>
        <color theme="1"/>
        <rFont val="Times New Roman"/>
        <family val="1"/>
        <charset val="204"/>
      </rPr>
      <t xml:space="preserve"> при Бруксизме</t>
    </r>
  </si>
  <si>
    <t>Протезирование на имплантах "Все на X"</t>
  </si>
  <si>
    <t>6</t>
  </si>
  <si>
    <r>
      <rPr>
        <b/>
        <sz val="18"/>
        <color rgb="FF0070C0"/>
        <rFont val="Times New Roman"/>
        <family val="1"/>
        <charset val="204"/>
      </rPr>
      <t>Wax-up</t>
    </r>
    <r>
      <rPr>
        <sz val="18"/>
        <color theme="1"/>
        <rFont val="Times New Roman"/>
        <family val="1"/>
        <charset val="204"/>
      </rPr>
      <t xml:space="preserve"> за 1ед. с распечаткой  1-ой модели на 3D принтере. </t>
    </r>
  </si>
  <si>
    <r>
      <rPr>
        <b/>
        <sz val="20"/>
        <color rgb="FF00B050"/>
        <rFont val="Times New Roman"/>
        <family val="1"/>
        <charset val="204"/>
      </rPr>
      <t>Последующяя</t>
    </r>
    <r>
      <rPr>
        <sz val="18"/>
        <color theme="1"/>
        <rFont val="Times New Roman"/>
        <family val="1"/>
        <charset val="204"/>
      </rPr>
      <t xml:space="preserve">  1ед. моделировки </t>
    </r>
    <r>
      <rPr>
        <b/>
        <sz val="18"/>
        <color rgb="FF0070C0"/>
        <rFont val="Times New Roman"/>
        <family val="1"/>
        <charset val="204"/>
      </rPr>
      <t>Wax-up</t>
    </r>
    <r>
      <rPr>
        <sz val="18"/>
        <color theme="1"/>
        <rFont val="Times New Roman"/>
        <family val="1"/>
        <charset val="204"/>
      </rPr>
      <t xml:space="preserve"> в </t>
    </r>
    <r>
      <rPr>
        <b/>
        <sz val="18"/>
        <color theme="1"/>
        <rFont val="Times New Roman"/>
        <family val="1"/>
        <charset val="204"/>
      </rPr>
      <t>одной работе</t>
    </r>
    <r>
      <rPr>
        <sz val="18"/>
        <color theme="1"/>
        <rFont val="Times New Roman"/>
        <family val="1"/>
        <charset val="204"/>
      </rPr>
      <t>, распечатка модели включена в первую единицу.</t>
    </r>
  </si>
  <si>
    <t>нету цен</t>
  </si>
  <si>
    <t>Нанесение искуственной десны.</t>
  </si>
  <si>
    <t>6.1</t>
  </si>
  <si>
    <t>6.2</t>
  </si>
  <si>
    <t xml:space="preserve"> 6.3</t>
  </si>
  <si>
    <t>6.4</t>
  </si>
  <si>
    <t>7</t>
  </si>
  <si>
    <t>7.2</t>
  </si>
  <si>
    <r>
      <t>Перепротезирование на имплантах "Все на Х"</t>
    </r>
    <r>
      <rPr>
        <sz val="11"/>
        <color rgb="FFFF0000"/>
        <rFont val="Arial"/>
        <family val="2"/>
        <charset val="204"/>
      </rPr>
      <t>(постоянные конструкции)</t>
    </r>
  </si>
  <si>
    <t>8.6</t>
  </si>
  <si>
    <t>8.7</t>
  </si>
  <si>
    <t>8.8</t>
  </si>
  <si>
    <r>
      <t xml:space="preserve">Культевая штифтовая вкладка из </t>
    </r>
    <r>
      <rPr>
        <sz val="16"/>
        <color rgb="FF000099"/>
        <rFont val="Times New Roman"/>
        <family val="1"/>
        <charset val="204"/>
      </rPr>
      <t xml:space="preserve">диоксида циркония </t>
    </r>
    <r>
      <rPr>
        <sz val="16"/>
        <color rgb="FFFF0000"/>
        <rFont val="Times New Roman"/>
        <family val="1"/>
        <charset val="204"/>
      </rPr>
      <t>Multilayer Dentsply Sirona</t>
    </r>
  </si>
  <si>
    <r>
      <t xml:space="preserve">Индивидуальный </t>
    </r>
    <r>
      <rPr>
        <b/>
        <sz val="16"/>
        <color rgb="FF000099"/>
        <rFont val="Times New Roman"/>
        <family val="1"/>
        <charset val="204"/>
      </rPr>
      <t>циркониевый</t>
    </r>
    <r>
      <rPr>
        <b/>
        <sz val="16"/>
        <color theme="1"/>
        <rFont val="Times New Roman"/>
        <family val="1"/>
        <charset val="204"/>
      </rPr>
      <t xml:space="preserve"> абатмент Dentsply Sirona</t>
    </r>
    <r>
      <rPr>
        <sz val="16"/>
        <color theme="1"/>
        <rFont val="Times New Roman"/>
        <family val="1"/>
        <charset val="204"/>
      </rPr>
      <t xml:space="preserve"> (без учета стоимости титанового основания)</t>
    </r>
  </si>
  <si>
    <r>
      <rPr>
        <sz val="18"/>
        <color rgb="FF000099"/>
        <rFont val="Times New Roman"/>
        <family val="1"/>
        <charset val="204"/>
      </rPr>
      <t>Временная коронка</t>
    </r>
    <r>
      <rPr>
        <sz val="18"/>
        <color theme="1"/>
        <rFont val="Times New Roman"/>
        <family val="1"/>
        <charset val="204"/>
      </rPr>
      <t xml:space="preserve"> CAD/CAM </t>
    </r>
  </si>
  <si>
    <r>
      <rPr>
        <sz val="18"/>
        <color rgb="FF000099"/>
        <rFont val="Times New Roman"/>
        <family val="1"/>
        <charset val="204"/>
      </rPr>
      <t xml:space="preserve">Временная коронка </t>
    </r>
    <r>
      <rPr>
        <b/>
        <sz val="20"/>
        <color theme="1"/>
        <rFont val="Times New Roman"/>
        <family val="1"/>
        <charset val="204"/>
      </rPr>
      <t xml:space="preserve">на импланте </t>
    </r>
    <r>
      <rPr>
        <sz val="20"/>
        <color theme="1"/>
        <rFont val="Times New Roman"/>
        <family val="1"/>
        <charset val="204"/>
      </rPr>
      <t>CAD/CAM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 без учета титанового основания)</t>
    </r>
  </si>
  <si>
    <r>
      <t>(Сканирование + моделирование+ печать ( катридж Permanent Crown 4мл на 1ед) + мойка(спир)+засветка+полировка(фрезы, полиры)+</t>
    </r>
    <r>
      <rPr>
        <sz val="14"/>
        <color theme="4"/>
        <rFont val="Times New Roman"/>
        <family val="1"/>
        <charset val="204"/>
      </rPr>
      <t xml:space="preserve">покрытие лаком? </t>
    </r>
  </si>
  <si>
    <r>
      <rPr>
        <b/>
        <sz val="16"/>
        <color theme="1"/>
        <rFont val="Times New Roman"/>
        <family val="1"/>
        <charset val="204"/>
      </rPr>
      <t xml:space="preserve">Полноанатомическая </t>
    </r>
    <r>
      <rPr>
        <sz val="16"/>
        <color theme="1"/>
        <rFont val="Times New Roman"/>
        <family val="1"/>
        <charset val="204"/>
      </rPr>
      <t xml:space="preserve">коронка (зуб) из </t>
    </r>
    <r>
      <rPr>
        <b/>
        <sz val="18"/>
        <color rgb="FF000099"/>
        <rFont val="Times New Roman"/>
        <family val="1"/>
        <charset val="204"/>
      </rPr>
      <t>диоксида циркония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sz val="16"/>
        <color rgb="FFFF0000"/>
        <rFont val="Times New Roman"/>
        <family val="1"/>
        <charset val="204"/>
      </rPr>
      <t xml:space="preserve">Multilayer </t>
    </r>
    <r>
      <rPr>
        <b/>
        <sz val="16"/>
        <color theme="1"/>
        <rFont val="Times New Roman"/>
        <family val="1"/>
        <charset val="204"/>
      </rPr>
      <t>Dentsply Sirona (</t>
    </r>
    <r>
      <rPr>
        <b/>
        <sz val="16"/>
        <color rgb="FF00B050"/>
        <rFont val="Times New Roman"/>
        <family val="1"/>
        <charset val="204"/>
      </rPr>
      <t>послойно окрашенная заготовка</t>
    </r>
    <r>
      <rPr>
        <b/>
        <sz val="16"/>
        <color theme="1"/>
        <rFont val="Times New Roman"/>
        <family val="1"/>
        <charset val="204"/>
      </rPr>
      <t>)</t>
    </r>
  </si>
  <si>
    <r>
      <rPr>
        <b/>
        <sz val="18"/>
        <color theme="1"/>
        <rFont val="Times New Roman"/>
        <family val="1"/>
        <charset val="204"/>
      </rPr>
      <t>Полноанатомическая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коронка (зуб) из </t>
    </r>
    <r>
      <rPr>
        <b/>
        <sz val="18"/>
        <color rgb="FF000099"/>
        <rFont val="Times New Roman"/>
        <family val="1"/>
        <charset val="204"/>
      </rPr>
      <t>диоксида циркония</t>
    </r>
    <r>
      <rPr>
        <b/>
        <sz val="16"/>
        <color rgb="FF000099"/>
        <rFont val="Times New Roman"/>
        <family val="1"/>
        <charset val="204"/>
      </rPr>
      <t xml:space="preserve"> </t>
    </r>
    <r>
      <rPr>
        <b/>
        <sz val="16"/>
        <color rgb="FFFF0000"/>
        <rFont val="Times New Roman"/>
        <family val="1"/>
        <charset val="204"/>
      </rPr>
      <t xml:space="preserve">Multilayer </t>
    </r>
    <r>
      <rPr>
        <b/>
        <sz val="16"/>
        <color theme="1"/>
        <rFont val="Times New Roman"/>
        <family val="1"/>
        <charset val="204"/>
      </rPr>
      <t>Dentsply Sirona</t>
    </r>
  </si>
  <si>
    <r>
      <t xml:space="preserve">Коронка (зуб) из </t>
    </r>
    <r>
      <rPr>
        <b/>
        <sz val="18"/>
        <color rgb="FF000099"/>
        <rFont val="Times New Roman"/>
        <family val="1"/>
        <charset val="204"/>
      </rPr>
      <t xml:space="preserve">диоксида циркония </t>
    </r>
    <r>
      <rPr>
        <b/>
        <sz val="18"/>
        <color theme="1"/>
        <rFont val="Times New Roman"/>
        <family val="1"/>
        <charset val="204"/>
      </rPr>
      <t>Dentsply Sirona</t>
    </r>
    <r>
      <rPr>
        <b/>
        <sz val="16"/>
        <color theme="1"/>
        <rFont val="Times New Roman"/>
        <family val="1"/>
        <charset val="204"/>
      </rPr>
      <t xml:space="preserve"> с </t>
    </r>
    <r>
      <rPr>
        <b/>
        <sz val="16"/>
        <color rgb="FFFF0000"/>
        <rFont val="Times New Roman"/>
        <family val="1"/>
        <charset val="204"/>
      </rPr>
      <t>нанесением</t>
    </r>
    <r>
      <rPr>
        <b/>
        <sz val="16"/>
        <color theme="1"/>
        <rFont val="Times New Roman"/>
        <family val="1"/>
        <charset val="204"/>
      </rPr>
      <t xml:space="preserve"> керамической массы</t>
    </r>
  </si>
  <si>
    <r>
      <rPr>
        <b/>
        <sz val="16"/>
        <color theme="1"/>
        <rFont val="Times New Roman"/>
        <family val="1"/>
        <charset val="204"/>
      </rPr>
      <t>Полноанатомическая коронка</t>
    </r>
    <r>
      <rPr>
        <sz val="16"/>
        <color theme="1"/>
        <rFont val="Times New Roman"/>
        <family val="1"/>
        <charset val="204"/>
      </rPr>
      <t xml:space="preserve"> из </t>
    </r>
    <r>
      <rPr>
        <b/>
        <sz val="18"/>
        <color rgb="FF000099"/>
        <rFont val="Times New Roman"/>
        <family val="1"/>
        <charset val="204"/>
      </rPr>
      <t xml:space="preserve">диоксида циркония </t>
    </r>
    <r>
      <rPr>
        <b/>
        <sz val="18"/>
        <color theme="1"/>
        <rFont val="Times New Roman"/>
        <family val="1"/>
        <charset val="204"/>
      </rPr>
      <t>Dentsply Sirona</t>
    </r>
    <r>
      <rPr>
        <sz val="16"/>
        <color theme="1"/>
        <rFont val="Times New Roman"/>
        <family val="1"/>
        <charset val="204"/>
      </rPr>
      <t xml:space="preserve">  </t>
    </r>
    <r>
      <rPr>
        <b/>
        <sz val="20"/>
        <color theme="1"/>
        <rFont val="Times New Roman"/>
        <family val="1"/>
        <charset val="204"/>
      </rPr>
      <t>на импланте</t>
    </r>
    <r>
      <rPr>
        <sz val="16"/>
        <color theme="1"/>
        <rFont val="Times New Roman"/>
        <family val="1"/>
        <charset val="204"/>
      </rPr>
      <t xml:space="preserve"> (</t>
    </r>
    <r>
      <rPr>
        <sz val="16"/>
        <color rgb="FFFF0000"/>
        <rFont val="Times New Roman"/>
        <family val="1"/>
        <charset val="204"/>
      </rPr>
      <t>винтовая</t>
    </r>
    <r>
      <rPr>
        <sz val="16"/>
        <color theme="1"/>
        <rFont val="Times New Roman"/>
        <family val="1"/>
        <charset val="204"/>
      </rPr>
      <t xml:space="preserve"> фиксация без учета стоимости титанового основания)</t>
    </r>
  </si>
  <si>
    <r>
      <t xml:space="preserve">Коронка из </t>
    </r>
    <r>
      <rPr>
        <b/>
        <sz val="18"/>
        <color rgb="FF000099"/>
        <rFont val="Times New Roman"/>
        <family val="1"/>
        <charset val="204"/>
      </rPr>
      <t xml:space="preserve">диоксида циркония </t>
    </r>
    <r>
      <rPr>
        <b/>
        <sz val="18"/>
        <color theme="1"/>
        <rFont val="Times New Roman"/>
        <family val="1"/>
        <charset val="204"/>
      </rPr>
      <t>Dentsply Sirona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sz val="20"/>
        <color theme="1"/>
        <rFont val="Times New Roman"/>
        <family val="1"/>
        <charset val="204"/>
      </rPr>
      <t xml:space="preserve">на импланте </t>
    </r>
    <r>
      <rPr>
        <b/>
        <sz val="16"/>
        <color rgb="FF00B050"/>
        <rFont val="Times New Roman"/>
        <family val="1"/>
        <charset val="204"/>
      </rPr>
      <t>послойно окрашенная заготовка</t>
    </r>
    <r>
      <rPr>
        <b/>
        <sz val="18"/>
        <color rgb="FF00B050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</t>
    </r>
    <r>
      <rPr>
        <sz val="16"/>
        <color rgb="FFFF0000"/>
        <rFont val="Times New Roman"/>
        <family val="1"/>
        <charset val="204"/>
      </rPr>
      <t>винтовая</t>
    </r>
    <r>
      <rPr>
        <sz val="16"/>
        <color theme="1"/>
        <rFont val="Times New Roman"/>
        <family val="1"/>
        <charset val="204"/>
      </rPr>
      <t xml:space="preserve"> фиксация без учета стоимости титанового основания)</t>
    </r>
  </si>
  <si>
    <r>
      <t xml:space="preserve">Коронка из </t>
    </r>
    <r>
      <rPr>
        <b/>
        <sz val="18"/>
        <color rgb="FF000099"/>
        <rFont val="Times New Roman"/>
        <family val="1"/>
        <charset val="204"/>
      </rPr>
      <t xml:space="preserve">диоксида циркония </t>
    </r>
    <r>
      <rPr>
        <b/>
        <sz val="18"/>
        <color theme="1"/>
        <rFont val="Times New Roman"/>
        <family val="1"/>
        <charset val="204"/>
      </rPr>
      <t>Dentsply Sirona</t>
    </r>
    <r>
      <rPr>
        <sz val="1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с </t>
    </r>
    <r>
      <rPr>
        <b/>
        <sz val="16"/>
        <color rgb="FFFF0000"/>
        <rFont val="Times New Roman"/>
        <family val="1"/>
        <charset val="204"/>
      </rPr>
      <t>нанесением керамической массы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sz val="20"/>
        <color theme="1"/>
        <rFont val="Times New Roman"/>
        <family val="1"/>
        <charset val="204"/>
      </rPr>
      <t xml:space="preserve">на импланте </t>
    </r>
    <r>
      <rPr>
        <sz val="16"/>
        <color theme="1"/>
        <rFont val="Times New Roman"/>
        <family val="1"/>
        <charset val="204"/>
      </rPr>
      <t>(</t>
    </r>
    <r>
      <rPr>
        <sz val="16"/>
        <color rgb="FFFF0000"/>
        <rFont val="Times New Roman"/>
        <family val="1"/>
        <charset val="204"/>
      </rPr>
      <t>винтовая</t>
    </r>
    <r>
      <rPr>
        <sz val="16"/>
        <color theme="1"/>
        <rFont val="Times New Roman"/>
        <family val="1"/>
        <charset val="204"/>
      </rPr>
      <t xml:space="preserve"> фиксация без учета стоимости титанового основания)</t>
    </r>
  </si>
  <si>
    <r>
      <rPr>
        <b/>
        <sz val="18"/>
        <color rgb="FFFF0000"/>
        <rFont val="Times New Roman"/>
        <family val="1"/>
        <charset val="204"/>
      </rPr>
      <t xml:space="preserve">Шаблон Композитный </t>
    </r>
    <r>
      <rPr>
        <sz val="18"/>
        <color theme="1"/>
        <rFont val="Times New Roman"/>
        <family val="1"/>
        <charset val="204"/>
      </rPr>
      <t xml:space="preserve">в полную анатомию </t>
    </r>
    <r>
      <rPr>
        <b/>
        <sz val="18"/>
        <color theme="1"/>
        <rFont val="Times New Roman"/>
        <family val="1"/>
        <charset val="204"/>
      </rPr>
      <t>(коронка, винир, накладка, вкладка)</t>
    </r>
    <r>
      <rPr>
        <b/>
        <sz val="18"/>
        <color rgb="FFFF0000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для постояннной конструкции </t>
    </r>
    <r>
      <rPr>
        <b/>
        <sz val="18"/>
        <color rgb="FFC00000"/>
        <rFont val="Times New Roman"/>
        <family val="1"/>
        <charset val="204"/>
      </rPr>
      <t>3D печать</t>
    </r>
    <r>
      <rPr>
        <sz val="18"/>
        <color theme="1"/>
        <rFont val="Times New Roman"/>
        <family val="1"/>
        <charset val="204"/>
      </rPr>
      <t xml:space="preserve"> Permanent Crown</t>
    </r>
  </si>
  <si>
    <r>
      <rPr>
        <b/>
        <sz val="18"/>
        <color rgb="FFFF0000"/>
        <rFont val="Times New Roman"/>
        <family val="1"/>
        <charset val="204"/>
      </rPr>
      <t xml:space="preserve">Шаблон Композитный </t>
    </r>
    <r>
      <rPr>
        <b/>
        <sz val="18"/>
        <color rgb="FF00B050"/>
        <rFont val="Times New Roman"/>
        <family val="1"/>
        <charset val="204"/>
      </rPr>
      <t>с редуцированием</t>
    </r>
    <r>
      <rPr>
        <sz val="18"/>
        <color theme="1"/>
        <rFont val="Times New Roman"/>
        <family val="1"/>
        <charset val="204"/>
      </rPr>
      <t xml:space="preserve"> </t>
    </r>
    <r>
      <rPr>
        <b/>
        <sz val="18"/>
        <color theme="1"/>
        <rFont val="Times New Roman"/>
        <family val="1"/>
        <charset val="204"/>
      </rPr>
      <t>(коронка, винир, накладка, вкладка)</t>
    </r>
    <r>
      <rPr>
        <b/>
        <sz val="18"/>
        <color rgb="FFFF0000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для постояннной конструкции </t>
    </r>
    <r>
      <rPr>
        <b/>
        <sz val="18"/>
        <color rgb="FFC00000"/>
        <rFont val="Times New Roman"/>
        <family val="1"/>
        <charset val="204"/>
      </rPr>
      <t>3D печать</t>
    </r>
    <r>
      <rPr>
        <sz val="18"/>
        <color theme="1"/>
        <rFont val="Times New Roman"/>
        <family val="1"/>
        <charset val="204"/>
      </rPr>
      <t xml:space="preserve"> Permanent Crown</t>
    </r>
  </si>
  <si>
    <r>
      <rPr>
        <b/>
        <sz val="18"/>
        <color rgb="FFFF0000"/>
        <rFont val="Times New Roman"/>
        <family val="1"/>
        <charset val="204"/>
      </rPr>
      <t xml:space="preserve">Шаблон Композитный  </t>
    </r>
    <r>
      <rPr>
        <b/>
        <sz val="18"/>
        <color rgb="FF0070C0"/>
        <rFont val="Times New Roman"/>
        <family val="1"/>
        <charset val="204"/>
      </rPr>
      <t>с</t>
    </r>
    <r>
      <rPr>
        <b/>
        <sz val="18"/>
        <color rgb="FFFF0000"/>
        <rFont val="Times New Roman"/>
        <family val="1"/>
        <charset val="204"/>
      </rPr>
      <t xml:space="preserve"> </t>
    </r>
    <r>
      <rPr>
        <b/>
        <sz val="18"/>
        <color rgb="FF0070C0"/>
        <rFont val="Times New Roman"/>
        <family val="1"/>
        <charset val="204"/>
      </rPr>
      <t xml:space="preserve">индивидуализацией </t>
    </r>
    <r>
      <rPr>
        <b/>
        <sz val="18"/>
        <color theme="1"/>
        <rFont val="Times New Roman"/>
        <family val="1"/>
        <charset val="204"/>
      </rPr>
      <t>(коронка, винир, накладка, вкладка)</t>
    </r>
    <r>
      <rPr>
        <b/>
        <sz val="18"/>
        <color rgb="FFFF0000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для постояннной конструкции </t>
    </r>
    <r>
      <rPr>
        <b/>
        <sz val="18"/>
        <color rgb="FFC00000"/>
        <rFont val="Times New Roman"/>
        <family val="1"/>
        <charset val="204"/>
      </rPr>
      <t>3D печать</t>
    </r>
    <r>
      <rPr>
        <sz val="18"/>
        <color theme="1"/>
        <rFont val="Times New Roman"/>
        <family val="1"/>
        <charset val="204"/>
      </rPr>
      <t xml:space="preserve"> Permanent Crown</t>
    </r>
  </si>
  <si>
    <r>
      <t>(Сканирование + моделирование+ печать ( катридж Permanent Crown 4мл на 1ед) + мойка(спир)+засветка+</t>
    </r>
    <r>
      <rPr>
        <sz val="14"/>
        <color rgb="FF00B0F0"/>
        <rFont val="Times New Roman"/>
        <family val="1"/>
        <charset val="204"/>
      </rPr>
      <t>нанесение композита?</t>
    </r>
    <r>
      <rPr>
        <sz val="14"/>
        <color theme="1"/>
        <rFont val="Times New Roman"/>
        <family val="1"/>
        <charset val="204"/>
      </rPr>
      <t>+полировка(фрезы, полиры)+</t>
    </r>
    <r>
      <rPr>
        <sz val="14"/>
        <color theme="4"/>
        <rFont val="Times New Roman"/>
        <family val="1"/>
        <charset val="204"/>
      </rPr>
      <t xml:space="preserve">покрытие лаком? </t>
    </r>
  </si>
  <si>
    <t>Хирургический шаблон от 1 до 3 имплантов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</si>
  <si>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</si>
  <si>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</si>
  <si>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</si>
  <si>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</si>
  <si>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</si>
  <si>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</si>
  <si>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</si>
  <si>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</si>
  <si>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</si>
  <si>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</si>
  <si>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</si>
  <si>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</si>
  <si>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</si>
  <si>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3д печать одной модели</t>
  </si>
  <si>
    <t>3д печать двух моделей</t>
  </si>
  <si>
    <t>3д печать двух моделей в артикуляторе</t>
  </si>
  <si>
    <t>(сканирование+сложное моделирование+печать+полимер Model Resin V2 (15ml)+засветка+мойка + спирт (1/5)</t>
  </si>
  <si>
    <t>(сканирование+сложное моделирование+печать+полимер LT Clear (5ml)+засветка+мойка + спирт (1/5)</t>
  </si>
  <si>
    <t>(сканирование+моделирование+печать+полимер LT Clear (5ml)+засветка+мойка + спирт (1/5)</t>
  </si>
  <si>
    <t>(Моделировка+ печать+полимер Model Resin V2 (15ml)+засветка+мойка+спирт+спирт 200ml</t>
  </si>
  <si>
    <t>(сканирование+сложное моделирование+печать+полимер Model Resin V2 (15ml)+засветка+мойка + спирт 200ml</t>
  </si>
  <si>
    <t>(Моделировка+ печать+полимер Model Resin V2 (30ml)+засветка+мойка+спирт+спирт 200ml</t>
  </si>
  <si>
    <t>(Моделировка+ печать+полимер Model Resin V2 (35ml)+засветка+мойка+спирт+спирт 200ml</t>
  </si>
  <si>
    <t>(Моделирование+печать+полимер BIOMED Amber (15ml)+засветка+мойка+спирт 200ml+ кольца метал.?)</t>
  </si>
  <si>
    <r>
      <t xml:space="preserve">Условно сьемный </t>
    </r>
    <r>
      <rPr>
        <b/>
        <sz val="16"/>
        <color rgb="FFFF0000"/>
        <rFont val="Times New Roman"/>
        <family val="1"/>
        <charset val="204"/>
      </rPr>
      <t>временный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протез (Акрил)</t>
    </r>
    <r>
      <rPr>
        <b/>
        <sz val="16"/>
        <color theme="1"/>
        <rFont val="Times New Roman"/>
        <family val="1"/>
        <charset val="204"/>
      </rPr>
      <t>All-8</t>
    </r>
    <r>
      <rPr>
        <sz val="16"/>
        <color theme="1"/>
        <rFont val="Times New Roman"/>
        <family val="1"/>
        <charset val="204"/>
      </rPr>
      <t xml:space="preserve">  12 зубов                                                                              </t>
    </r>
  </si>
  <si>
    <r>
      <t>Условно сьемный</t>
    </r>
    <r>
      <rPr>
        <sz val="16"/>
        <color rgb="FFFF0000"/>
        <rFont val="Times New Roman"/>
        <family val="1"/>
        <charset val="204"/>
      </rPr>
      <t xml:space="preserve"> </t>
    </r>
    <r>
      <rPr>
        <u/>
        <sz val="16"/>
        <color rgb="FFFF0000"/>
        <rFont val="Times New Roman"/>
        <family val="1"/>
        <charset val="204"/>
      </rPr>
      <t>временный</t>
    </r>
    <r>
      <rPr>
        <sz val="16"/>
        <color theme="1"/>
        <rFont val="Times New Roman"/>
        <family val="1"/>
        <charset val="204"/>
      </rPr>
      <t xml:space="preserve"> протез (Акрил)</t>
    </r>
    <r>
      <rPr>
        <b/>
        <sz val="16"/>
        <color theme="1"/>
        <rFont val="Times New Roman"/>
        <family val="1"/>
        <charset val="204"/>
      </rPr>
      <t>All-6</t>
    </r>
    <r>
      <rPr>
        <sz val="16"/>
        <color theme="1"/>
        <rFont val="Times New Roman"/>
        <family val="1"/>
        <charset val="204"/>
      </rPr>
      <t xml:space="preserve"> 12 зубов                                                                                 </t>
    </r>
  </si>
  <si>
    <r>
      <t xml:space="preserve">Условно сьемный </t>
    </r>
    <r>
      <rPr>
        <sz val="16"/>
        <color rgb="FFFF0000"/>
        <rFont val="Times New Roman"/>
        <family val="1"/>
        <charset val="204"/>
      </rPr>
      <t xml:space="preserve">временный </t>
    </r>
    <r>
      <rPr>
        <sz val="16"/>
        <color theme="1"/>
        <rFont val="Times New Roman"/>
        <family val="1"/>
        <charset val="204"/>
      </rPr>
      <t>протез (Акрил)</t>
    </r>
    <r>
      <rPr>
        <b/>
        <sz val="16"/>
        <color theme="1"/>
        <rFont val="Times New Roman"/>
        <family val="1"/>
        <charset val="204"/>
      </rPr>
      <t xml:space="preserve">All-5 </t>
    </r>
    <r>
      <rPr>
        <sz val="16"/>
        <color theme="1"/>
        <rFont val="Times New Roman"/>
        <family val="1"/>
        <charset val="204"/>
      </rPr>
      <t xml:space="preserve">      12зубов                                                                          </t>
    </r>
  </si>
  <si>
    <r>
      <t xml:space="preserve">Условно сьемный </t>
    </r>
    <r>
      <rPr>
        <sz val="16"/>
        <color rgb="FFFF0000"/>
        <rFont val="Times New Roman"/>
        <family val="1"/>
        <charset val="204"/>
      </rPr>
      <t>временный</t>
    </r>
    <r>
      <rPr>
        <sz val="16"/>
        <color theme="1"/>
        <rFont val="Times New Roman"/>
        <family val="1"/>
        <charset val="204"/>
      </rPr>
      <t xml:space="preserve"> протез (Акрил)</t>
    </r>
    <r>
      <rPr>
        <b/>
        <sz val="16"/>
        <color theme="1"/>
        <rFont val="Times New Roman"/>
        <family val="1"/>
        <charset val="204"/>
      </rPr>
      <t>All-4</t>
    </r>
    <r>
      <rPr>
        <sz val="16"/>
        <color theme="1"/>
        <rFont val="Times New Roman"/>
        <family val="1"/>
        <charset val="204"/>
      </rPr>
      <t xml:space="preserve">    12зубов                                            </t>
    </r>
  </si>
  <si>
    <t>Отливка модели:</t>
  </si>
  <si>
    <t xml:space="preserve">                                 простая -10 минут</t>
  </si>
  <si>
    <t xml:space="preserve">                                 сложная - 60 минут</t>
  </si>
  <si>
    <t xml:space="preserve">Сканирование: </t>
  </si>
  <si>
    <t xml:space="preserve">                                 1 модель -20 минут </t>
  </si>
  <si>
    <t xml:space="preserve">Моделирование: </t>
  </si>
  <si>
    <t xml:space="preserve">                                 простое 1 ед. – 10 минут</t>
  </si>
  <si>
    <t xml:space="preserve">                                 сложное 1 ед. -15 минут</t>
  </si>
  <si>
    <t xml:space="preserve">                                 все на х – 90минут</t>
  </si>
  <si>
    <t xml:space="preserve">                                 каппа простая -20 минут</t>
  </si>
  <si>
    <t xml:space="preserve">                                 каппа при бруксизме – 40 минут</t>
  </si>
  <si>
    <t xml:space="preserve">Принтовка: </t>
  </si>
  <si>
    <t xml:space="preserve">                       принтовка+ обработка – 10 минут</t>
  </si>
  <si>
    <t xml:space="preserve">                       мойка – 10 минут</t>
  </si>
  <si>
    <t xml:space="preserve">                       сушка – 10 минут</t>
  </si>
  <si>
    <t xml:space="preserve">Фрезерование: </t>
  </si>
  <si>
    <t xml:space="preserve">                        загрузка, выгрузка диска, выпилка из диска 1 ед. – 15 мин</t>
  </si>
  <si>
    <t>Напекание керамической массы:</t>
  </si>
  <si>
    <t xml:space="preserve">                       простое -1 ед. -60минут:</t>
  </si>
  <si>
    <t xml:space="preserve">                                -опак - 15 минут          </t>
  </si>
  <si>
    <t xml:space="preserve">                                -дентин - 15 минут</t>
  </si>
  <si>
    <t xml:space="preserve">                                -эмаль -15 минут</t>
  </si>
  <si>
    <t xml:space="preserve">                                - глазурь- 15 минут</t>
  </si>
  <si>
    <t xml:space="preserve">                       Сложное -1 ед. 80минут</t>
  </si>
  <si>
    <t xml:space="preserve">                                -эффекты -15 минут</t>
  </si>
  <si>
    <t xml:space="preserve">                                - раскраска- 10минут </t>
  </si>
  <si>
    <t>Синтеризация  1ед. – 5 минут</t>
  </si>
  <si>
    <t xml:space="preserve">Обработка металлического каркаса 1ед.- 5 минут </t>
  </si>
  <si>
    <t>Вклейка Ti-base 1ед. – 5 минут</t>
  </si>
  <si>
    <t>Нанесение композита: 1ед. - 70 минут</t>
  </si>
  <si>
    <t xml:space="preserve">                                - нанесение праймера - 5 минут </t>
  </si>
  <si>
    <t xml:space="preserve">                                -опак - 10 минут          </t>
  </si>
  <si>
    <t xml:space="preserve">                                -эффекты -10 минут</t>
  </si>
  <si>
    <t xml:space="preserve">                                - раскраска- 5минут </t>
  </si>
  <si>
    <t xml:space="preserve">                                - глазурь- 10 минут</t>
  </si>
  <si>
    <t>Полировка пластмассы, композита 1 ед. -10 минут</t>
  </si>
  <si>
    <t>Описание работ: Сканирование + моделирование+ фрезеровка+ синтеризация.  Материалы: диоксид циркония (1/20 ед.) + фрезы (1 фреза на 250 ед.)</t>
  </si>
  <si>
    <r>
      <rPr>
        <sz val="16"/>
        <color rgb="FFFF0000"/>
        <rFont val="Times New Roman"/>
        <family val="1"/>
        <charset val="204"/>
      </rPr>
      <t xml:space="preserve">Перепротезирование </t>
    </r>
    <r>
      <rPr>
        <sz val="16"/>
        <color theme="1"/>
        <rFont val="Times New Roman"/>
        <family val="1"/>
        <charset val="204"/>
      </rPr>
      <t xml:space="preserve">на имплантах </t>
    </r>
    <r>
      <rPr>
        <b/>
        <sz val="16"/>
        <color theme="1"/>
        <rFont val="Times New Roman"/>
        <family val="1"/>
        <charset val="204"/>
      </rPr>
      <t>(</t>
    </r>
    <r>
      <rPr>
        <b/>
        <sz val="16"/>
        <color theme="4"/>
        <rFont val="Times New Roman"/>
        <family val="1"/>
        <charset val="204"/>
      </rPr>
      <t>Zirconia</t>
    </r>
    <r>
      <rPr>
        <b/>
        <sz val="16"/>
        <color theme="1"/>
        <rFont val="Times New Roman"/>
        <family val="1"/>
        <charset val="204"/>
      </rPr>
      <t>)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>All-Х: 12 зубов</t>
    </r>
    <r>
      <rPr>
        <sz val="16"/>
        <color theme="1"/>
        <rFont val="Times New Roman"/>
        <family val="1"/>
        <charset val="204"/>
      </rPr>
      <t xml:space="preserve">                                                                                      Описание работ:(Сканирование + моделирование балки + фрезерованние балки + моделирование каркаса (Zirconia) + фрезеровка каркаса(Zirconia) + синтеризация  + соединительный обжиг +  + художественное нанесение керамической массы + нанесение керамической десны +раскраска + глазурь + вклейка балки. </t>
    </r>
  </si>
  <si>
    <t>Описание работ:(Отливка модели+гипс 250г+гироформ+24 пина+фреза (на пол года)+фреза(1/200)+диск сепарационный(1/100)+обработка модели+сканирование + моделирование+ фрезеровка+ синтеризация. Материалы: диоксид циркония (1/20 ед.) + фрезы (1 фреза на 250 ед.)</t>
  </si>
  <si>
    <t>Описание работ:(Отливка модели+обработка модели+сканирование + моделирование+ фрезеровка+ синтеризация+глазурирование. Материалы:  диоксид циркония (1/20 ед.) + фрезы (1 фреза на 250 ед.)+ глазурь(1/20)+ жидкость (1/25)</t>
  </si>
  <si>
    <t>Описание работ:(Сканирование + моделирование+ фрезеровка+ синтеризация +глазурирование. Материалы: диоксид циркония (1/20 ед.) + фрезы (1 фреза на 250 ед.)+ глазурь(1/20)+ жидкость (1/25)</t>
  </si>
  <si>
    <t>Описание работ:(Отливка модели+обработка модели+сканирование + моделирование+ фрезеровка+ синтеризация+покраска+глазурирование. Материалы: диоксид циркония (1/20 ед.) + фрезы (1 фреза на 250 ед.)+ глазурь(1/20)+ жидкость (1/25)+краска (1/50)</t>
  </si>
  <si>
    <t>Описание работ:(Сканирование + моделирование+ фрезеровка+ синтеризация +покраска+глазурирование. Материалы: диоксид циркония (1/20 ед.) + фрезы (1 фреза на 250 ед.)+ глазурь(1/20)+ жидкость (1/25)+краска (1/50)</t>
  </si>
  <si>
    <t>Описание работ:(Отливка модели+обработка модели+сканирование + моделирование+ фрезеровка+ синтеризация+покраска+глазурирование +напекание. Материалы: диоксид циркония (1/20 ед.) + фрезы (1 фреза на 250 ед.)+ глазурь(1/20)+ жидкость (1/25)+краска (1/50)+керамические массы (1/10)</t>
  </si>
  <si>
    <t>Описание работ:(Сканирование + моделирование+ фрезеровка+ синтеризация +покраска+глазурирование+ напекание. Материалы: диоксид циркония (1/20 ед.) + фрезы (1 фреза на 250 ед.)+ глазурь(1/20)+ жидкость (1/25)+краска (1/50)+керамические массы (1/10)</t>
  </si>
  <si>
    <t>Описание работ:(Сканирование + сложное моделирование+ фрезеровка+ синтеризация +глазурирование. Материалы: диоксид циркония (1/20 ед.) + фрезы (1 фреза на 250 ед.)+ глазурь(1/20)+ жидкость (1/25)</t>
  </si>
  <si>
    <t>Описание работ:(отливка модели+Сканирование + сложное моделирование+ фрезеровка+ синтеризация +глазурирование. Материалы: диоксид циркония (1/20 ед.) + фрезы (1 фреза на 250 ед.)+ глазурь(1/20)+ жидкость (1/25)</t>
  </si>
  <si>
    <t>Описание работ:(Сканирование + сложное моделирование+ фрезеровка+ синтеризация +глазурирование+окрашивание. Материалы: диоксид циркония (1/20 ед.) + фрезы (1 фреза на 250 ед.)+ глазурь(1/20)+ жидкость (1/25)+краска (1/50)</t>
  </si>
  <si>
    <t>Описание работ:(Отливка модели+Сканирование + сложное моделирование+ фрезеровка+ синтеризация +глазурирование+окрашивание. Материалы: диоксид циркония (1 ед.) + фрезы (1 фреза на 250 ед.)+ глазурь(1/20)+ жидкость (1/25)+краска (1/50)</t>
  </si>
  <si>
    <t>Описание работ:(Сканирование + сложное моделирование+ фрезеровка+ синтеризация +глазурирование+окрашивание+напекание. Материалы: диоксид циркония (1/20 ед.) + фрезы (1 фреза на 250 ед.)+ глазурь(1/20)+ жидкость (1/25)+краска (1/50)+керамические массы (1/10)</t>
  </si>
  <si>
    <t>Описание работ:(Отливка модели+Сканирование + сложное моделирование+ фрезеровка+ синтеризация +глазурирование+окрашивание+напекание. Материалы: диоксид циркония (1/20 ед.) + фрезы (1 фреза на 250 ед.)+ глазурь(1/20)+ жидкость (1/25)+краска (1/50)+керамические массы (1/10)</t>
  </si>
  <si>
    <t>Описание работ:(Сканирование + сложное моделирование+ фрезеровка+ синтеризация . Материалы: диоксид циркония (1/20 ед.) + фрезы (1 фреза на 250 ед.)</t>
  </si>
  <si>
    <t>Описание работ:(отливка модели+Сканирование + сложное моделирование+ фрезеровка+ синтеризация. Материалы:  диоксид циркония (1/20 ед.) + фрезы (1 фреза на 250 ед.)</t>
  </si>
  <si>
    <r>
      <t>Описание работ:(Сканирование + сложное моделирование+ фрезеровка+ синтеризация +глазурирование. Материалы:  E-max CAD (1 ед.) + фрезы (1 фреза на 10 ед.)+ глазурь(1/20)+ жидкость (1/25)+</t>
    </r>
    <r>
      <rPr>
        <sz val="14"/>
        <color theme="2" tint="-0.499984740745262"/>
        <rFont val="Times New Roman"/>
        <family val="1"/>
        <charset val="204"/>
      </rPr>
      <t>фильтры?+жидкость для фрезера?+</t>
    </r>
  </si>
  <si>
    <r>
      <t>Описание работ:(Отливка модели+Сканирование + сложное моделирование+ фрезеровка+ синтеризация +глазурирование. Материалы:  E-max CAD (1 ед.) + фрезы (1 фреза на 10 ед.)+ глазурь(1/20)+ жидкость (1/25)+</t>
    </r>
    <r>
      <rPr>
        <sz val="14"/>
        <color theme="2" tint="-0.499984740745262"/>
        <rFont val="Times New Roman"/>
        <family val="1"/>
        <charset val="204"/>
      </rPr>
      <t>фильтры?+жидкость для фрезера?+</t>
    </r>
  </si>
  <si>
    <r>
      <t>Описание работ:(Сканирование + сложное моделирование+ фрезеровка+ синтеризация +глазурирование. Материалы: E-max CAD (1 ед.) + фрезы (1 фреза на 10 ед.)+ глазурь(1/20)+ жидкость (1/25)+</t>
    </r>
    <r>
      <rPr>
        <sz val="14"/>
        <color theme="2" tint="-0.499984740745262"/>
        <rFont val="Times New Roman"/>
        <family val="1"/>
        <charset val="204"/>
      </rPr>
      <t xml:space="preserve">фильтры?+жидкость для фрезера?+ </t>
    </r>
    <r>
      <rPr>
        <sz val="14"/>
        <rFont val="Times New Roman"/>
        <family val="1"/>
        <charset val="204"/>
      </rPr>
      <t>краска (1/50)</t>
    </r>
  </si>
  <si>
    <r>
      <t>Описание работ:(Отливка модели+Сканирование + сложное моделирование+ фрезеровка +глазурирование. Материалы: E-max CAD (1 ед.) + фрезы (1 фреза на 10 ед.)+ глазурь(1/20)+ жидкость (1/25)+</t>
    </r>
    <r>
      <rPr>
        <sz val="14"/>
        <color theme="2" tint="-0.499984740745262"/>
        <rFont val="Times New Roman"/>
        <family val="1"/>
        <charset val="204"/>
      </rPr>
      <t xml:space="preserve">фильтры?+жидкость для фрезера?+ </t>
    </r>
    <r>
      <rPr>
        <sz val="14"/>
        <rFont val="Times New Roman"/>
        <family val="1"/>
        <charset val="204"/>
      </rPr>
      <t>краска (1/50)</t>
    </r>
  </si>
  <si>
    <r>
      <t>Описание работ:(Сканирование + сложное моделирование+ фрезеровка +запекание+глазурирование. Материалы: E-max CAD (1 ед.) + фрезы (1 фреза на 10 ед.)+ глазурь(1/20)+ жидкость (1/25)+</t>
    </r>
    <r>
      <rPr>
        <sz val="14"/>
        <color theme="2" tint="-0.499984740745262"/>
        <rFont val="Times New Roman"/>
        <family val="1"/>
        <charset val="204"/>
      </rPr>
      <t xml:space="preserve">фильтры?+жидкость для фрезера?+ </t>
    </r>
    <r>
      <rPr>
        <sz val="14"/>
        <rFont val="Times New Roman"/>
        <family val="1"/>
        <charset val="204"/>
      </rPr>
      <t>краска (1/50)+керамические массы (1/10)</t>
    </r>
  </si>
  <si>
    <r>
      <t>Описание работ:(Отливка модели+Сканирование + сложное моделирование+ фрезеровка +запекание+глазурирование. Материалы:  E-max CAD (1 ед.) + фрезы (1 фреза на 10 ед.)+ глазурь(1/20)+ жидкость (1/25)+</t>
    </r>
    <r>
      <rPr>
        <sz val="14"/>
        <color theme="2" tint="-0.499984740745262"/>
        <rFont val="Times New Roman"/>
        <family val="1"/>
        <charset val="204"/>
      </rPr>
      <t xml:space="preserve">фильтры?+жидкость для фрезера?+ </t>
    </r>
    <r>
      <rPr>
        <sz val="14"/>
        <rFont val="Times New Roman"/>
        <family val="1"/>
        <charset val="204"/>
      </rPr>
      <t>краска (1/50)+керамические массы (1/10)</t>
    </r>
  </si>
  <si>
    <t>Описание работ:(Сканирование + моделирование каркаса+печать на 3Д принтере (отдаем 3ДХАБ)+ обработка каркаса+ оксидация + нанесение опака + запекание + шлифовка + коррекция +глазурь + пескоструйная обработка. Материалы:  глазурь(1/20)+ жидкость (1/25)+краска (1/50)+керамические массы (1/10)</t>
  </si>
  <si>
    <t>Описание работ:(Сканирование + моделирование каркаса+печать на 3Д принтере (отдаем 3ДХАБ)+ обработка каркаса+ оксидация + нанесение опака + сложное запекание + шлифовка + коррекция +глазурь + пескоструйная обработка. Материалы:  глазурь(1/20)+ жидкость (1/25)+краска (1/50)+керамические массы (1/4)</t>
  </si>
  <si>
    <t>Описание работ:(Сканирование + сложное моделирование каркаса+печать на 3Д принтере (отдаем 3ДХАБ)+ обработка каркаса+ оксидация + нанесение опака + сложное запекание + шлифовка + коррекция +глазурь + пескоструйная обработка. Материалы: глазурь(1/20)+ жидкость (1/25)+краска (1/50)+керамические массы (1/4)</t>
  </si>
  <si>
    <r>
      <t>Описание работ:(Сканирование + моделирование+ фрезеровка +полировка. Материалы: блок PMA DISK (1/20) + фрезы (1 фреза на 50 ед.)+</t>
    </r>
    <r>
      <rPr>
        <sz val="14"/>
        <rFont val="Times New Roman"/>
        <family val="1"/>
        <charset val="204"/>
      </rPr>
      <t>покрытие лаком +лак 0.4 мл</t>
    </r>
  </si>
  <si>
    <r>
      <t>Описание работ:(Сканирование +сложное моделирование+ фрезеровка+полировка. Материалы: блок PMA DISK (1/20) + фрезы (1 фреза на 50 ед.)+</t>
    </r>
    <r>
      <rPr>
        <sz val="14"/>
        <rFont val="Times New Roman"/>
        <family val="1"/>
        <charset val="204"/>
      </rPr>
      <t>покрытие лаком+лак 0.4 мл</t>
    </r>
  </si>
  <si>
    <t>Описание работ: Нанесение+ запекание. Материалы:  керамические массы (1/12)</t>
  </si>
  <si>
    <r>
      <t>Описание работ:(сканирование + моделирование прототипа + изготовление прототипа + моделирование балки + моделирование десны + моделирование зубов + лазерная печать из метала балки + фрезеровка десны + фрезеровка зубов + сборка протеза + полировка +</t>
    </r>
    <r>
      <rPr>
        <sz val="16"/>
        <rFont val="Times New Roman"/>
        <family val="1"/>
        <charset val="204"/>
      </rPr>
      <t xml:space="preserve"> нанесение лака. Материалы: лак 5г</t>
    </r>
    <r>
      <rPr>
        <sz val="16"/>
        <color theme="1"/>
        <rFont val="Times New Roman"/>
        <family val="1"/>
        <charset val="204"/>
      </rPr>
      <t xml:space="preserve"> + фрезы (1/5) + полимер Model Resin V2 (1/66) + блок PMA DISK (1/2) + блок PMA DISK (1/3) + каркас 3ДХАБ + </t>
    </r>
    <r>
      <rPr>
        <sz val="16"/>
        <rFont val="Times New Roman"/>
        <family val="1"/>
        <charset val="204"/>
      </rPr>
      <t>пластмасса самотверд. 30г(120р 500гр) + полировочные фрезы.</t>
    </r>
  </si>
  <si>
    <r>
      <t xml:space="preserve">Описание работ:(сканирование + моделирование прототипа + изготовление прототипа + моделирование балки + моделирование десны + моделирование зубов + лазерная печать из метала балки + фрезеровка десны + фрезеровка зубов + сборка протеза + полировка + </t>
    </r>
    <r>
      <rPr>
        <sz val="16"/>
        <rFont val="Times New Roman"/>
        <family val="1"/>
        <charset val="204"/>
      </rPr>
      <t xml:space="preserve">нанесение лака. Материалы: </t>
    </r>
    <r>
      <rPr>
        <sz val="16"/>
        <color theme="1"/>
        <rFont val="Times New Roman"/>
        <family val="1"/>
        <charset val="204"/>
      </rPr>
      <t>фрезы (1/5) + полимер Model Resin V2 (1/66) + блок PMA DISK (1/2) + блок PMA DISK (1/3) + каркас 3ДХАБ +</t>
    </r>
    <r>
      <rPr>
        <sz val="16"/>
        <rFont val="Times New Roman"/>
        <family val="1"/>
        <charset val="204"/>
      </rPr>
      <t xml:space="preserve"> пластмасса самотверд + полировочные фрезы</t>
    </r>
  </si>
  <si>
    <r>
      <t xml:space="preserve">Описание работ:(сканирование + моделирование прототипа + изготовление прототипа + моделирование балки + моделирование десны + моделирование зубов + лазерная печать из метала балки + фрезеровка десны + фрезеровка зубов + сборка протеза + полировка + </t>
    </r>
    <r>
      <rPr>
        <sz val="16"/>
        <rFont val="Times New Roman"/>
        <family val="1"/>
        <charset val="204"/>
      </rPr>
      <t xml:space="preserve">нанесение лака. Материалы: </t>
    </r>
    <r>
      <rPr>
        <sz val="16"/>
        <color theme="1"/>
        <rFont val="Times New Roman"/>
        <family val="1"/>
        <charset val="204"/>
      </rPr>
      <t xml:space="preserve">фрезы (1/5) + полимер Model Resin V2 (1/66) + блок PMA DISK (1/2) + блок PMA DISK (1/3) + каркас 3ДХАБ + </t>
    </r>
    <r>
      <rPr>
        <sz val="16"/>
        <rFont val="Times New Roman"/>
        <family val="1"/>
        <charset val="204"/>
      </rPr>
      <t>пластмасса самотверд. + полировочные фрезы</t>
    </r>
  </si>
  <si>
    <r>
      <t xml:space="preserve">Описание работ:(сканирование + моделирование прототипа + изготовление прототипа + моделирование балки + моделирование десны + моделирование зубов + лазерная печать из метала балки + фрезеровка десны + фрезеровка зубов + сборка протеза + полировка + </t>
    </r>
    <r>
      <rPr>
        <sz val="16"/>
        <rFont val="Times New Roman"/>
        <family val="1"/>
        <charset val="204"/>
      </rPr>
      <t>нанесение лака. Материалы:</t>
    </r>
    <r>
      <rPr>
        <sz val="16"/>
        <color rgb="FF00B0F0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 фрезы (1/5) + полимер Model Resin V2 (1/66) + блок PMA DISK (1/2) + блок PMA DISK (1/3) + каркас 3ДХАБ + </t>
    </r>
    <r>
      <rPr>
        <sz val="16"/>
        <rFont val="Times New Roman"/>
        <family val="1"/>
        <charset val="204"/>
      </rPr>
      <t>пластмасса самотверд. + полировочные фрезы</t>
    </r>
  </si>
  <si>
    <r>
      <rPr>
        <sz val="16"/>
        <color rgb="FFFF0000"/>
        <rFont val="Times New Roman"/>
        <family val="1"/>
        <charset val="204"/>
      </rPr>
      <t xml:space="preserve">Перепротезирование </t>
    </r>
    <r>
      <rPr>
        <sz val="16"/>
        <color theme="1"/>
        <rFont val="Times New Roman"/>
        <family val="1"/>
        <charset val="204"/>
      </rPr>
      <t xml:space="preserve">на имплантах </t>
    </r>
    <r>
      <rPr>
        <b/>
        <sz val="16"/>
        <color theme="1"/>
        <rFont val="Times New Roman"/>
        <family val="1"/>
        <charset val="204"/>
      </rPr>
      <t>(</t>
    </r>
    <r>
      <rPr>
        <b/>
        <sz val="16"/>
        <color rgb="FF00B050"/>
        <rFont val="Times New Roman"/>
        <family val="1"/>
        <charset val="204"/>
      </rPr>
      <t>MK</t>
    </r>
    <r>
      <rPr>
        <b/>
        <sz val="16"/>
        <color theme="1"/>
        <rFont val="Times New Roman"/>
        <family val="1"/>
        <charset val="204"/>
      </rPr>
      <t>)All-X 12 зубов:</t>
    </r>
    <r>
      <rPr>
        <sz val="16"/>
        <color theme="1"/>
        <rFont val="Times New Roman"/>
        <family val="1"/>
        <charset val="204"/>
      </rPr>
      <t xml:space="preserve">                                                                                         Описание работ:(Сканирование + моделирование каркаса+печать на 3Д принтере (отдаем 3ДХАБ)+ обработка каркаса+ оксидация + нанесение опака + художественое реставрация + шлифовка + коррекция +глазурь + пескоструйная обработка. Материалы: </t>
    </r>
    <r>
      <rPr>
        <sz val="16"/>
        <color rgb="FFFF0000"/>
        <rFont val="Times New Roman"/>
        <family val="1"/>
        <charset val="204"/>
      </rPr>
      <t>(</t>
    </r>
    <r>
      <rPr>
        <sz val="16"/>
        <color theme="1"/>
        <rFont val="Times New Roman"/>
        <family val="1"/>
        <charset val="204"/>
      </rPr>
      <t>глазурь(1/20)+ жидкость (1/25)+краска(1/50) +керамические массы (1/10)</t>
    </r>
    <r>
      <rPr>
        <sz val="16"/>
        <color rgb="FFFF0000"/>
        <rFont val="Times New Roman"/>
        <family val="1"/>
        <charset val="204"/>
      </rPr>
      <t>) умножить на 12</t>
    </r>
    <r>
      <rPr>
        <sz val="16"/>
        <color theme="1"/>
        <rFont val="Times New Roman"/>
        <family val="1"/>
        <charset val="204"/>
      </rPr>
      <t xml:space="preserve"> + художественное нанесение керамической искуственной десны 12 ед.</t>
    </r>
  </si>
  <si>
    <t>7.1</t>
  </si>
  <si>
    <t>УСН налог</t>
  </si>
  <si>
    <t>%</t>
  </si>
  <si>
    <t>Налоги (ФСЗН 34%)</t>
  </si>
  <si>
    <t>Белгосстрах 0,5 %</t>
  </si>
  <si>
    <t>Зачисление на карту 0,5%</t>
  </si>
  <si>
    <t>Итого себестоимость услуги</t>
  </si>
  <si>
    <t>Техник на руки (-14% под и пенс.)</t>
  </si>
  <si>
    <t>стоимость работы техника (Без налогов)</t>
  </si>
  <si>
    <t>Отпускные</t>
  </si>
  <si>
    <t>Себестоимость материала</t>
  </si>
  <si>
    <t>Аренда помещения</t>
  </si>
  <si>
    <t>Электроэнергия</t>
  </si>
  <si>
    <t>Администратор</t>
  </si>
  <si>
    <t>зп директора</t>
  </si>
  <si>
    <t>зп Дима</t>
  </si>
  <si>
    <t>Водитель</t>
  </si>
  <si>
    <t>упаковка</t>
  </si>
</sst>
</file>

<file path=xl/styles.xml><?xml version="1.0" encoding="utf-8"?>
<styleSheet xmlns="http://schemas.openxmlformats.org/spreadsheetml/2006/main">
  <fonts count="57">
    <font>
      <sz val="11"/>
      <color theme="1"/>
      <name val="Arial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Arial"/>
      <family val="2"/>
      <charset val="204"/>
    </font>
    <font>
      <sz val="14"/>
      <color theme="1"/>
      <name val="Times New Roman"/>
      <family val="1"/>
      <charset val="204"/>
    </font>
    <font>
      <sz val="12"/>
      <color rgb="FF000066"/>
      <name val="Times New Roman"/>
      <family val="1"/>
      <charset val="204"/>
    </font>
    <font>
      <sz val="11"/>
      <color rgb="FF000066"/>
      <name val="Arial"/>
      <family val="2"/>
      <charset val="204"/>
    </font>
    <font>
      <b/>
      <sz val="18"/>
      <color rgb="FF002060"/>
      <name val="Times New Roman"/>
      <family val="1"/>
      <charset val="204"/>
    </font>
    <font>
      <sz val="18"/>
      <color rgb="FF002060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sz val="11"/>
      <color rgb="FF002060"/>
      <name val="Arial"/>
      <family val="2"/>
      <charset val="204"/>
    </font>
    <font>
      <sz val="14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6"/>
      <color theme="1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rgb="FF000099"/>
      <name val="Times New Roman"/>
      <family val="1"/>
      <charset val="204"/>
    </font>
    <font>
      <b/>
      <sz val="16"/>
      <color rgb="FF000099"/>
      <name val="Times New Roman"/>
      <family val="1"/>
      <charset val="204"/>
    </font>
    <font>
      <b/>
      <sz val="16"/>
      <color rgb="FF00B050"/>
      <name val="Times New Roman"/>
      <family val="1"/>
      <charset val="204"/>
    </font>
    <font>
      <sz val="16"/>
      <color rgb="FF00B05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sz val="18"/>
      <color rgb="FF00B050"/>
      <name val="Times New Roman"/>
      <family val="1"/>
      <charset val="204"/>
    </font>
    <font>
      <b/>
      <sz val="18"/>
      <color rgb="FF7030A0"/>
      <name val="Times New Roman"/>
      <family val="1"/>
      <charset val="204"/>
    </font>
    <font>
      <b/>
      <sz val="18"/>
      <color rgb="FF00B050"/>
      <name val="Times New Roman"/>
      <family val="1"/>
      <charset val="204"/>
    </font>
    <font>
      <b/>
      <sz val="18"/>
      <color rgb="FF0070C0"/>
      <name val="Times New Roman"/>
      <family val="1"/>
      <charset val="204"/>
    </font>
    <font>
      <b/>
      <sz val="18"/>
      <color rgb="FF000099"/>
      <name val="Times New Roman"/>
      <family val="1"/>
      <charset val="204"/>
    </font>
    <font>
      <b/>
      <sz val="20"/>
      <color rgb="FF00B050"/>
      <name val="Times New Roman"/>
      <family val="1"/>
      <charset val="204"/>
    </font>
    <font>
      <sz val="14"/>
      <color theme="2" tint="-0.499984740745262"/>
      <name val="Times New Roman"/>
      <family val="1"/>
      <charset val="204"/>
    </font>
    <font>
      <sz val="14"/>
      <color theme="4"/>
      <name val="Times New Roman"/>
      <family val="1"/>
      <charset val="204"/>
    </font>
    <font>
      <sz val="14"/>
      <name val="Times New Roman"/>
      <family val="1"/>
      <charset val="204"/>
    </font>
    <font>
      <u/>
      <sz val="16"/>
      <color rgb="FFFF0000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6"/>
      <color theme="1"/>
      <name val="Arial"/>
      <family val="2"/>
      <charset val="204"/>
    </font>
    <font>
      <u/>
      <sz val="16"/>
      <color theme="1"/>
      <name val="Times New Roman"/>
      <family val="1"/>
      <charset val="204"/>
    </font>
    <font>
      <sz val="11"/>
      <color rgb="FFFF0000"/>
      <name val="Arial"/>
      <family val="2"/>
      <charset val="204"/>
    </font>
    <font>
      <sz val="18"/>
      <color rgb="FF000099"/>
      <name val="Times New Roman"/>
      <family val="1"/>
      <charset val="204"/>
    </font>
    <font>
      <sz val="18"/>
      <color rgb="FF00B0F0"/>
      <name val="Times New Roman"/>
      <family val="1"/>
      <charset val="204"/>
    </font>
    <font>
      <b/>
      <sz val="18"/>
      <color rgb="FFC00000"/>
      <name val="Times New Roman"/>
      <family val="1"/>
      <charset val="204"/>
    </font>
    <font>
      <sz val="14"/>
      <color rgb="FF00B0F0"/>
      <name val="Times New Roman"/>
      <family val="1"/>
      <charset val="204"/>
    </font>
    <font>
      <sz val="11"/>
      <color rgb="FF00B0F0"/>
      <name val="Arial"/>
      <family val="2"/>
      <charset val="204"/>
    </font>
    <font>
      <sz val="16"/>
      <color rgb="FF00B0F0"/>
      <name val="Times New Roman"/>
      <family val="1"/>
      <charset val="204"/>
    </font>
    <font>
      <b/>
      <sz val="16"/>
      <color theme="4"/>
      <name val="Times New Roman"/>
      <family val="1"/>
      <charset val="204"/>
    </font>
    <font>
      <sz val="16"/>
      <name val="Times New Roman"/>
      <family val="1"/>
      <charset val="204"/>
    </font>
    <font>
      <sz val="12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b/>
      <sz val="16"/>
      <color rgb="FF22222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2" fontId="5" fillId="0" borderId="0" xfId="0" applyNumberFormat="1" applyFont="1" applyAlignment="1"/>
    <xf numFmtId="0" fontId="6" fillId="0" borderId="0" xfId="0" applyFont="1" applyAlignment="1"/>
    <xf numFmtId="0" fontId="9" fillId="0" borderId="0" xfId="0" applyFont="1" applyAlignment="1">
      <alignment wrapText="1"/>
    </xf>
    <xf numFmtId="2" fontId="9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Alignment="1"/>
    <xf numFmtId="49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2" fontId="13" fillId="2" borderId="1" xfId="0" applyNumberFormat="1" applyFont="1" applyFill="1" applyBorder="1" applyAlignment="1">
      <alignment horizontal="center" vertical="center"/>
    </xf>
    <xf numFmtId="2" fontId="14" fillId="0" borderId="0" xfId="0" applyNumberFormat="1" applyFont="1" applyAlignment="1"/>
    <xf numFmtId="0" fontId="16" fillId="0" borderId="0" xfId="0" applyFont="1" applyAlignment="1"/>
    <xf numFmtId="0" fontId="23" fillId="0" borderId="1" xfId="0" applyFont="1" applyBorder="1" applyAlignment="1">
      <alignment wrapText="1"/>
    </xf>
    <xf numFmtId="49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2" fontId="1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8" fillId="6" borderId="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left" vertical="center" wrapText="1"/>
    </xf>
    <xf numFmtId="2" fontId="13" fillId="6" borderId="1" xfId="0" applyNumberFormat="1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 wrapText="1"/>
    </xf>
    <xf numFmtId="2" fontId="13" fillId="6" borderId="1" xfId="0" applyNumberFormat="1" applyFont="1" applyFill="1" applyBorder="1" applyAlignment="1">
      <alignment horizontal="center" vertical="center"/>
    </xf>
    <xf numFmtId="49" fontId="19" fillId="7" borderId="1" xfId="0" applyNumberFormat="1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wrapText="1"/>
    </xf>
    <xf numFmtId="2" fontId="13" fillId="7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9" fillId="8" borderId="1" xfId="0" applyFont="1" applyFill="1" applyBorder="1" applyAlignment="1">
      <alignment wrapText="1"/>
    </xf>
    <xf numFmtId="2" fontId="18" fillId="7" borderId="1" xfId="0" applyNumberFormat="1" applyFont="1" applyFill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 vertical="center"/>
    </xf>
    <xf numFmtId="49" fontId="44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43" fillId="0" borderId="0" xfId="0" applyFont="1" applyAlignment="1">
      <alignment horizontal="left" vertical="center"/>
    </xf>
    <xf numFmtId="2" fontId="13" fillId="0" borderId="1" xfId="0" applyNumberFormat="1" applyFont="1" applyBorder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49" fontId="13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2" fontId="13" fillId="0" borderId="1" xfId="0" applyNumberFormat="1" applyFont="1" applyBorder="1" applyAlignment="1">
      <alignment horizontal="center"/>
    </xf>
    <xf numFmtId="0" fontId="50" fillId="0" borderId="0" xfId="0" applyFont="1" applyAlignment="1"/>
    <xf numFmtId="0" fontId="47" fillId="0" borderId="1" xfId="0" applyFont="1" applyBorder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54" fillId="0" borderId="0" xfId="0" applyFont="1" applyAlignment="1"/>
    <xf numFmtId="10" fontId="14" fillId="0" borderId="0" xfId="0" applyNumberFormat="1" applyFont="1" applyAlignment="1"/>
    <xf numFmtId="2" fontId="13" fillId="0" borderId="2" xfId="0" applyNumberFormat="1" applyFont="1" applyBorder="1" applyAlignment="1">
      <alignment horizontal="center" vertical="center"/>
    </xf>
    <xf numFmtId="0" fontId="14" fillId="0" borderId="4" xfId="0" applyFont="1" applyBorder="1" applyAlignment="1"/>
    <xf numFmtId="10" fontId="14" fillId="0" borderId="5" xfId="0" applyNumberFormat="1" applyFont="1" applyBorder="1" applyAlignment="1"/>
    <xf numFmtId="2" fontId="13" fillId="0" borderId="2" xfId="0" applyNumberFormat="1" applyFont="1" applyBorder="1" applyAlignment="1">
      <alignment horizontal="center"/>
    </xf>
    <xf numFmtId="0" fontId="56" fillId="0" borderId="0" xfId="0" applyFont="1" applyAlignment="1"/>
    <xf numFmtId="0" fontId="12" fillId="0" borderId="0" xfId="0" applyFont="1" applyAlignment="1">
      <alignment horizontal="center"/>
    </xf>
    <xf numFmtId="2" fontId="14" fillId="0" borderId="4" xfId="0" applyNumberFormat="1" applyFont="1" applyBorder="1" applyAlignment="1"/>
    <xf numFmtId="2" fontId="14" fillId="0" borderId="3" xfId="0" applyNumberFormat="1" applyFont="1" applyBorder="1" applyAlignment="1"/>
    <xf numFmtId="2" fontId="0" fillId="0" borderId="0" xfId="0" applyNumberFormat="1" applyFont="1" applyAlignment="1"/>
    <xf numFmtId="2" fontId="55" fillId="0" borderId="4" xfId="0" applyNumberFormat="1" applyFont="1" applyBorder="1" applyAlignment="1"/>
    <xf numFmtId="2" fontId="14" fillId="0" borderId="0" xfId="0" applyNumberFormat="1" applyFont="1" applyAlignment="1">
      <alignment horizontal="left" indent="10"/>
    </xf>
    <xf numFmtId="2" fontId="14" fillId="0" borderId="4" xfId="0" applyNumberFormat="1" applyFont="1" applyBorder="1" applyAlignment="1">
      <alignment horizontal="left" indent="10"/>
    </xf>
    <xf numFmtId="2" fontId="13" fillId="2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/>
    <xf numFmtId="2" fontId="13" fillId="5" borderId="2" xfId="0" applyNumberFormat="1" applyFont="1" applyFill="1" applyBorder="1" applyAlignment="1">
      <alignment horizontal="center" vertical="center"/>
    </xf>
    <xf numFmtId="0" fontId="14" fillId="0" borderId="6" xfId="0" applyFont="1" applyBorder="1" applyAlignment="1"/>
    <xf numFmtId="0" fontId="14" fillId="0" borderId="7" xfId="0" applyFont="1" applyBorder="1" applyAlignment="1"/>
    <xf numFmtId="10" fontId="14" fillId="0" borderId="8" xfId="0" applyNumberFormat="1" applyFont="1" applyBorder="1" applyAlignment="1"/>
    <xf numFmtId="0" fontId="0" fillId="0" borderId="3" xfId="0" applyFont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Синий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opLeftCell="A58" zoomScale="55" zoomScaleNormal="55" zoomScaleSheetLayoutView="100" workbookViewId="0">
      <selection activeCell="B48" sqref="B48"/>
    </sheetView>
  </sheetViews>
  <sheetFormatPr defaultColWidth="12.625" defaultRowHeight="15" customHeight="1"/>
  <cols>
    <col min="1" max="1" width="6.75" style="1" customWidth="1"/>
    <col min="2" max="2" width="134.375" style="7" customWidth="1"/>
    <col min="3" max="3" width="21.375" style="6" customWidth="1"/>
    <col min="4" max="4" width="29.875" customWidth="1"/>
    <col min="5" max="5" width="33.5" customWidth="1"/>
    <col min="6" max="6" width="25.625" customWidth="1"/>
    <col min="7" max="7" width="25.875" customWidth="1"/>
    <col min="8" max="8" width="23.875" customWidth="1"/>
    <col min="9" max="9" width="25.5" customWidth="1"/>
    <col min="10" max="10" width="21.125" customWidth="1"/>
    <col min="11" max="11" width="22" customWidth="1"/>
    <col min="12" max="12" width="21" customWidth="1"/>
    <col min="13" max="13" width="39" customWidth="1"/>
    <col min="14" max="28" width="7.625" customWidth="1"/>
  </cols>
  <sheetData>
    <row r="1" spans="1:17" ht="30.75" customHeight="1">
      <c r="A1" s="28" t="s">
        <v>0</v>
      </c>
      <c r="B1" s="29" t="s">
        <v>1</v>
      </c>
      <c r="C1" s="30" t="s">
        <v>20</v>
      </c>
      <c r="D1" s="26" t="s">
        <v>193</v>
      </c>
      <c r="E1" s="26" t="s">
        <v>191</v>
      </c>
      <c r="F1" s="26" t="s">
        <v>190</v>
      </c>
      <c r="G1" s="26" t="s">
        <v>186</v>
      </c>
      <c r="H1" s="66" t="s">
        <v>187</v>
      </c>
      <c r="I1" s="66" t="s">
        <v>188</v>
      </c>
      <c r="J1" s="26" t="s">
        <v>184</v>
      </c>
      <c r="K1" s="26" t="s">
        <v>192</v>
      </c>
      <c r="L1" s="26" t="s">
        <v>189</v>
      </c>
      <c r="M1" s="67" t="s">
        <v>185</v>
      </c>
      <c r="N1" s="19"/>
      <c r="O1" s="19"/>
      <c r="P1" s="19"/>
      <c r="Q1" s="19"/>
    </row>
    <row r="2" spans="1:17" ht="76.5" customHeight="1" thickBot="1">
      <c r="A2" s="35" t="s">
        <v>34</v>
      </c>
      <c r="B2" s="36" t="s">
        <v>9</v>
      </c>
      <c r="C2" s="37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43.5" customHeight="1" thickBot="1">
      <c r="A3" s="20" t="s">
        <v>3</v>
      </c>
      <c r="B3" s="18" t="s">
        <v>69</v>
      </c>
      <c r="C3" s="62">
        <v>80</v>
      </c>
      <c r="D3" s="69">
        <f>(1*130*0.004)+(440*0.05)</f>
        <v>22.52</v>
      </c>
      <c r="E3" s="68">
        <f>10*2.5</f>
        <v>25</v>
      </c>
      <c r="F3" s="68">
        <f>E3-(E3*0.14)</f>
        <v>21.5</v>
      </c>
      <c r="G3" s="68">
        <f>D3*0.34</f>
        <v>7.6568000000000005</v>
      </c>
      <c r="H3" s="68">
        <f>D3*0.05</f>
        <v>1.1260000000000001</v>
      </c>
      <c r="I3" s="68">
        <f>D3*0.05</f>
        <v>1.1260000000000001</v>
      </c>
      <c r="J3" s="68">
        <f>C3*0.06</f>
        <v>4.8</v>
      </c>
      <c r="K3" s="68">
        <f>E3*1.52/12</f>
        <v>3.1666666666666665</v>
      </c>
      <c r="L3" s="68">
        <f>D3+E3+G3+H3+I3+J3+K3</f>
        <v>65.395466666666664</v>
      </c>
      <c r="M3" s="64">
        <f>(C3-L3)/C3</f>
        <v>0.1825566666666667</v>
      </c>
      <c r="N3" s="19"/>
      <c r="O3" s="19"/>
      <c r="P3" s="19"/>
      <c r="Q3" s="19"/>
    </row>
    <row r="4" spans="1:17" ht="46.5" customHeight="1" thickBot="1">
      <c r="A4" s="20"/>
      <c r="B4" s="43" t="s">
        <v>149</v>
      </c>
      <c r="C4" s="21"/>
      <c r="D4" s="70"/>
      <c r="E4" s="70"/>
      <c r="F4" s="25"/>
      <c r="G4" s="25"/>
      <c r="H4" s="25"/>
      <c r="I4" s="25"/>
      <c r="J4" s="25"/>
      <c r="K4" s="25"/>
      <c r="L4" s="25"/>
      <c r="M4" s="61"/>
      <c r="N4" s="19"/>
      <c r="O4" s="19"/>
      <c r="P4" s="19"/>
      <c r="Q4" s="19"/>
    </row>
    <row r="5" spans="1:17" ht="51.75" customHeight="1" thickBot="1">
      <c r="A5" s="20" t="s">
        <v>4</v>
      </c>
      <c r="B5" s="18" t="s">
        <v>69</v>
      </c>
      <c r="C5" s="62">
        <v>95</v>
      </c>
      <c r="D5" s="69">
        <f>(1*130*0.004)+(440*0.05)+2.79+3.3</f>
        <v>28.61</v>
      </c>
      <c r="E5" s="68">
        <f>15*2.5</f>
        <v>37.5</v>
      </c>
      <c r="F5" s="68">
        <f>E5-(E5*0.14)</f>
        <v>32.25</v>
      </c>
      <c r="G5" s="68">
        <f t="shared" ref="G5:G67" si="0">D5*0.34</f>
        <v>9.7274000000000012</v>
      </c>
      <c r="H5" s="68">
        <f t="shared" ref="H5:H67" si="1">D5*0.05</f>
        <v>1.4305000000000001</v>
      </c>
      <c r="I5" s="68">
        <f t="shared" ref="I5:I67" si="2">D5*0.05</f>
        <v>1.4305000000000001</v>
      </c>
      <c r="J5" s="68">
        <f t="shared" ref="J5:J67" si="3">C5*0.06</f>
        <v>5.7</v>
      </c>
      <c r="K5" s="68">
        <f t="shared" ref="K5:K67" si="4">E5*1.52/12</f>
        <v>4.75</v>
      </c>
      <c r="L5" s="68">
        <f t="shared" ref="L5:L67" si="5">D5+E5+G5+H5+I5+J5+K5</f>
        <v>89.148399999999995</v>
      </c>
      <c r="M5" s="64">
        <f>(C5-L5)/C5</f>
        <v>6.1595789473684263E-2</v>
      </c>
      <c r="N5" s="19"/>
      <c r="O5" s="19"/>
      <c r="P5" s="19"/>
      <c r="Q5" s="19"/>
    </row>
    <row r="6" spans="1:17" ht="46.5" customHeight="1" thickBot="1">
      <c r="A6" s="20"/>
      <c r="B6" s="43" t="s">
        <v>151</v>
      </c>
      <c r="C6" s="21"/>
      <c r="D6" s="70"/>
      <c r="E6" s="70"/>
      <c r="F6" s="25"/>
      <c r="G6" s="25"/>
      <c r="H6" s="25"/>
      <c r="I6" s="25"/>
      <c r="J6" s="25"/>
      <c r="K6" s="25"/>
      <c r="L6" s="25"/>
      <c r="M6" s="61"/>
      <c r="N6" s="19"/>
      <c r="O6" s="19"/>
      <c r="P6" s="19"/>
      <c r="Q6" s="19"/>
    </row>
    <row r="7" spans="1:17" ht="44.25" customHeight="1" thickBot="1">
      <c r="A7" s="20" t="s">
        <v>5</v>
      </c>
      <c r="B7" s="18" t="s">
        <v>75</v>
      </c>
      <c r="C7" s="62">
        <v>150</v>
      </c>
      <c r="D7" s="69">
        <f>(1*130*0.004)+(440*0.05)+(77.25*0.05)+(43.87*0.04)+2.79+3.3</f>
        <v>34.2273</v>
      </c>
      <c r="E7" s="68">
        <f>30*2.5</f>
        <v>75</v>
      </c>
      <c r="F7" s="68">
        <f t="shared" ref="F7:F67" si="6">E7-(E7*0.13)</f>
        <v>65.25</v>
      </c>
      <c r="G7" s="68">
        <f t="shared" si="0"/>
        <v>11.637282000000001</v>
      </c>
      <c r="H7" s="68">
        <f t="shared" si="1"/>
        <v>1.711365</v>
      </c>
      <c r="I7" s="68">
        <f t="shared" si="2"/>
        <v>1.711365</v>
      </c>
      <c r="J7" s="68">
        <f t="shared" si="3"/>
        <v>9</v>
      </c>
      <c r="K7" s="68">
        <f t="shared" si="4"/>
        <v>9.5</v>
      </c>
      <c r="L7" s="68">
        <f t="shared" si="5"/>
        <v>142.78731199999999</v>
      </c>
      <c r="M7" s="64">
        <f>(C7-L7)/C7</f>
        <v>4.8084586666666762E-2</v>
      </c>
      <c r="N7" s="19"/>
      <c r="O7" s="19"/>
      <c r="P7" s="19"/>
      <c r="Q7" s="19"/>
    </row>
    <row r="8" spans="1:17" ht="56.1" customHeight="1" thickBot="1">
      <c r="A8" s="20"/>
      <c r="B8" s="43" t="s">
        <v>152</v>
      </c>
      <c r="C8" s="21"/>
      <c r="D8" s="70"/>
      <c r="E8" s="25"/>
      <c r="F8" s="25"/>
      <c r="G8" s="25"/>
      <c r="H8" s="25"/>
      <c r="I8" s="25"/>
      <c r="J8" s="25"/>
      <c r="K8" s="25"/>
      <c r="L8" s="25"/>
      <c r="M8" s="61"/>
      <c r="N8" s="19"/>
      <c r="O8" s="19"/>
      <c r="P8" s="19"/>
      <c r="Q8" s="19"/>
    </row>
    <row r="9" spans="1:17" ht="44.25" customHeight="1" thickBot="1">
      <c r="A9" s="20" t="s">
        <v>6</v>
      </c>
      <c r="B9" s="18" t="s">
        <v>75</v>
      </c>
      <c r="C9" s="62">
        <v>125</v>
      </c>
      <c r="D9" s="69">
        <f>(1*130*0.004)+(440*0.05)+(77.25*0.05)+(43.87*0.04)</f>
        <v>28.1373</v>
      </c>
      <c r="E9" s="68">
        <f>25*2.5</f>
        <v>62.5</v>
      </c>
      <c r="F9" s="68">
        <f t="shared" si="6"/>
        <v>54.375</v>
      </c>
      <c r="G9" s="68">
        <f t="shared" si="0"/>
        <v>9.5666820000000001</v>
      </c>
      <c r="H9" s="68">
        <f t="shared" si="1"/>
        <v>1.406865</v>
      </c>
      <c r="I9" s="68">
        <f t="shared" si="2"/>
        <v>1.406865</v>
      </c>
      <c r="J9" s="68">
        <f t="shared" si="3"/>
        <v>7.5</v>
      </c>
      <c r="K9" s="68">
        <f t="shared" si="4"/>
        <v>7.916666666666667</v>
      </c>
      <c r="L9" s="68">
        <f t="shared" si="5"/>
        <v>118.43437866666666</v>
      </c>
      <c r="M9" s="64">
        <f>(C9-L9)/C9</f>
        <v>5.2524970666666719E-2</v>
      </c>
      <c r="N9" s="19"/>
      <c r="O9" s="19"/>
      <c r="P9" s="19"/>
      <c r="Q9" s="19"/>
    </row>
    <row r="10" spans="1:17" ht="44.25" customHeight="1" thickBot="1">
      <c r="A10" s="20"/>
      <c r="B10" s="43" t="s">
        <v>153</v>
      </c>
      <c r="C10" s="21"/>
      <c r="D10" s="70"/>
      <c r="E10" s="25"/>
      <c r="F10" s="25"/>
      <c r="G10" s="25"/>
      <c r="H10" s="25"/>
      <c r="I10" s="25"/>
      <c r="J10" s="25"/>
      <c r="K10" s="25"/>
      <c r="L10" s="25"/>
      <c r="M10" s="61"/>
      <c r="N10" s="19"/>
      <c r="O10" s="19"/>
      <c r="P10" s="19"/>
      <c r="Q10" s="19"/>
    </row>
    <row r="11" spans="1:17" ht="70.5" customHeight="1" thickBot="1">
      <c r="A11" s="20" t="s">
        <v>7</v>
      </c>
      <c r="B11" s="18" t="s">
        <v>74</v>
      </c>
      <c r="C11" s="62">
        <v>180</v>
      </c>
      <c r="D11" s="69">
        <f>(1*130*0.004)+(440*0.05)+(77.25*0.05)+(43.87*0.04)+(80.5*0.02)+2.79+3.3</f>
        <v>35.837299999999999</v>
      </c>
      <c r="E11" s="68">
        <f>32*2.5</f>
        <v>80</v>
      </c>
      <c r="F11" s="68">
        <f t="shared" si="6"/>
        <v>69.599999999999994</v>
      </c>
      <c r="G11" s="68">
        <f t="shared" si="0"/>
        <v>12.184682</v>
      </c>
      <c r="H11" s="68">
        <f t="shared" si="1"/>
        <v>1.791865</v>
      </c>
      <c r="I11" s="68">
        <f t="shared" si="2"/>
        <v>1.791865</v>
      </c>
      <c r="J11" s="68">
        <f t="shared" si="3"/>
        <v>10.799999999999999</v>
      </c>
      <c r="K11" s="68">
        <f t="shared" si="4"/>
        <v>10.133333333333333</v>
      </c>
      <c r="L11" s="68">
        <f t="shared" si="5"/>
        <v>152.53904533333335</v>
      </c>
      <c r="M11" s="64">
        <f>(C11-L11)/C11</f>
        <v>0.15256085925925916</v>
      </c>
      <c r="N11" s="19"/>
      <c r="O11" s="19"/>
      <c r="P11" s="19"/>
      <c r="Q11" s="19"/>
    </row>
    <row r="12" spans="1:17" ht="58.5" customHeight="1" thickBot="1">
      <c r="A12" s="20"/>
      <c r="B12" s="43" t="s">
        <v>154</v>
      </c>
      <c r="C12" s="21"/>
      <c r="D12" s="70"/>
      <c r="E12" s="25"/>
      <c r="F12" s="25"/>
      <c r="G12" s="25"/>
      <c r="H12" s="25"/>
      <c r="I12" s="25"/>
      <c r="J12" s="25"/>
      <c r="K12" s="25"/>
      <c r="L12" s="25"/>
      <c r="M12" s="61"/>
      <c r="N12" s="19"/>
      <c r="O12" s="19"/>
      <c r="P12" s="19"/>
      <c r="Q12" s="19"/>
    </row>
    <row r="13" spans="1:17" ht="70.5" customHeight="1" thickBot="1">
      <c r="A13" s="20" t="s">
        <v>8</v>
      </c>
      <c r="B13" s="18" t="s">
        <v>74</v>
      </c>
      <c r="C13" s="62">
        <v>165</v>
      </c>
      <c r="D13" s="69">
        <f>(1*130*0.004)+(440*0.05)+(77.25*0.05)+(43.87*0.04)+(80.5*0.02)</f>
        <v>29.747299999999999</v>
      </c>
      <c r="E13" s="68">
        <f>27*2.5</f>
        <v>67.5</v>
      </c>
      <c r="F13" s="68">
        <f t="shared" si="6"/>
        <v>58.725000000000001</v>
      </c>
      <c r="G13" s="68">
        <f t="shared" si="0"/>
        <v>10.114082</v>
      </c>
      <c r="H13" s="68">
        <f t="shared" si="1"/>
        <v>1.487365</v>
      </c>
      <c r="I13" s="68">
        <f t="shared" si="2"/>
        <v>1.487365</v>
      </c>
      <c r="J13" s="68">
        <f t="shared" si="3"/>
        <v>9.9</v>
      </c>
      <c r="K13" s="68">
        <f t="shared" si="4"/>
        <v>8.5499999999999989</v>
      </c>
      <c r="L13" s="68">
        <f t="shared" si="5"/>
        <v>128.786112</v>
      </c>
      <c r="M13" s="64">
        <f>(C13-L13)/C13</f>
        <v>0.21947810909090906</v>
      </c>
      <c r="N13" s="19"/>
      <c r="O13" s="19"/>
      <c r="P13" s="19"/>
      <c r="Q13" s="19"/>
    </row>
    <row r="14" spans="1:17" ht="59.25" customHeight="1" thickBot="1">
      <c r="A14" s="20"/>
      <c r="B14" s="43" t="s">
        <v>155</v>
      </c>
      <c r="C14" s="21"/>
      <c r="D14" s="70"/>
      <c r="E14" s="25"/>
      <c r="F14" s="25"/>
      <c r="G14" s="25"/>
      <c r="H14" s="25"/>
      <c r="I14" s="25"/>
      <c r="J14" s="25"/>
      <c r="K14" s="25"/>
      <c r="L14" s="25"/>
      <c r="M14" s="61"/>
      <c r="N14" s="19"/>
      <c r="O14" s="19"/>
      <c r="P14" s="19"/>
      <c r="Q14" s="19"/>
    </row>
    <row r="15" spans="1:17" ht="57.75" customHeight="1" thickBot="1">
      <c r="A15" s="20" t="s">
        <v>30</v>
      </c>
      <c r="B15" s="18" t="s">
        <v>76</v>
      </c>
      <c r="C15" s="62">
        <v>190</v>
      </c>
      <c r="D15" s="69">
        <f>(1*130*0.004)+(440*0.05)+(77.25*0.05)+(43.87*0.04)+(80.5*0.02)+(77.25*0.1)+2.79+3.3</f>
        <v>43.562299999999993</v>
      </c>
      <c r="E15" s="68">
        <f>40*2.5</f>
        <v>100</v>
      </c>
      <c r="F15" s="68">
        <f t="shared" si="6"/>
        <v>87</v>
      </c>
      <c r="G15" s="68">
        <f t="shared" si="0"/>
        <v>14.811181999999999</v>
      </c>
      <c r="H15" s="68">
        <f t="shared" si="1"/>
        <v>2.1781149999999996</v>
      </c>
      <c r="I15" s="68">
        <f t="shared" si="2"/>
        <v>2.1781149999999996</v>
      </c>
      <c r="J15" s="68">
        <f t="shared" si="3"/>
        <v>11.4</v>
      </c>
      <c r="K15" s="68">
        <f t="shared" si="4"/>
        <v>12.666666666666666</v>
      </c>
      <c r="L15" s="68">
        <f t="shared" si="5"/>
        <v>186.79637866666664</v>
      </c>
      <c r="M15" s="64">
        <f>(C15-L15)/C15</f>
        <v>1.6861164912280839E-2</v>
      </c>
      <c r="N15" s="19"/>
      <c r="O15" s="19"/>
      <c r="P15" s="19"/>
      <c r="Q15" s="19"/>
    </row>
    <row r="16" spans="1:17" ht="57.75" customHeight="1" thickBot="1">
      <c r="A16" s="20"/>
      <c r="B16" s="43" t="s">
        <v>156</v>
      </c>
      <c r="C16" s="21"/>
      <c r="D16" s="70"/>
      <c r="E16" s="25"/>
      <c r="F16" s="25"/>
      <c r="G16" s="25"/>
      <c r="H16" s="25"/>
      <c r="I16" s="25"/>
      <c r="J16" s="25"/>
      <c r="K16" s="25"/>
      <c r="L16" s="25"/>
      <c r="M16" s="61"/>
      <c r="N16" s="19"/>
      <c r="O16" s="19"/>
      <c r="P16" s="19"/>
      <c r="Q16" s="19"/>
    </row>
    <row r="17" spans="1:17" ht="57.75" customHeight="1" thickBot="1">
      <c r="A17" s="20" t="s">
        <v>45</v>
      </c>
      <c r="B17" s="18" t="s">
        <v>76</v>
      </c>
      <c r="C17" s="62">
        <v>175</v>
      </c>
      <c r="D17" s="69">
        <f>(1*130*0.004)+(440*0.05)+(77.25*0.05)+(43.87*0.04)+(80.5*0.02)+(77.25*0.1)</f>
        <v>37.472299999999997</v>
      </c>
      <c r="E17" s="68">
        <f>35*2.5</f>
        <v>87.5</v>
      </c>
      <c r="F17" s="68">
        <f t="shared" si="6"/>
        <v>76.125</v>
      </c>
      <c r="G17" s="68">
        <f t="shared" si="0"/>
        <v>12.740582</v>
      </c>
      <c r="H17" s="68">
        <f t="shared" si="1"/>
        <v>1.873615</v>
      </c>
      <c r="I17" s="68">
        <f t="shared" si="2"/>
        <v>1.873615</v>
      </c>
      <c r="J17" s="68">
        <f t="shared" si="3"/>
        <v>10.5</v>
      </c>
      <c r="K17" s="68">
        <f t="shared" si="4"/>
        <v>11.083333333333334</v>
      </c>
      <c r="L17" s="68">
        <f t="shared" si="5"/>
        <v>163.04344533333332</v>
      </c>
      <c r="M17" s="64">
        <f>(C17-L17)/C17</f>
        <v>6.8323169523809582E-2</v>
      </c>
      <c r="N17" s="19"/>
      <c r="O17" s="19"/>
      <c r="P17" s="19"/>
      <c r="Q17" s="19"/>
    </row>
    <row r="18" spans="1:17" ht="57.75" customHeight="1" thickBot="1">
      <c r="A18" s="20"/>
      <c r="B18" s="43" t="s">
        <v>157</v>
      </c>
      <c r="C18" s="21"/>
      <c r="D18" s="70"/>
      <c r="E18" s="25"/>
      <c r="F18" s="25"/>
      <c r="G18" s="25"/>
      <c r="H18" s="25"/>
      <c r="I18" s="25"/>
      <c r="J18" s="25"/>
      <c r="K18" s="25"/>
      <c r="L18" s="25"/>
      <c r="M18" s="61"/>
      <c r="N18" s="19"/>
      <c r="O18" s="19"/>
      <c r="P18" s="19"/>
      <c r="Q18" s="19"/>
    </row>
    <row r="19" spans="1:17" ht="57.75" customHeight="1" thickBot="1">
      <c r="A19" s="20" t="s">
        <v>46</v>
      </c>
      <c r="B19" s="18" t="s">
        <v>77</v>
      </c>
      <c r="C19" s="62">
        <v>230</v>
      </c>
      <c r="D19" s="69">
        <f>(1*130*0.004)+(440*0.05)+(43.87*0.04)+(77.25*0.05)</f>
        <v>28.1373</v>
      </c>
      <c r="E19" s="68">
        <f>27*2.5</f>
        <v>67.5</v>
      </c>
      <c r="F19" s="68">
        <f t="shared" si="6"/>
        <v>58.725000000000001</v>
      </c>
      <c r="G19" s="68">
        <f t="shared" si="0"/>
        <v>9.5666820000000001</v>
      </c>
      <c r="H19" s="68">
        <f t="shared" si="1"/>
        <v>1.406865</v>
      </c>
      <c r="I19" s="68">
        <f t="shared" si="2"/>
        <v>1.406865</v>
      </c>
      <c r="J19" s="68">
        <f t="shared" si="3"/>
        <v>13.799999999999999</v>
      </c>
      <c r="K19" s="68">
        <f t="shared" si="4"/>
        <v>8.5499999999999989</v>
      </c>
      <c r="L19" s="68">
        <f t="shared" si="5"/>
        <v>130.36771199999998</v>
      </c>
      <c r="M19" s="64">
        <f>(C19-L19)/C19</f>
        <v>0.43318386086956528</v>
      </c>
      <c r="N19" s="19"/>
      <c r="O19" s="19"/>
      <c r="P19" s="19"/>
      <c r="Q19" s="19"/>
    </row>
    <row r="20" spans="1:17" ht="57.75" customHeight="1" thickBot="1">
      <c r="A20" s="20"/>
      <c r="B20" s="43" t="s">
        <v>158</v>
      </c>
      <c r="C20" s="21"/>
      <c r="D20" s="70"/>
      <c r="E20" s="25"/>
      <c r="F20" s="25"/>
      <c r="G20" s="25"/>
      <c r="H20" s="25"/>
      <c r="I20" s="25"/>
      <c r="J20" s="25"/>
      <c r="K20" s="25"/>
      <c r="L20" s="25"/>
      <c r="M20" s="61"/>
      <c r="N20" s="19"/>
      <c r="O20" s="19"/>
      <c r="P20" s="19"/>
      <c r="Q20" s="19"/>
    </row>
    <row r="21" spans="1:17" ht="57.75" customHeight="1" thickBot="1">
      <c r="A21" s="20" t="s">
        <v>85</v>
      </c>
      <c r="B21" s="18" t="s">
        <v>77</v>
      </c>
      <c r="C21" s="65">
        <v>245</v>
      </c>
      <c r="D21" s="69">
        <f>(1*130*0.004)+(440*0.05)+(43.87*0.04)+(77.25*0.05)+2.79+3.3</f>
        <v>34.2273</v>
      </c>
      <c r="E21" s="71">
        <f>32*2.5</f>
        <v>80</v>
      </c>
      <c r="F21" s="68">
        <f t="shared" si="6"/>
        <v>69.599999999999994</v>
      </c>
      <c r="G21" s="68">
        <f t="shared" si="0"/>
        <v>11.637282000000001</v>
      </c>
      <c r="H21" s="68">
        <f t="shared" si="1"/>
        <v>1.711365</v>
      </c>
      <c r="I21" s="68">
        <f t="shared" si="2"/>
        <v>1.711365</v>
      </c>
      <c r="J21" s="68">
        <f t="shared" si="3"/>
        <v>14.7</v>
      </c>
      <c r="K21" s="68">
        <f t="shared" si="4"/>
        <v>10.133333333333333</v>
      </c>
      <c r="L21" s="68">
        <f t="shared" si="5"/>
        <v>154.1206453333333</v>
      </c>
      <c r="M21" s="64">
        <f>(C21-L21)/C21</f>
        <v>0.37093614149659876</v>
      </c>
      <c r="N21" s="19"/>
      <c r="O21" s="19"/>
      <c r="P21" s="19"/>
      <c r="Q21" s="19"/>
    </row>
    <row r="22" spans="1:17" ht="57.75" customHeight="1" thickBot="1">
      <c r="A22" s="20"/>
      <c r="B22" s="43" t="s">
        <v>159</v>
      </c>
      <c r="C22" s="21"/>
      <c r="D22" s="70"/>
      <c r="E22" s="25"/>
      <c r="F22" s="25"/>
      <c r="G22" s="25"/>
      <c r="H22" s="25"/>
      <c r="I22" s="25"/>
      <c r="J22" s="25"/>
      <c r="K22" s="25"/>
      <c r="L22" s="25"/>
      <c r="M22" s="61"/>
      <c r="N22" s="19"/>
      <c r="O22" s="19"/>
      <c r="P22" s="19"/>
      <c r="Q22" s="19"/>
    </row>
    <row r="23" spans="1:17" ht="57.75" customHeight="1" thickBot="1">
      <c r="A23" s="20" t="s">
        <v>86</v>
      </c>
      <c r="B23" s="18" t="s">
        <v>78</v>
      </c>
      <c r="C23" s="62">
        <v>265</v>
      </c>
      <c r="D23" s="69">
        <f>(1*130*0.004)+(440*0.05)+(43.87*0.04)+(77.25*0.05)+(80.5*0.02)</f>
        <v>29.747299999999999</v>
      </c>
      <c r="E23" s="68">
        <f>30*2.5</f>
        <v>75</v>
      </c>
      <c r="F23" s="68">
        <f t="shared" si="6"/>
        <v>65.25</v>
      </c>
      <c r="G23" s="68">
        <f t="shared" si="0"/>
        <v>10.114082</v>
      </c>
      <c r="H23" s="68">
        <f t="shared" si="1"/>
        <v>1.487365</v>
      </c>
      <c r="I23" s="68">
        <f t="shared" si="2"/>
        <v>1.487365</v>
      </c>
      <c r="J23" s="68">
        <f t="shared" si="3"/>
        <v>15.899999999999999</v>
      </c>
      <c r="K23" s="68">
        <f t="shared" si="4"/>
        <v>9.5</v>
      </c>
      <c r="L23" s="68">
        <f t="shared" si="5"/>
        <v>143.23611199999999</v>
      </c>
      <c r="M23" s="64">
        <f>(C23-L23)/C23</f>
        <v>0.45948636981132079</v>
      </c>
      <c r="N23" s="19"/>
      <c r="O23" s="19"/>
      <c r="P23" s="19"/>
      <c r="Q23" s="19"/>
    </row>
    <row r="24" spans="1:17" ht="57.75" customHeight="1" thickBot="1">
      <c r="A24" s="20"/>
      <c r="B24" s="43" t="s">
        <v>160</v>
      </c>
      <c r="C24" s="21"/>
      <c r="D24" s="70"/>
      <c r="E24" s="25"/>
      <c r="F24" s="25"/>
      <c r="G24" s="25"/>
      <c r="H24" s="25"/>
      <c r="I24" s="25"/>
      <c r="J24" s="25"/>
      <c r="K24" s="25"/>
      <c r="L24" s="25"/>
      <c r="M24" s="61"/>
      <c r="N24" s="19"/>
      <c r="O24" s="19"/>
      <c r="P24" s="19"/>
      <c r="Q24" s="19"/>
    </row>
    <row r="25" spans="1:17" ht="57.75" customHeight="1" thickBot="1">
      <c r="A25" s="20" t="s">
        <v>87</v>
      </c>
      <c r="B25" s="18" t="s">
        <v>78</v>
      </c>
      <c r="C25" s="62">
        <v>280</v>
      </c>
      <c r="D25" s="69">
        <f>(1*130*0.004)+(440*0.05)+(43.87*0.04)+(77.25*0.05)+(80.5*0.02)+2.79+3.3</f>
        <v>35.837299999999999</v>
      </c>
      <c r="E25" s="68">
        <f>35*2.5</f>
        <v>87.5</v>
      </c>
      <c r="F25" s="68">
        <f t="shared" si="6"/>
        <v>76.125</v>
      </c>
      <c r="G25" s="68">
        <f t="shared" si="0"/>
        <v>12.184682</v>
      </c>
      <c r="H25" s="68">
        <f t="shared" si="1"/>
        <v>1.791865</v>
      </c>
      <c r="I25" s="68">
        <f t="shared" si="2"/>
        <v>1.791865</v>
      </c>
      <c r="J25" s="68">
        <f t="shared" si="3"/>
        <v>16.8</v>
      </c>
      <c r="K25" s="68">
        <f t="shared" si="4"/>
        <v>11.083333333333334</v>
      </c>
      <c r="L25" s="68">
        <f t="shared" si="5"/>
        <v>166.98904533333337</v>
      </c>
      <c r="M25" s="64">
        <f>(C25-L25)/C25</f>
        <v>0.40361055238095228</v>
      </c>
      <c r="N25" s="19"/>
      <c r="O25" s="19"/>
      <c r="P25" s="19"/>
      <c r="Q25" s="19"/>
    </row>
    <row r="26" spans="1:17" ht="57.75" customHeight="1" thickBot="1">
      <c r="A26" s="20"/>
      <c r="B26" s="43" t="s">
        <v>161</v>
      </c>
      <c r="C26" s="21"/>
      <c r="D26" s="70"/>
      <c r="E26" s="25"/>
      <c r="F26" s="25"/>
      <c r="G26" s="25"/>
      <c r="H26" s="25"/>
      <c r="I26" s="25"/>
      <c r="J26" s="25"/>
      <c r="K26" s="25"/>
      <c r="L26" s="25"/>
      <c r="M26" s="61"/>
      <c r="N26" s="19"/>
      <c r="O26" s="19"/>
      <c r="P26" s="19"/>
      <c r="Q26" s="19"/>
    </row>
    <row r="27" spans="1:17" ht="57.75" customHeight="1" thickBot="1">
      <c r="A27" s="20" t="s">
        <v>88</v>
      </c>
      <c r="B27" s="18" t="s">
        <v>79</v>
      </c>
      <c r="C27" s="62">
        <v>285</v>
      </c>
      <c r="D27" s="69">
        <f>(1*130*0.004)+(440*0.05)+(43.87*0.04)+(77.25*0.05)+(80.5*0.02)+(77.25*0.1)</f>
        <v>37.472299999999997</v>
      </c>
      <c r="E27" s="68">
        <f>35*2.5</f>
        <v>87.5</v>
      </c>
      <c r="F27" s="68">
        <f t="shared" si="6"/>
        <v>76.125</v>
      </c>
      <c r="G27" s="68">
        <f t="shared" si="0"/>
        <v>12.740582</v>
      </c>
      <c r="H27" s="68">
        <f t="shared" si="1"/>
        <v>1.873615</v>
      </c>
      <c r="I27" s="68">
        <f t="shared" si="2"/>
        <v>1.873615</v>
      </c>
      <c r="J27" s="68">
        <f t="shared" si="3"/>
        <v>17.099999999999998</v>
      </c>
      <c r="K27" s="68">
        <f t="shared" si="4"/>
        <v>11.083333333333334</v>
      </c>
      <c r="L27" s="68">
        <f t="shared" si="5"/>
        <v>169.64344533333332</v>
      </c>
      <c r="M27" s="64">
        <f>(C27-L27)/C27</f>
        <v>0.40475984093567258</v>
      </c>
      <c r="N27" s="19"/>
      <c r="O27" s="19"/>
      <c r="P27" s="19"/>
      <c r="Q27" s="19"/>
    </row>
    <row r="28" spans="1:17" ht="57.75" customHeight="1" thickBot="1">
      <c r="A28" s="20"/>
      <c r="B28" s="43" t="s">
        <v>162</v>
      </c>
      <c r="C28" s="21"/>
      <c r="D28" s="70"/>
      <c r="E28" s="25"/>
      <c r="F28" s="25"/>
      <c r="G28" s="25"/>
      <c r="H28" s="25"/>
      <c r="I28" s="25"/>
      <c r="J28" s="25"/>
      <c r="K28" s="25"/>
      <c r="L28" s="25"/>
      <c r="M28" s="61"/>
      <c r="N28" s="19"/>
      <c r="O28" s="19"/>
      <c r="P28" s="19"/>
      <c r="Q28" s="19"/>
    </row>
    <row r="29" spans="1:17" ht="57.75" customHeight="1" thickBot="1">
      <c r="A29" s="20" t="s">
        <v>89</v>
      </c>
      <c r="B29" s="18" t="s">
        <v>79</v>
      </c>
      <c r="C29" s="62">
        <v>300</v>
      </c>
      <c r="D29" s="69">
        <f>(1*130*0.004)+(440*0.05)+(43.87*0.04)+(77.25*0.05)+(80.5*0.02)+(77.25*0.1)+2.79+3.3</f>
        <v>43.562299999999993</v>
      </c>
      <c r="E29" s="68">
        <f>40*2.5</f>
        <v>100</v>
      </c>
      <c r="F29" s="68">
        <f t="shared" si="6"/>
        <v>87</v>
      </c>
      <c r="G29" s="68">
        <f t="shared" si="0"/>
        <v>14.811181999999999</v>
      </c>
      <c r="H29" s="68">
        <f t="shared" si="1"/>
        <v>2.1781149999999996</v>
      </c>
      <c r="I29" s="68">
        <f t="shared" si="2"/>
        <v>2.1781149999999996</v>
      </c>
      <c r="J29" s="68">
        <f t="shared" si="3"/>
        <v>18</v>
      </c>
      <c r="K29" s="68">
        <f t="shared" si="4"/>
        <v>12.666666666666666</v>
      </c>
      <c r="L29" s="68">
        <f t="shared" si="5"/>
        <v>193.39637866666664</v>
      </c>
      <c r="M29" s="64">
        <f>(C29-L29)/C29</f>
        <v>0.35534540444444457</v>
      </c>
      <c r="N29" s="19"/>
      <c r="O29" s="19"/>
      <c r="P29" s="19"/>
      <c r="Q29" s="19"/>
    </row>
    <row r="30" spans="1:17" ht="57.75" customHeight="1" thickBot="1">
      <c r="A30" s="20"/>
      <c r="B30" s="43" t="s">
        <v>163</v>
      </c>
      <c r="C30" s="21"/>
      <c r="D30" s="70"/>
      <c r="E30" s="25"/>
      <c r="F30" s="25"/>
      <c r="G30" s="25"/>
      <c r="H30" s="25"/>
      <c r="I30" s="25"/>
      <c r="J30" s="25"/>
      <c r="K30" s="25"/>
      <c r="L30" s="25"/>
      <c r="M30" s="61"/>
      <c r="N30" s="19"/>
      <c r="O30" s="19"/>
      <c r="P30" s="19"/>
      <c r="Q30" s="19"/>
    </row>
    <row r="31" spans="1:17" ht="57.75" customHeight="1" thickBot="1">
      <c r="A31" s="20" t="s">
        <v>90</v>
      </c>
      <c r="B31" s="18" t="s">
        <v>70</v>
      </c>
      <c r="C31" s="62">
        <v>140</v>
      </c>
      <c r="D31" s="69">
        <f>(1*130*0.004)+(440*0.05)</f>
        <v>22.52</v>
      </c>
      <c r="E31" s="68">
        <f>15*2.5</f>
        <v>37.5</v>
      </c>
      <c r="F31" s="68">
        <f t="shared" si="6"/>
        <v>32.625</v>
      </c>
      <c r="G31" s="68">
        <f t="shared" si="0"/>
        <v>7.6568000000000005</v>
      </c>
      <c r="H31" s="68">
        <f t="shared" si="1"/>
        <v>1.1260000000000001</v>
      </c>
      <c r="I31" s="68">
        <f t="shared" si="2"/>
        <v>1.1260000000000001</v>
      </c>
      <c r="J31" s="68">
        <f t="shared" si="3"/>
        <v>8.4</v>
      </c>
      <c r="K31" s="68">
        <f t="shared" si="4"/>
        <v>4.75</v>
      </c>
      <c r="L31" s="68">
        <f t="shared" si="5"/>
        <v>83.078800000000015</v>
      </c>
      <c r="M31" s="64">
        <f>(C31-L31)/C31</f>
        <v>0.40657999999999989</v>
      </c>
      <c r="N31" s="19"/>
      <c r="O31" s="19"/>
      <c r="P31" s="19"/>
      <c r="Q31" s="19"/>
    </row>
    <row r="32" spans="1:17" ht="57.75" customHeight="1" thickBot="1">
      <c r="A32" s="20"/>
      <c r="B32" s="43" t="s">
        <v>164</v>
      </c>
      <c r="C32" s="21"/>
      <c r="D32" s="70"/>
      <c r="E32" s="25"/>
      <c r="F32" s="25"/>
      <c r="G32" s="25"/>
      <c r="H32" s="25"/>
      <c r="I32" s="25"/>
      <c r="J32" s="25"/>
      <c r="K32" s="25"/>
      <c r="L32" s="25"/>
      <c r="M32" s="61"/>
      <c r="N32" s="19"/>
      <c r="O32" s="19"/>
      <c r="P32" s="19"/>
      <c r="Q32" s="19"/>
    </row>
    <row r="33" spans="1:17" ht="57.75" customHeight="1" thickBot="1">
      <c r="A33" s="20" t="s">
        <v>91</v>
      </c>
      <c r="B33" s="18" t="s">
        <v>70</v>
      </c>
      <c r="C33" s="62">
        <v>155</v>
      </c>
      <c r="D33" s="69">
        <f>(1*130*0.004)+(440*0.05)+2.79+3.3</f>
        <v>28.61</v>
      </c>
      <c r="E33" s="68">
        <f>20*2.5</f>
        <v>50</v>
      </c>
      <c r="F33" s="68">
        <f t="shared" si="6"/>
        <v>43.5</v>
      </c>
      <c r="G33" s="68">
        <f t="shared" si="0"/>
        <v>9.7274000000000012</v>
      </c>
      <c r="H33" s="68">
        <f t="shared" si="1"/>
        <v>1.4305000000000001</v>
      </c>
      <c r="I33" s="68">
        <f t="shared" si="2"/>
        <v>1.4305000000000001</v>
      </c>
      <c r="J33" s="68">
        <f t="shared" si="3"/>
        <v>9.2999999999999989</v>
      </c>
      <c r="K33" s="68">
        <f t="shared" si="4"/>
        <v>6.333333333333333</v>
      </c>
      <c r="L33" s="68">
        <f t="shared" si="5"/>
        <v>106.83173333333332</v>
      </c>
      <c r="M33" s="64">
        <f>(C33-L33)/C33</f>
        <v>0.31076301075268825</v>
      </c>
      <c r="N33" s="19"/>
      <c r="O33" s="19"/>
      <c r="P33" s="19"/>
      <c r="Q33" s="19"/>
    </row>
    <row r="34" spans="1:17" ht="57.75" customHeight="1" thickBot="1">
      <c r="A34" s="20"/>
      <c r="B34" s="43" t="s">
        <v>165</v>
      </c>
      <c r="C34" s="21"/>
      <c r="D34" s="70"/>
      <c r="E34" s="25"/>
      <c r="F34" s="25"/>
      <c r="G34" s="25"/>
      <c r="H34" s="25"/>
      <c r="I34" s="25"/>
      <c r="J34" s="25"/>
      <c r="K34" s="25"/>
      <c r="L34" s="25"/>
      <c r="M34" s="61"/>
      <c r="N34" s="19"/>
      <c r="O34" s="19"/>
      <c r="P34" s="19"/>
      <c r="Q34" s="19"/>
    </row>
    <row r="35" spans="1:17" ht="57.75" customHeight="1" thickBot="1">
      <c r="A35" s="20" t="s">
        <v>92</v>
      </c>
      <c r="B35" s="18" t="s">
        <v>49</v>
      </c>
      <c r="C35" s="62">
        <v>290</v>
      </c>
      <c r="D35" s="69">
        <f>(1*130*0.1)+(113*1)+(43.87*0.04)+(77.25*0.05)</f>
        <v>131.6173</v>
      </c>
      <c r="E35" s="68">
        <f>25*2.5</f>
        <v>62.5</v>
      </c>
      <c r="F35" s="68">
        <f t="shared" si="6"/>
        <v>54.375</v>
      </c>
      <c r="G35" s="68">
        <f t="shared" si="0"/>
        <v>44.749882000000007</v>
      </c>
      <c r="H35" s="68">
        <f t="shared" si="1"/>
        <v>6.5808650000000002</v>
      </c>
      <c r="I35" s="68">
        <f t="shared" si="2"/>
        <v>6.5808650000000002</v>
      </c>
      <c r="J35" s="68">
        <f t="shared" si="3"/>
        <v>17.399999999999999</v>
      </c>
      <c r="K35" s="68">
        <f t="shared" si="4"/>
        <v>7.916666666666667</v>
      </c>
      <c r="L35" s="68">
        <f t="shared" si="5"/>
        <v>277.34557866666665</v>
      </c>
      <c r="M35" s="64">
        <f>(C35-L35)/C35</f>
        <v>4.3635935632183952E-2</v>
      </c>
      <c r="N35" s="19"/>
      <c r="O35" s="19"/>
      <c r="P35" s="19"/>
      <c r="Q35" s="19"/>
    </row>
    <row r="36" spans="1:17" ht="57.75" customHeight="1" thickBot="1">
      <c r="A36" s="20"/>
      <c r="B36" s="43" t="s">
        <v>166</v>
      </c>
      <c r="C36" s="21"/>
      <c r="D36" s="70"/>
      <c r="E36" s="25"/>
      <c r="F36" s="25"/>
      <c r="G36" s="25"/>
      <c r="H36" s="25"/>
      <c r="I36" s="25"/>
      <c r="J36" s="25"/>
      <c r="K36" s="25"/>
      <c r="L36" s="25"/>
      <c r="M36" s="61"/>
      <c r="N36" s="19"/>
      <c r="O36" s="19"/>
      <c r="P36" s="19"/>
      <c r="Q36" s="19"/>
    </row>
    <row r="37" spans="1:17" ht="57.75" customHeight="1" thickBot="1">
      <c r="A37" s="20" t="s">
        <v>93</v>
      </c>
      <c r="B37" s="18" t="s">
        <v>49</v>
      </c>
      <c r="C37" s="62">
        <v>305</v>
      </c>
      <c r="D37" s="69">
        <f>(1*130*0.1)+(113*1)+(43.87*0.04)+(77.25*0.05)+2.79+3.3</f>
        <v>137.7073</v>
      </c>
      <c r="E37" s="68">
        <f>30*2.5</f>
        <v>75</v>
      </c>
      <c r="F37" s="68">
        <f t="shared" si="6"/>
        <v>65.25</v>
      </c>
      <c r="G37" s="68">
        <f t="shared" si="0"/>
        <v>46.820482000000005</v>
      </c>
      <c r="H37" s="68">
        <f t="shared" si="1"/>
        <v>6.8853650000000002</v>
      </c>
      <c r="I37" s="68">
        <f t="shared" si="2"/>
        <v>6.8853650000000002</v>
      </c>
      <c r="J37" s="68">
        <f t="shared" si="3"/>
        <v>18.3</v>
      </c>
      <c r="K37" s="68">
        <f t="shared" si="4"/>
        <v>9.5</v>
      </c>
      <c r="L37" s="68">
        <f t="shared" si="5"/>
        <v>301.09851199999997</v>
      </c>
      <c r="M37" s="64">
        <f>(C37-L37)/C37</f>
        <v>1.2791763934426324E-2</v>
      </c>
      <c r="N37" s="19"/>
      <c r="O37" s="19"/>
      <c r="P37" s="19"/>
      <c r="Q37" s="19"/>
    </row>
    <row r="38" spans="1:17" ht="57.75" customHeight="1" thickBot="1">
      <c r="A38" s="20"/>
      <c r="B38" s="43" t="s">
        <v>167</v>
      </c>
      <c r="C38" s="21"/>
      <c r="D38" s="70"/>
      <c r="E38" s="25"/>
      <c r="F38" s="25"/>
      <c r="G38" s="25"/>
      <c r="H38" s="25"/>
      <c r="I38" s="25"/>
      <c r="J38" s="25"/>
      <c r="K38" s="25"/>
      <c r="L38" s="25"/>
      <c r="M38" s="61"/>
      <c r="N38" s="19"/>
      <c r="O38" s="19"/>
      <c r="P38" s="19"/>
      <c r="Q38" s="19"/>
    </row>
    <row r="39" spans="1:17" ht="57.75" customHeight="1" thickBot="1">
      <c r="A39" s="20" t="s">
        <v>94</v>
      </c>
      <c r="B39" s="18" t="s">
        <v>48</v>
      </c>
      <c r="C39" s="62">
        <v>310</v>
      </c>
      <c r="D39" s="69">
        <f>(1*130*0.1)+(113*1)+(43.87*0.04)+(77.25*0.05)+(80.5*0.02)</f>
        <v>133.22730000000001</v>
      </c>
      <c r="E39" s="68">
        <f>27*2.5</f>
        <v>67.5</v>
      </c>
      <c r="F39" s="68">
        <f t="shared" si="6"/>
        <v>58.725000000000001</v>
      </c>
      <c r="G39" s="68">
        <f t="shared" si="0"/>
        <v>45.29728200000001</v>
      </c>
      <c r="H39" s="68">
        <f t="shared" si="1"/>
        <v>6.6613650000000009</v>
      </c>
      <c r="I39" s="68">
        <f t="shared" si="2"/>
        <v>6.6613650000000009</v>
      </c>
      <c r="J39" s="68">
        <f t="shared" si="3"/>
        <v>18.599999999999998</v>
      </c>
      <c r="K39" s="68">
        <f t="shared" si="4"/>
        <v>8.5499999999999989</v>
      </c>
      <c r="L39" s="68">
        <f t="shared" si="5"/>
        <v>286.49731200000002</v>
      </c>
      <c r="M39" s="64">
        <f>(C39-L39)/C39</f>
        <v>7.5815122580645086E-2</v>
      </c>
      <c r="N39" s="19"/>
      <c r="O39" s="19"/>
      <c r="P39" s="19"/>
      <c r="Q39" s="19"/>
    </row>
    <row r="40" spans="1:17" ht="57.75" customHeight="1" thickBot="1">
      <c r="A40" s="20"/>
      <c r="B40" s="43" t="s">
        <v>168</v>
      </c>
      <c r="C40" s="21"/>
      <c r="D40" s="70"/>
      <c r="E40" s="25"/>
      <c r="F40" s="25"/>
      <c r="G40" s="25"/>
      <c r="H40" s="25"/>
      <c r="I40" s="25"/>
      <c r="J40" s="25"/>
      <c r="K40" s="25"/>
      <c r="L40" s="25"/>
      <c r="M40" s="61"/>
      <c r="N40" s="19"/>
      <c r="O40" s="19"/>
      <c r="P40" s="19"/>
      <c r="Q40" s="19"/>
    </row>
    <row r="41" spans="1:17" ht="57.75" customHeight="1" thickBot="1">
      <c r="A41" s="20" t="s">
        <v>95</v>
      </c>
      <c r="B41" s="18" t="s">
        <v>48</v>
      </c>
      <c r="C41" s="62">
        <v>325</v>
      </c>
      <c r="D41" s="69">
        <f>(1*130*0.1)+(113*1)+(43.87*0.04)+(77.25*0.05)+(80.5*0.02)+2.79+3.3</f>
        <v>139.31730000000002</v>
      </c>
      <c r="E41" s="68">
        <f>32*2.5</f>
        <v>80</v>
      </c>
      <c r="F41" s="68">
        <f t="shared" si="6"/>
        <v>69.599999999999994</v>
      </c>
      <c r="G41" s="68">
        <f t="shared" si="0"/>
        <v>47.367882000000009</v>
      </c>
      <c r="H41" s="68">
        <f t="shared" si="1"/>
        <v>6.9658650000000009</v>
      </c>
      <c r="I41" s="68">
        <f t="shared" si="2"/>
        <v>6.9658650000000009</v>
      </c>
      <c r="J41" s="68">
        <f t="shared" si="3"/>
        <v>19.5</v>
      </c>
      <c r="K41" s="68">
        <f t="shared" si="4"/>
        <v>10.133333333333333</v>
      </c>
      <c r="L41" s="68">
        <f t="shared" si="5"/>
        <v>310.2502453333334</v>
      </c>
      <c r="M41" s="64">
        <f>(C41-L41)/C41</f>
        <v>4.5383860512820319E-2</v>
      </c>
      <c r="N41" s="19"/>
      <c r="O41" s="19"/>
      <c r="P41" s="19"/>
      <c r="Q41" s="19"/>
    </row>
    <row r="42" spans="1:17" ht="57.75" customHeight="1" thickBot="1">
      <c r="A42" s="20"/>
      <c r="B42" s="43" t="s">
        <v>169</v>
      </c>
      <c r="C42" s="21"/>
      <c r="D42" s="70"/>
      <c r="E42" s="25"/>
      <c r="F42" s="25"/>
      <c r="G42" s="25"/>
      <c r="H42" s="25"/>
      <c r="I42" s="25"/>
      <c r="J42" s="25"/>
      <c r="K42" s="25"/>
      <c r="L42" s="25"/>
      <c r="M42" s="61"/>
      <c r="N42" s="19"/>
      <c r="O42" s="19"/>
      <c r="P42" s="19"/>
      <c r="Q42" s="19"/>
    </row>
    <row r="43" spans="1:17" ht="57.75" customHeight="1" thickBot="1">
      <c r="A43" s="20" t="s">
        <v>96</v>
      </c>
      <c r="B43" s="18" t="s">
        <v>47</v>
      </c>
      <c r="C43" s="62">
        <v>345</v>
      </c>
      <c r="D43" s="69">
        <f>(1*130*0.1)+(113*1)+(43.87*0.04)+(77.25*0.05)+(80.5*0.02)+(77.25*0.1)</f>
        <v>140.95230000000001</v>
      </c>
      <c r="E43" s="68">
        <f>35*2.5</f>
        <v>87.5</v>
      </c>
      <c r="F43" s="68">
        <f t="shared" si="6"/>
        <v>76.125</v>
      </c>
      <c r="G43" s="68">
        <f t="shared" si="0"/>
        <v>47.923782000000003</v>
      </c>
      <c r="H43" s="68">
        <f t="shared" si="1"/>
        <v>7.0476150000000004</v>
      </c>
      <c r="I43" s="68">
        <f t="shared" si="2"/>
        <v>7.0476150000000004</v>
      </c>
      <c r="J43" s="68">
        <f t="shared" si="3"/>
        <v>20.7</v>
      </c>
      <c r="K43" s="68">
        <f t="shared" si="4"/>
        <v>11.083333333333334</v>
      </c>
      <c r="L43" s="68">
        <f t="shared" si="5"/>
        <v>322.25464533333331</v>
      </c>
      <c r="M43" s="64">
        <f>(C43-L43)/C43</f>
        <v>6.5928564251207786E-2</v>
      </c>
      <c r="N43" s="19"/>
      <c r="O43" s="19"/>
      <c r="P43" s="19"/>
      <c r="Q43" s="19"/>
    </row>
    <row r="44" spans="1:17" ht="57.75" customHeight="1" thickBot="1">
      <c r="A44" s="20"/>
      <c r="B44" s="43" t="s">
        <v>170</v>
      </c>
      <c r="C44" s="21"/>
      <c r="D44" s="70"/>
      <c r="E44" s="25"/>
      <c r="F44" s="25"/>
      <c r="G44" s="25"/>
      <c r="H44" s="25"/>
      <c r="I44" s="25"/>
      <c r="J44" s="25"/>
      <c r="K44" s="25"/>
      <c r="L44" s="25"/>
      <c r="M44" s="61"/>
      <c r="N44" s="19"/>
      <c r="O44" s="19"/>
      <c r="P44" s="19"/>
      <c r="Q44" s="19"/>
    </row>
    <row r="45" spans="1:17" ht="57.75" customHeight="1" thickBot="1">
      <c r="A45" s="20" t="s">
        <v>97</v>
      </c>
      <c r="B45" s="18" t="s">
        <v>47</v>
      </c>
      <c r="C45" s="62">
        <v>360</v>
      </c>
      <c r="D45" s="69">
        <f>(1*130*0.1)+(113*1)+(43.87*0.04)+(77.25*0.05)+(80.5*0.02)+(77.25*0.1)+2.79+3.3</f>
        <v>147.04230000000001</v>
      </c>
      <c r="E45" s="68">
        <f>40*2.5</f>
        <v>100</v>
      </c>
      <c r="F45" s="68">
        <f t="shared" si="6"/>
        <v>87</v>
      </c>
      <c r="G45" s="68">
        <f t="shared" si="0"/>
        <v>49.994382000000009</v>
      </c>
      <c r="H45" s="68">
        <f t="shared" si="1"/>
        <v>7.3521150000000013</v>
      </c>
      <c r="I45" s="68">
        <f t="shared" si="2"/>
        <v>7.3521150000000013</v>
      </c>
      <c r="J45" s="68">
        <f t="shared" si="3"/>
        <v>21.599999999999998</v>
      </c>
      <c r="K45" s="68">
        <f t="shared" si="4"/>
        <v>12.666666666666666</v>
      </c>
      <c r="L45" s="68">
        <f t="shared" si="5"/>
        <v>346.0075786666668</v>
      </c>
      <c r="M45" s="64">
        <f>(C45-L45)/C45</f>
        <v>3.8867837037036661E-2</v>
      </c>
      <c r="N45" s="19"/>
      <c r="O45" s="19"/>
      <c r="P45" s="19"/>
      <c r="Q45" s="19"/>
    </row>
    <row r="46" spans="1:17" ht="57.75" customHeight="1">
      <c r="A46" s="20"/>
      <c r="B46" s="43" t="s">
        <v>171</v>
      </c>
      <c r="C46" s="21"/>
      <c r="D46" s="70"/>
      <c r="E46" s="25"/>
      <c r="F46" s="25"/>
      <c r="G46" s="25"/>
      <c r="H46" s="25"/>
      <c r="I46" s="25"/>
      <c r="J46" s="25"/>
      <c r="K46" s="25"/>
      <c r="L46" s="25"/>
      <c r="M46" s="61"/>
      <c r="N46" s="19"/>
      <c r="O46" s="19"/>
      <c r="P46" s="19"/>
      <c r="Q46" s="19"/>
    </row>
    <row r="47" spans="1:17" ht="57.75" customHeight="1">
      <c r="A47" s="20"/>
      <c r="B47" s="18"/>
      <c r="C47" s="21"/>
      <c r="D47" s="25"/>
      <c r="E47" s="25"/>
      <c r="F47" s="25"/>
      <c r="G47" s="25"/>
      <c r="H47" s="25"/>
      <c r="I47" s="25"/>
      <c r="J47" s="25"/>
      <c r="K47" s="25"/>
      <c r="L47" s="25"/>
      <c r="M47" s="61"/>
      <c r="N47" s="19"/>
      <c r="O47" s="19"/>
      <c r="P47" s="19"/>
      <c r="Q47" s="19"/>
    </row>
    <row r="48" spans="1:17" ht="86.25" customHeight="1" thickBot="1">
      <c r="A48" s="35" t="s">
        <v>10</v>
      </c>
      <c r="B48" s="38" t="s">
        <v>2</v>
      </c>
      <c r="C48" s="39"/>
      <c r="D48" s="25"/>
      <c r="E48" s="25"/>
      <c r="F48" s="25"/>
      <c r="G48" s="25"/>
      <c r="H48" s="25"/>
      <c r="I48" s="25"/>
      <c r="J48" s="25"/>
      <c r="K48" s="25"/>
      <c r="L48" s="25"/>
      <c r="M48" s="61"/>
      <c r="N48" s="19"/>
      <c r="O48" s="19"/>
      <c r="P48" s="19"/>
      <c r="Q48" s="19"/>
    </row>
    <row r="49" spans="1:17" ht="73.5" customHeight="1" thickBot="1">
      <c r="A49" s="20" t="s">
        <v>11</v>
      </c>
      <c r="B49" s="18" t="s">
        <v>18</v>
      </c>
      <c r="C49" s="62">
        <v>130</v>
      </c>
      <c r="D49" s="69">
        <f>(43.87*0.04)+(77.25*0.05)+(80.5*0.02)+(77.25*0.1)+7+(4.4*0.05)</f>
        <v>22.1723</v>
      </c>
      <c r="E49" s="73">
        <f>25*2.5</f>
        <v>62.5</v>
      </c>
      <c r="F49" s="68">
        <f t="shared" si="6"/>
        <v>54.375</v>
      </c>
      <c r="G49" s="68">
        <f t="shared" si="0"/>
        <v>7.5385820000000008</v>
      </c>
      <c r="H49" s="68">
        <f t="shared" si="1"/>
        <v>1.1086150000000001</v>
      </c>
      <c r="I49" s="68">
        <f t="shared" si="2"/>
        <v>1.1086150000000001</v>
      </c>
      <c r="J49" s="68">
        <f t="shared" si="3"/>
        <v>7.8</v>
      </c>
      <c r="K49" s="68">
        <f t="shared" si="4"/>
        <v>7.916666666666667</v>
      </c>
      <c r="L49" s="68">
        <f t="shared" si="5"/>
        <v>110.14477866666668</v>
      </c>
      <c r="M49" s="64">
        <f>(C49-L49)/C49</f>
        <v>0.15273247179487168</v>
      </c>
      <c r="N49" s="19"/>
      <c r="O49" s="19"/>
      <c r="P49" s="19"/>
      <c r="Q49" s="19"/>
    </row>
    <row r="50" spans="1:17" ht="73.5" customHeight="1" thickBot="1">
      <c r="A50" s="20"/>
      <c r="B50" s="43" t="s">
        <v>172</v>
      </c>
      <c r="C50" s="21"/>
      <c r="D50" s="70"/>
      <c r="E50" s="72"/>
      <c r="F50" s="25"/>
      <c r="G50" s="25"/>
      <c r="H50" s="25"/>
      <c r="I50" s="25"/>
      <c r="J50" s="25"/>
      <c r="K50" s="25"/>
      <c r="L50" s="25"/>
      <c r="M50" s="61"/>
      <c r="N50" s="19"/>
      <c r="O50" s="19"/>
      <c r="P50" s="19"/>
      <c r="Q50" s="19"/>
    </row>
    <row r="51" spans="1:17" ht="73.5" customHeight="1" thickBot="1">
      <c r="A51" s="20" t="s">
        <v>19</v>
      </c>
      <c r="B51" s="18" t="s">
        <v>50</v>
      </c>
      <c r="C51" s="62">
        <v>165</v>
      </c>
      <c r="D51" s="69">
        <f>(43.87*0.04)+(77.25*0.05)+(80.5*0.02)+(77.25*0.25)+7+(4.4*0.05)</f>
        <v>33.759799999999998</v>
      </c>
      <c r="E51" s="73">
        <f>30*2.5</f>
        <v>75</v>
      </c>
      <c r="F51" s="68">
        <f t="shared" si="6"/>
        <v>65.25</v>
      </c>
      <c r="G51" s="68">
        <f t="shared" si="0"/>
        <v>11.478332</v>
      </c>
      <c r="H51" s="68">
        <f t="shared" si="1"/>
        <v>1.6879900000000001</v>
      </c>
      <c r="I51" s="68">
        <f t="shared" si="2"/>
        <v>1.6879900000000001</v>
      </c>
      <c r="J51" s="68">
        <f t="shared" si="3"/>
        <v>9.9</v>
      </c>
      <c r="K51" s="68">
        <f t="shared" si="4"/>
        <v>9.5</v>
      </c>
      <c r="L51" s="68">
        <f t="shared" si="5"/>
        <v>143.01411199999998</v>
      </c>
      <c r="M51" s="64">
        <f>(C51-L51)/C51</f>
        <v>0.13324780606060616</v>
      </c>
      <c r="N51" s="19"/>
      <c r="O51" s="19"/>
      <c r="P51" s="19"/>
      <c r="Q51" s="19"/>
    </row>
    <row r="52" spans="1:17" ht="73.5" customHeight="1" thickBot="1">
      <c r="A52" s="20"/>
      <c r="B52" s="43" t="s">
        <v>173</v>
      </c>
      <c r="C52" s="21"/>
      <c r="D52" s="70"/>
      <c r="E52" s="72"/>
      <c r="F52" s="25"/>
      <c r="G52" s="25"/>
      <c r="H52" s="25"/>
      <c r="I52" s="25"/>
      <c r="J52" s="25"/>
      <c r="K52" s="25"/>
      <c r="L52" s="25"/>
      <c r="M52" s="61"/>
      <c r="N52" s="19"/>
      <c r="O52" s="19"/>
      <c r="P52" s="19"/>
      <c r="Q52" s="19"/>
    </row>
    <row r="53" spans="1:17" ht="81.75" customHeight="1" thickBot="1">
      <c r="A53" s="20" t="s">
        <v>21</v>
      </c>
      <c r="B53" s="23" t="s">
        <v>31</v>
      </c>
      <c r="C53" s="62">
        <v>210</v>
      </c>
      <c r="D53" s="69">
        <f>(43.87*0.04)+(77.25*0.05)+(80.5*0.02)+(77.25*0.25)+7+(4.4*0.05)</f>
        <v>33.759799999999998</v>
      </c>
      <c r="E53" s="73">
        <f>30*2.5</f>
        <v>75</v>
      </c>
      <c r="F53" s="68">
        <f t="shared" si="6"/>
        <v>65.25</v>
      </c>
      <c r="G53" s="68">
        <f t="shared" si="0"/>
        <v>11.478332</v>
      </c>
      <c r="H53" s="68">
        <f t="shared" si="1"/>
        <v>1.6879900000000001</v>
      </c>
      <c r="I53" s="68">
        <f t="shared" si="2"/>
        <v>1.6879900000000001</v>
      </c>
      <c r="J53" s="68">
        <f t="shared" si="3"/>
        <v>12.6</v>
      </c>
      <c r="K53" s="68">
        <f t="shared" si="4"/>
        <v>9.5</v>
      </c>
      <c r="L53" s="68">
        <f t="shared" si="5"/>
        <v>145.714112</v>
      </c>
      <c r="M53" s="64">
        <f>(C53-L53)/C53</f>
        <v>0.30612327619047619</v>
      </c>
      <c r="N53" s="19"/>
      <c r="O53" s="19"/>
      <c r="P53" s="19"/>
      <c r="Q53" s="19"/>
    </row>
    <row r="54" spans="1:17" ht="81.75" customHeight="1">
      <c r="A54" s="20"/>
      <c r="B54" s="43" t="s">
        <v>174</v>
      </c>
      <c r="C54" s="21"/>
      <c r="D54" s="70"/>
      <c r="E54" s="72"/>
      <c r="F54" s="25"/>
      <c r="G54" s="25"/>
      <c r="H54" s="25"/>
      <c r="I54" s="25"/>
      <c r="J54" s="25"/>
      <c r="K54" s="25"/>
      <c r="L54" s="25"/>
      <c r="M54" s="61"/>
      <c r="N54" s="19"/>
      <c r="O54" s="19"/>
      <c r="P54" s="19"/>
      <c r="Q54" s="19"/>
    </row>
    <row r="55" spans="1:17" ht="81.75" customHeight="1">
      <c r="A55" s="22"/>
      <c r="B55" s="23"/>
      <c r="C55" s="24"/>
      <c r="D55" s="25"/>
      <c r="E55" s="72"/>
      <c r="F55" s="25"/>
      <c r="G55" s="25"/>
      <c r="H55" s="25"/>
      <c r="I55" s="25"/>
      <c r="J55" s="25"/>
      <c r="K55" s="25"/>
      <c r="L55" s="25"/>
      <c r="M55" s="61"/>
      <c r="N55" s="19"/>
      <c r="O55" s="19"/>
      <c r="P55" s="19"/>
      <c r="Q55" s="19"/>
    </row>
    <row r="56" spans="1:17" ht="81.75" customHeight="1" thickBot="1">
      <c r="A56" s="40" t="s">
        <v>23</v>
      </c>
      <c r="B56" s="41" t="s">
        <v>22</v>
      </c>
      <c r="C56" s="42"/>
      <c r="D56" s="25"/>
      <c r="E56" s="72"/>
      <c r="F56" s="25"/>
      <c r="G56" s="25"/>
      <c r="H56" s="25"/>
      <c r="I56" s="25"/>
      <c r="J56" s="25"/>
      <c r="K56" s="25"/>
      <c r="L56" s="25"/>
      <c r="M56" s="61"/>
      <c r="N56" s="19"/>
      <c r="O56" s="19"/>
      <c r="P56" s="19"/>
      <c r="Q56" s="19"/>
    </row>
    <row r="57" spans="1:17" ht="53.25" customHeight="1" thickBot="1">
      <c r="A57" s="22" t="s">
        <v>24</v>
      </c>
      <c r="B57" s="27" t="s">
        <v>71</v>
      </c>
      <c r="C57" s="74">
        <v>50</v>
      </c>
      <c r="D57" s="69">
        <f>(1*130*0.04)+(68.5*0.05)</f>
        <v>8.625</v>
      </c>
      <c r="E57" s="68">
        <f>10*2.5</f>
        <v>25</v>
      </c>
      <c r="F57" s="68">
        <f t="shared" si="6"/>
        <v>21.75</v>
      </c>
      <c r="G57" s="68">
        <f t="shared" si="0"/>
        <v>2.9325000000000001</v>
      </c>
      <c r="H57" s="68">
        <f t="shared" si="1"/>
        <v>0.43125000000000002</v>
      </c>
      <c r="I57" s="68">
        <f t="shared" si="2"/>
        <v>0.43125000000000002</v>
      </c>
      <c r="J57" s="68">
        <f t="shared" si="3"/>
        <v>3</v>
      </c>
      <c r="K57" s="68">
        <f t="shared" si="4"/>
        <v>3.1666666666666665</v>
      </c>
      <c r="L57" s="68">
        <f t="shared" si="5"/>
        <v>43.586666666666659</v>
      </c>
      <c r="M57" s="64">
        <f>(C57-L57)/C57</f>
        <v>0.12826666666666683</v>
      </c>
      <c r="N57" s="19"/>
      <c r="O57" s="19"/>
      <c r="P57" s="19"/>
      <c r="Q57" s="19"/>
    </row>
    <row r="58" spans="1:17" ht="53.25" customHeight="1" thickBot="1">
      <c r="A58" s="22"/>
      <c r="B58" s="43" t="s">
        <v>175</v>
      </c>
      <c r="C58" s="24"/>
      <c r="D58" s="70"/>
      <c r="E58" s="25"/>
      <c r="F58" s="25"/>
      <c r="G58" s="25"/>
      <c r="H58" s="25"/>
      <c r="I58" s="25"/>
      <c r="J58" s="25"/>
      <c r="K58" s="25"/>
      <c r="L58" s="25"/>
      <c r="M58" s="61"/>
      <c r="N58" s="19"/>
      <c r="O58" s="19"/>
      <c r="P58" s="19"/>
      <c r="Q58" s="19"/>
    </row>
    <row r="59" spans="1:17" ht="62.25" customHeight="1" thickBot="1">
      <c r="A59" s="22" t="s">
        <v>25</v>
      </c>
      <c r="B59" s="27" t="s">
        <v>72</v>
      </c>
      <c r="C59" s="74">
        <v>65</v>
      </c>
      <c r="D59" s="69">
        <f>(1*130*0.04)+(68.5*0.05)</f>
        <v>8.625</v>
      </c>
      <c r="E59" s="68">
        <f>10*2.5</f>
        <v>25</v>
      </c>
      <c r="F59" s="68">
        <f t="shared" si="6"/>
        <v>21.75</v>
      </c>
      <c r="G59" s="68">
        <f t="shared" si="0"/>
        <v>2.9325000000000001</v>
      </c>
      <c r="H59" s="68">
        <f t="shared" si="1"/>
        <v>0.43125000000000002</v>
      </c>
      <c r="I59" s="68">
        <f t="shared" si="2"/>
        <v>0.43125000000000002</v>
      </c>
      <c r="J59" s="68">
        <f t="shared" si="3"/>
        <v>3.9</v>
      </c>
      <c r="K59" s="68">
        <f t="shared" si="4"/>
        <v>3.1666666666666665</v>
      </c>
      <c r="L59" s="68">
        <f t="shared" si="5"/>
        <v>44.486666666666657</v>
      </c>
      <c r="M59" s="64">
        <f>(C59-L59)/C59</f>
        <v>0.31558974358974373</v>
      </c>
      <c r="N59" s="19"/>
      <c r="O59" s="19"/>
      <c r="P59" s="19"/>
      <c r="Q59" s="19"/>
    </row>
    <row r="60" spans="1:17" ht="62.25" customHeight="1" thickBot="1">
      <c r="A60" s="22"/>
      <c r="B60" s="43" t="s">
        <v>176</v>
      </c>
      <c r="C60" s="24"/>
      <c r="D60" s="70"/>
      <c r="E60" s="25"/>
      <c r="F60" s="25"/>
      <c r="G60" s="25"/>
      <c r="H60" s="25"/>
      <c r="I60" s="25"/>
      <c r="J60" s="25"/>
      <c r="K60" s="25"/>
      <c r="L60" s="25"/>
      <c r="M60" s="61"/>
      <c r="N60" s="19"/>
      <c r="O60" s="19"/>
      <c r="P60" s="19"/>
      <c r="Q60" s="19"/>
    </row>
    <row r="61" spans="1:17" ht="53.25" customHeight="1" thickBot="1">
      <c r="A61" s="22" t="s">
        <v>26</v>
      </c>
      <c r="B61" s="27" t="s">
        <v>58</v>
      </c>
      <c r="C61" s="74">
        <v>40</v>
      </c>
      <c r="D61" s="69">
        <f>(77.25*0.08)</f>
        <v>6.18</v>
      </c>
      <c r="E61" s="68">
        <f>10*2.5</f>
        <v>25</v>
      </c>
      <c r="F61" s="68">
        <f t="shared" si="6"/>
        <v>21.75</v>
      </c>
      <c r="G61" s="68">
        <f t="shared" si="0"/>
        <v>2.1012</v>
      </c>
      <c r="H61" s="68">
        <f t="shared" si="1"/>
        <v>0.309</v>
      </c>
      <c r="I61" s="68">
        <f t="shared" si="2"/>
        <v>0.309</v>
      </c>
      <c r="J61" s="68">
        <f t="shared" si="3"/>
        <v>2.4</v>
      </c>
      <c r="K61" s="68">
        <f t="shared" si="4"/>
        <v>3.1666666666666665</v>
      </c>
      <c r="L61" s="68">
        <f t="shared" si="5"/>
        <v>39.465866666666656</v>
      </c>
      <c r="M61" s="64">
        <f>(C61-L61)/C61</f>
        <v>1.3353333333333595E-2</v>
      </c>
      <c r="N61" s="19"/>
      <c r="O61" s="19"/>
      <c r="P61" s="19"/>
      <c r="Q61" s="19"/>
    </row>
    <row r="62" spans="1:17" ht="53.25" customHeight="1">
      <c r="A62" s="22"/>
      <c r="B62" s="27" t="s">
        <v>177</v>
      </c>
      <c r="C62" s="24"/>
      <c r="D62" s="70"/>
      <c r="E62" s="25"/>
      <c r="F62" s="25"/>
      <c r="G62" s="25"/>
      <c r="H62" s="25"/>
      <c r="I62" s="25"/>
      <c r="J62" s="25"/>
      <c r="K62" s="25"/>
      <c r="L62" s="25"/>
      <c r="M62" s="61"/>
      <c r="N62" s="19"/>
      <c r="O62" s="19"/>
      <c r="P62" s="19"/>
      <c r="Q62" s="19"/>
    </row>
    <row r="63" spans="1:17" ht="53.25" customHeight="1">
      <c r="A63" s="22"/>
      <c r="B63" s="27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61"/>
      <c r="N63" s="19"/>
      <c r="O63" s="19"/>
      <c r="P63" s="19"/>
      <c r="Q63" s="19"/>
    </row>
    <row r="64" spans="1:17" ht="60.75" customHeight="1">
      <c r="A64" s="22"/>
      <c r="B64" s="27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61"/>
      <c r="N64" s="19"/>
      <c r="O64" s="19"/>
      <c r="P64" s="19"/>
      <c r="Q64" s="19"/>
    </row>
    <row r="65" spans="1:17" ht="60.75" customHeight="1">
      <c r="A65" s="40" t="s">
        <v>12</v>
      </c>
      <c r="B65" s="44" t="s">
        <v>33</v>
      </c>
      <c r="C65" s="42" t="s">
        <v>57</v>
      </c>
      <c r="D65" s="25"/>
      <c r="E65" s="25"/>
      <c r="F65" s="25"/>
      <c r="G65" s="25"/>
      <c r="H65" s="25"/>
      <c r="I65" s="25"/>
      <c r="J65" s="25"/>
      <c r="K65" s="25"/>
      <c r="L65" s="25"/>
      <c r="M65" s="61"/>
      <c r="N65" s="19"/>
      <c r="O65" s="19"/>
      <c r="P65" s="19"/>
      <c r="Q65" s="19"/>
    </row>
    <row r="66" spans="1:17" ht="60.75" customHeight="1">
      <c r="A66" s="22" t="s">
        <v>13</v>
      </c>
      <c r="B66" s="27" t="s">
        <v>35</v>
      </c>
      <c r="C66" s="24">
        <v>130</v>
      </c>
      <c r="D66" s="25">
        <f>40*2.5</f>
        <v>100</v>
      </c>
      <c r="E66" s="25">
        <v>5</v>
      </c>
      <c r="F66" s="25">
        <f t="shared" si="6"/>
        <v>4.3499999999999996</v>
      </c>
      <c r="G66" s="25">
        <f t="shared" si="0"/>
        <v>34</v>
      </c>
      <c r="H66" s="25">
        <f t="shared" si="1"/>
        <v>5</v>
      </c>
      <c r="I66" s="25">
        <f t="shared" si="2"/>
        <v>5</v>
      </c>
      <c r="J66" s="25">
        <f t="shared" si="3"/>
        <v>7.8</v>
      </c>
      <c r="K66" s="25">
        <f t="shared" si="4"/>
        <v>0.6333333333333333</v>
      </c>
      <c r="L66" s="25">
        <f t="shared" si="5"/>
        <v>157.43333333333334</v>
      </c>
      <c r="M66" s="61">
        <f>(C66-L66)/C66</f>
        <v>-0.21102564102564106</v>
      </c>
      <c r="N66" s="19"/>
      <c r="O66" s="19"/>
      <c r="P66" s="19"/>
      <c r="Q66" s="19"/>
    </row>
    <row r="67" spans="1:17" ht="60.75" customHeight="1">
      <c r="A67" s="22" t="s">
        <v>14</v>
      </c>
      <c r="B67" s="27" t="s">
        <v>36</v>
      </c>
      <c r="C67" s="24">
        <v>155</v>
      </c>
      <c r="D67" s="25"/>
      <c r="E67" s="25">
        <v>5</v>
      </c>
      <c r="F67" s="25">
        <f t="shared" si="6"/>
        <v>4.3499999999999996</v>
      </c>
      <c r="G67" s="25">
        <f t="shared" si="0"/>
        <v>0</v>
      </c>
      <c r="H67" s="25">
        <f t="shared" si="1"/>
        <v>0</v>
      </c>
      <c r="I67" s="25">
        <f t="shared" si="2"/>
        <v>0</v>
      </c>
      <c r="J67" s="25">
        <f t="shared" si="3"/>
        <v>9.2999999999999989</v>
      </c>
      <c r="K67" s="25">
        <f t="shared" si="4"/>
        <v>0.6333333333333333</v>
      </c>
      <c r="L67" s="25">
        <f t="shared" si="5"/>
        <v>14.933333333333332</v>
      </c>
      <c r="M67" s="61">
        <f>(C67-L67)/C67</f>
        <v>0.90365591397849465</v>
      </c>
      <c r="N67" s="19"/>
      <c r="O67" s="19"/>
      <c r="P67" s="19"/>
      <c r="Q67" s="19"/>
    </row>
    <row r="68" spans="1:17" ht="60.75" customHeight="1">
      <c r="A68" s="22" t="s">
        <v>15</v>
      </c>
      <c r="B68" s="27" t="s">
        <v>41</v>
      </c>
      <c r="C68" s="24"/>
      <c r="D68" s="25">
        <f>100*2.5</f>
        <v>250</v>
      </c>
      <c r="E68" s="25">
        <v>5</v>
      </c>
      <c r="F68" s="25">
        <f t="shared" ref="F68:F86" si="7">E68-(E68*0.13)</f>
        <v>4.3499999999999996</v>
      </c>
      <c r="G68" s="25">
        <f t="shared" ref="G68:G86" si="8">D68*0.34</f>
        <v>85</v>
      </c>
      <c r="H68" s="25">
        <f t="shared" ref="H68:H86" si="9">D68*0.05</f>
        <v>12.5</v>
      </c>
      <c r="I68" s="25">
        <f t="shared" ref="I68:I86" si="10">D68*0.05</f>
        <v>12.5</v>
      </c>
      <c r="J68" s="25">
        <f t="shared" ref="J68:J86" si="11">C68*0.06</f>
        <v>0</v>
      </c>
      <c r="K68" s="25">
        <f t="shared" ref="K68:K86" si="12">E68*1.52/12</f>
        <v>0.6333333333333333</v>
      </c>
      <c r="L68" s="25">
        <f t="shared" ref="L68:L86" si="13">D68+E68+G68+H68+I68+J68+K68</f>
        <v>365.63333333333333</v>
      </c>
      <c r="M68" s="61"/>
      <c r="N68" s="19"/>
      <c r="O68" s="19"/>
      <c r="P68" s="19"/>
      <c r="Q68" s="19"/>
    </row>
    <row r="69" spans="1:17" ht="60.75" customHeight="1">
      <c r="A69" s="22" t="s">
        <v>39</v>
      </c>
      <c r="B69" s="27" t="s">
        <v>38</v>
      </c>
      <c r="C69" s="24">
        <v>155</v>
      </c>
      <c r="D69" s="25"/>
      <c r="E69" s="25">
        <v>5</v>
      </c>
      <c r="F69" s="25">
        <f t="shared" si="7"/>
        <v>4.3499999999999996</v>
      </c>
      <c r="G69" s="25">
        <f t="shared" si="8"/>
        <v>0</v>
      </c>
      <c r="H69" s="25">
        <f t="shared" si="9"/>
        <v>0</v>
      </c>
      <c r="I69" s="25">
        <f t="shared" si="10"/>
        <v>0</v>
      </c>
      <c r="J69" s="25">
        <f t="shared" si="11"/>
        <v>9.2999999999999989</v>
      </c>
      <c r="K69" s="25">
        <f t="shared" si="12"/>
        <v>0.6333333333333333</v>
      </c>
      <c r="L69" s="25">
        <f t="shared" si="13"/>
        <v>14.933333333333332</v>
      </c>
      <c r="M69" s="61">
        <f>(C69-L69)/C69</f>
        <v>0.90365591397849465</v>
      </c>
      <c r="N69" s="19"/>
      <c r="O69" s="19"/>
      <c r="P69" s="19"/>
      <c r="Q69" s="19"/>
    </row>
    <row r="70" spans="1:17" ht="60.75" customHeight="1">
      <c r="A70" s="22" t="s">
        <v>40</v>
      </c>
      <c r="B70" s="27" t="s">
        <v>37</v>
      </c>
      <c r="C70" s="24">
        <v>140</v>
      </c>
      <c r="D70" s="25"/>
      <c r="E70" s="25">
        <v>5</v>
      </c>
      <c r="F70" s="25">
        <f t="shared" si="7"/>
        <v>4.3499999999999996</v>
      </c>
      <c r="G70" s="25">
        <f t="shared" si="8"/>
        <v>0</v>
      </c>
      <c r="H70" s="25">
        <f t="shared" si="9"/>
        <v>0</v>
      </c>
      <c r="I70" s="25">
        <f t="shared" si="10"/>
        <v>0</v>
      </c>
      <c r="J70" s="25">
        <f t="shared" si="11"/>
        <v>8.4</v>
      </c>
      <c r="K70" s="25">
        <f t="shared" si="12"/>
        <v>0.6333333333333333</v>
      </c>
      <c r="L70" s="25">
        <f t="shared" si="13"/>
        <v>14.033333333333333</v>
      </c>
      <c r="M70" s="61">
        <f>(C70-L70)/C70</f>
        <v>0.89976190476190476</v>
      </c>
      <c r="N70" s="19"/>
      <c r="O70" s="19"/>
      <c r="P70" s="19"/>
      <c r="Q70" s="19"/>
    </row>
    <row r="71" spans="1:17" ht="60.75" customHeight="1">
      <c r="A71" s="22" t="s">
        <v>16</v>
      </c>
      <c r="B71" s="27" t="s">
        <v>42</v>
      </c>
      <c r="C71" s="24"/>
      <c r="D71" s="25"/>
      <c r="E71" s="25">
        <v>5</v>
      </c>
      <c r="F71" s="25">
        <f t="shared" si="7"/>
        <v>4.3499999999999996</v>
      </c>
      <c r="G71" s="25">
        <f t="shared" si="8"/>
        <v>0</v>
      </c>
      <c r="H71" s="25">
        <f t="shared" si="9"/>
        <v>0</v>
      </c>
      <c r="I71" s="25">
        <f t="shared" si="10"/>
        <v>0</v>
      </c>
      <c r="J71" s="25">
        <f t="shared" si="11"/>
        <v>0</v>
      </c>
      <c r="K71" s="25">
        <f t="shared" si="12"/>
        <v>0.6333333333333333</v>
      </c>
      <c r="L71" s="25">
        <f t="shared" si="13"/>
        <v>5.6333333333333329</v>
      </c>
      <c r="M71" s="61"/>
      <c r="N71" s="19"/>
      <c r="O71" s="19"/>
      <c r="P71" s="19"/>
      <c r="Q71" s="19"/>
    </row>
    <row r="72" spans="1:17" ht="60.75" customHeight="1">
      <c r="A72" s="22" t="s">
        <v>17</v>
      </c>
      <c r="B72" s="27" t="s">
        <v>43</v>
      </c>
      <c r="C72" s="24">
        <v>75</v>
      </c>
      <c r="D72" s="25"/>
      <c r="E72" s="25">
        <v>5</v>
      </c>
      <c r="F72" s="25">
        <f t="shared" si="7"/>
        <v>4.3499999999999996</v>
      </c>
      <c r="G72" s="25">
        <f t="shared" si="8"/>
        <v>0</v>
      </c>
      <c r="H72" s="25">
        <f t="shared" si="9"/>
        <v>0</v>
      </c>
      <c r="I72" s="25">
        <f t="shared" si="10"/>
        <v>0</v>
      </c>
      <c r="J72" s="25">
        <f t="shared" si="11"/>
        <v>4.5</v>
      </c>
      <c r="K72" s="25">
        <f t="shared" si="12"/>
        <v>0.6333333333333333</v>
      </c>
      <c r="L72" s="25">
        <f t="shared" si="13"/>
        <v>10.133333333333333</v>
      </c>
      <c r="M72" s="61">
        <f>(C72-L72)/C72</f>
        <v>0.86488888888888904</v>
      </c>
      <c r="N72" s="19"/>
      <c r="O72" s="19"/>
      <c r="P72" s="19"/>
      <c r="Q72" s="19"/>
    </row>
    <row r="73" spans="1:17" ht="60.75" customHeight="1">
      <c r="A73" s="22"/>
      <c r="B73" s="27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61"/>
      <c r="N73" s="19"/>
      <c r="O73" s="19"/>
      <c r="P73" s="19"/>
      <c r="Q73" s="19"/>
    </row>
    <row r="74" spans="1:17" ht="60.75" customHeight="1" thickBot="1">
      <c r="A74" s="40" t="s">
        <v>54</v>
      </c>
      <c r="B74" s="44" t="s">
        <v>53</v>
      </c>
      <c r="C74" s="45"/>
      <c r="D74" s="25"/>
      <c r="E74" s="25"/>
      <c r="F74" s="25"/>
      <c r="G74" s="25"/>
      <c r="H74" s="25"/>
      <c r="I74" s="25"/>
      <c r="J74" s="25"/>
      <c r="K74" s="25"/>
      <c r="L74" s="25"/>
      <c r="M74" s="61"/>
      <c r="N74" s="19"/>
      <c r="O74" s="19"/>
      <c r="P74" s="19"/>
      <c r="Q74" s="19"/>
    </row>
    <row r="75" spans="1:17" ht="93.6" customHeight="1" thickBot="1">
      <c r="A75" s="20" t="s">
        <v>59</v>
      </c>
      <c r="B75" s="18" t="s">
        <v>109</v>
      </c>
      <c r="C75" s="75">
        <v>1650</v>
      </c>
      <c r="D75" s="69">
        <f>(500*0.015)+(1*130*0.2)+ (68.5*0.5)+(68.5*0.34)+10</f>
        <v>101.04</v>
      </c>
      <c r="E75" s="68">
        <f>260*2.5</f>
        <v>650</v>
      </c>
      <c r="F75" s="68">
        <f t="shared" si="7"/>
        <v>565.5</v>
      </c>
      <c r="G75" s="68">
        <f t="shared" si="8"/>
        <v>34.353600000000007</v>
      </c>
      <c r="H75" s="68">
        <f t="shared" si="9"/>
        <v>5.0520000000000005</v>
      </c>
      <c r="I75" s="68">
        <f t="shared" si="10"/>
        <v>5.0520000000000005</v>
      </c>
      <c r="J75" s="68">
        <f t="shared" si="11"/>
        <v>99</v>
      </c>
      <c r="K75" s="68">
        <f t="shared" si="12"/>
        <v>82.333333333333329</v>
      </c>
      <c r="L75" s="68">
        <f t="shared" si="13"/>
        <v>976.83093333333341</v>
      </c>
      <c r="M75" s="64">
        <f>(C75-L75)/C75</f>
        <v>0.40798125252525247</v>
      </c>
      <c r="N75" s="19"/>
      <c r="O75" s="19"/>
      <c r="P75" s="19"/>
      <c r="Q75" s="19"/>
    </row>
    <row r="76" spans="1:17" ht="87.95" customHeight="1" thickBot="1">
      <c r="A76" s="20"/>
      <c r="B76" s="18" t="s">
        <v>178</v>
      </c>
      <c r="C76" s="56"/>
      <c r="D76" s="70"/>
      <c r="E76" s="70"/>
      <c r="F76" s="25"/>
      <c r="G76" s="25"/>
      <c r="H76" s="25"/>
      <c r="I76" s="25"/>
      <c r="J76" s="25"/>
      <c r="K76" s="25"/>
      <c r="L76" s="25"/>
      <c r="M76" s="61"/>
      <c r="N76" s="19"/>
      <c r="O76" s="19"/>
      <c r="P76" s="19"/>
      <c r="Q76" s="19"/>
    </row>
    <row r="77" spans="1:17" ht="81.95" customHeight="1" thickBot="1">
      <c r="A77" s="20" t="s">
        <v>60</v>
      </c>
      <c r="B77" s="18" t="s">
        <v>110</v>
      </c>
      <c r="C77" s="62">
        <v>1600</v>
      </c>
      <c r="D77" s="69">
        <f>(500*0.015)+(1*130*0.2)+ (68.5*0.5)+(68.5*0.34)+10</f>
        <v>101.04</v>
      </c>
      <c r="E77" s="68">
        <f>250*2.5</f>
        <v>625</v>
      </c>
      <c r="F77" s="68">
        <f t="shared" si="7"/>
        <v>543.75</v>
      </c>
      <c r="G77" s="68">
        <f t="shared" si="8"/>
        <v>34.353600000000007</v>
      </c>
      <c r="H77" s="68">
        <f t="shared" si="9"/>
        <v>5.0520000000000005</v>
      </c>
      <c r="I77" s="68">
        <f t="shared" si="10"/>
        <v>5.0520000000000005</v>
      </c>
      <c r="J77" s="68">
        <f t="shared" si="11"/>
        <v>96</v>
      </c>
      <c r="K77" s="68">
        <f t="shared" si="12"/>
        <v>79.166666666666671</v>
      </c>
      <c r="L77" s="68">
        <f t="shared" si="13"/>
        <v>945.66426666666666</v>
      </c>
      <c r="M77" s="64">
        <f>(C77-L77)/C77</f>
        <v>0.40895983333333336</v>
      </c>
      <c r="N77" s="19"/>
      <c r="O77" s="19"/>
      <c r="P77" s="19"/>
      <c r="Q77" s="19"/>
    </row>
    <row r="78" spans="1:17" ht="90" customHeight="1" thickBot="1">
      <c r="A78" s="20"/>
      <c r="B78" s="18" t="s">
        <v>179</v>
      </c>
      <c r="C78" s="21"/>
      <c r="D78" s="70"/>
      <c r="E78" s="70"/>
      <c r="F78" s="25"/>
      <c r="G78" s="25"/>
      <c r="H78" s="25"/>
      <c r="I78" s="25"/>
      <c r="J78" s="25"/>
      <c r="K78" s="25"/>
      <c r="L78" s="25"/>
      <c r="M78" s="61"/>
      <c r="N78" s="19"/>
      <c r="O78" s="19"/>
      <c r="P78" s="19"/>
      <c r="Q78" s="19"/>
    </row>
    <row r="79" spans="1:17" ht="95.45" customHeight="1" thickBot="1">
      <c r="A79" s="20" t="s">
        <v>61</v>
      </c>
      <c r="B79" s="18" t="s">
        <v>111</v>
      </c>
      <c r="C79" s="62">
        <v>1580</v>
      </c>
      <c r="D79" s="69">
        <f>(500*0.015)+(1*130*0.2)+ (68.5*0.5)+(68.5*0.34)+10</f>
        <v>101.04</v>
      </c>
      <c r="E79" s="68">
        <f>245*2.5</f>
        <v>612.5</v>
      </c>
      <c r="F79" s="68">
        <f t="shared" si="7"/>
        <v>532.875</v>
      </c>
      <c r="G79" s="68">
        <f t="shared" si="8"/>
        <v>34.353600000000007</v>
      </c>
      <c r="H79" s="68">
        <f t="shared" si="9"/>
        <v>5.0520000000000005</v>
      </c>
      <c r="I79" s="68">
        <f t="shared" si="10"/>
        <v>5.0520000000000005</v>
      </c>
      <c r="J79" s="68">
        <f t="shared" si="11"/>
        <v>94.8</v>
      </c>
      <c r="K79" s="68">
        <f t="shared" si="12"/>
        <v>77.583333333333329</v>
      </c>
      <c r="L79" s="68">
        <f t="shared" si="13"/>
        <v>930.38093333333336</v>
      </c>
      <c r="M79" s="64">
        <f>(C79-L79)/C79</f>
        <v>0.4111513080168776</v>
      </c>
      <c r="N79" s="19"/>
      <c r="O79" s="19"/>
      <c r="P79" s="19"/>
      <c r="Q79" s="19"/>
    </row>
    <row r="80" spans="1:17" ht="104.45" customHeight="1" thickBot="1">
      <c r="A80" s="20"/>
      <c r="B80" s="18" t="s">
        <v>180</v>
      </c>
      <c r="C80" s="21"/>
      <c r="D80" s="70"/>
      <c r="E80" s="25"/>
      <c r="F80" s="25"/>
      <c r="G80" s="25"/>
      <c r="H80" s="25"/>
      <c r="I80" s="25"/>
      <c r="J80" s="25"/>
      <c r="K80" s="25"/>
      <c r="L80" s="25"/>
      <c r="M80" s="61"/>
      <c r="N80" s="19"/>
      <c r="O80" s="19"/>
      <c r="P80" s="19"/>
      <c r="Q80" s="19"/>
    </row>
    <row r="81" spans="1:17" ht="97.5" customHeight="1" thickBot="1">
      <c r="A81" s="20" t="s">
        <v>62</v>
      </c>
      <c r="B81" s="18" t="s">
        <v>112</v>
      </c>
      <c r="C81" s="62">
        <v>1550</v>
      </c>
      <c r="D81" s="69">
        <f>(500*0.015)+(1*130*0.2)+ (68.5*0.5)+(68.5*0.34)+10</f>
        <v>101.04</v>
      </c>
      <c r="E81" s="68">
        <f>240*2.5</f>
        <v>600</v>
      </c>
      <c r="F81" s="68">
        <f t="shared" si="7"/>
        <v>522</v>
      </c>
      <c r="G81" s="68">
        <f t="shared" si="8"/>
        <v>34.353600000000007</v>
      </c>
      <c r="H81" s="68">
        <f t="shared" si="9"/>
        <v>5.0520000000000005</v>
      </c>
      <c r="I81" s="68">
        <f t="shared" si="10"/>
        <v>5.0520000000000005</v>
      </c>
      <c r="J81" s="68">
        <f t="shared" si="11"/>
        <v>93</v>
      </c>
      <c r="K81" s="68">
        <f t="shared" si="12"/>
        <v>76</v>
      </c>
      <c r="L81" s="68">
        <f t="shared" si="13"/>
        <v>914.49760000000003</v>
      </c>
      <c r="M81" s="64">
        <f>(C81-L81)/C81</f>
        <v>0.41000154838709674</v>
      </c>
      <c r="N81" s="19"/>
      <c r="O81" s="19"/>
      <c r="P81" s="19"/>
      <c r="Q81" s="19"/>
    </row>
    <row r="82" spans="1:17" ht="97.5" customHeight="1">
      <c r="A82" s="20"/>
      <c r="B82" s="18" t="s">
        <v>181</v>
      </c>
      <c r="C82" s="21"/>
      <c r="F82" s="19"/>
      <c r="G82" s="19"/>
      <c r="H82" s="19"/>
      <c r="I82" s="19"/>
      <c r="J82" s="19"/>
      <c r="K82" s="19"/>
      <c r="L82" s="19"/>
      <c r="M82" s="61"/>
      <c r="N82" s="19"/>
      <c r="O82" s="19"/>
      <c r="P82" s="19"/>
      <c r="Q82" s="19"/>
    </row>
    <row r="83" spans="1:17" ht="63.6" customHeight="1">
      <c r="A83" s="20"/>
      <c r="B83" s="59"/>
      <c r="C83" s="21"/>
      <c r="E83" s="19"/>
      <c r="F83" s="19"/>
      <c r="G83" s="19"/>
      <c r="H83" s="19"/>
      <c r="I83" s="19"/>
      <c r="J83" s="19"/>
      <c r="K83" s="19"/>
      <c r="L83" s="19"/>
      <c r="M83" s="61"/>
      <c r="N83" s="19"/>
      <c r="O83" s="19"/>
      <c r="P83" s="19"/>
      <c r="Q83" s="19"/>
    </row>
    <row r="84" spans="1:17" ht="102" customHeight="1" thickBot="1">
      <c r="A84" s="46" t="s">
        <v>63</v>
      </c>
      <c r="B84" s="49" t="s">
        <v>65</v>
      </c>
      <c r="C84" s="50"/>
      <c r="D84" s="19"/>
      <c r="E84" s="19"/>
      <c r="F84" s="19"/>
      <c r="G84" s="19"/>
      <c r="H84" s="19"/>
      <c r="I84" s="19"/>
      <c r="J84" s="19"/>
      <c r="K84" s="19"/>
      <c r="L84" s="19"/>
      <c r="M84" s="61"/>
      <c r="N84" s="19"/>
      <c r="O84" s="19"/>
      <c r="P84" s="19"/>
      <c r="Q84" s="19"/>
    </row>
    <row r="85" spans="1:17" ht="149.44999999999999" customHeight="1" thickBot="1">
      <c r="A85" s="47" t="s">
        <v>183</v>
      </c>
      <c r="B85" s="18" t="s">
        <v>182</v>
      </c>
      <c r="C85" s="76">
        <v>2500</v>
      </c>
      <c r="D85" s="77"/>
      <c r="E85" s="78">
        <v>930</v>
      </c>
      <c r="F85" s="78">
        <f t="shared" si="7"/>
        <v>809.1</v>
      </c>
      <c r="G85" s="78">
        <f t="shared" si="8"/>
        <v>0</v>
      </c>
      <c r="H85" s="78">
        <f t="shared" si="9"/>
        <v>0</v>
      </c>
      <c r="I85" s="78">
        <f t="shared" si="10"/>
        <v>0</v>
      </c>
      <c r="J85" s="78">
        <f t="shared" si="11"/>
        <v>150</v>
      </c>
      <c r="K85" s="78">
        <f t="shared" si="12"/>
        <v>117.8</v>
      </c>
      <c r="L85" s="78">
        <f t="shared" si="13"/>
        <v>1197.8</v>
      </c>
      <c r="M85" s="79">
        <f>(C85-L85)/C85</f>
        <v>0.52088000000000001</v>
      </c>
      <c r="N85" s="19"/>
      <c r="O85" s="19"/>
      <c r="P85" s="19"/>
      <c r="Q85" s="19"/>
    </row>
    <row r="86" spans="1:17" ht="115.5" customHeight="1" thickBot="1">
      <c r="A86" s="47" t="s">
        <v>64</v>
      </c>
      <c r="B86" s="48" t="s">
        <v>150</v>
      </c>
      <c r="C86" s="76">
        <v>3000</v>
      </c>
      <c r="D86" s="80"/>
      <c r="E86" s="63">
        <v>930</v>
      </c>
      <c r="F86" s="63">
        <f t="shared" si="7"/>
        <v>809.1</v>
      </c>
      <c r="G86" s="63">
        <f t="shared" si="8"/>
        <v>0</v>
      </c>
      <c r="H86" s="63">
        <f t="shared" si="9"/>
        <v>0</v>
      </c>
      <c r="I86" s="63">
        <f t="shared" si="10"/>
        <v>0</v>
      </c>
      <c r="J86" s="63">
        <f t="shared" si="11"/>
        <v>180</v>
      </c>
      <c r="K86" s="63">
        <f t="shared" si="12"/>
        <v>117.8</v>
      </c>
      <c r="L86" s="63">
        <f t="shared" si="13"/>
        <v>1227.8</v>
      </c>
      <c r="M86" s="64">
        <f>(C86-L86)/C86</f>
        <v>0.59073333333333333</v>
      </c>
    </row>
    <row r="87" spans="1:17" ht="24.95" customHeight="1">
      <c r="A87" s="2"/>
      <c r="B87" s="31"/>
      <c r="C87" s="4"/>
    </row>
    <row r="88" spans="1:17" ht="30.75" customHeight="1">
      <c r="A88" s="2"/>
      <c r="B88" s="14"/>
      <c r="C88" s="4"/>
    </row>
    <row r="89" spans="1:17" ht="15.75" customHeight="1">
      <c r="B89" s="15"/>
      <c r="C89" s="4"/>
    </row>
    <row r="90" spans="1:17" ht="15.75" customHeight="1">
      <c r="B90" s="15"/>
      <c r="C90" s="4"/>
    </row>
    <row r="91" spans="1:17" ht="98.45" customHeight="1">
      <c r="A91" s="51"/>
      <c r="B91" s="52"/>
      <c r="C91" s="4"/>
    </row>
    <row r="92" spans="1:17" ht="45.95" customHeight="1">
      <c r="A92" s="53"/>
      <c r="B92" s="54"/>
      <c r="C92" s="4"/>
    </row>
    <row r="93" spans="1:17" ht="30.95" customHeight="1">
      <c r="A93" s="53"/>
      <c r="B93" s="55"/>
      <c r="C93" s="5"/>
    </row>
    <row r="94" spans="1:17" ht="32.450000000000003" customHeight="1">
      <c r="A94" s="53"/>
      <c r="B94" s="55"/>
      <c r="C94" s="4"/>
    </row>
    <row r="95" spans="1:17" ht="34.5" customHeight="1">
      <c r="A95" s="53"/>
      <c r="B95" s="16"/>
      <c r="C95" s="4"/>
    </row>
    <row r="96" spans="1:17" ht="28.5" customHeight="1">
      <c r="A96" s="53"/>
      <c r="B96" s="17"/>
      <c r="C96" s="4"/>
    </row>
    <row r="97" spans="1:4" ht="33.6" customHeight="1">
      <c r="A97" s="53" t="s">
        <v>66</v>
      </c>
      <c r="B97" s="16"/>
    </row>
    <row r="98" spans="1:4" ht="25.5" customHeight="1">
      <c r="A98" s="53" t="s">
        <v>67</v>
      </c>
      <c r="B98" s="3"/>
    </row>
    <row r="99" spans="1:4" ht="35.1" customHeight="1">
      <c r="A99" s="53" t="s">
        <v>68</v>
      </c>
      <c r="B99" s="3"/>
    </row>
    <row r="100" spans="1:4" ht="15.75" customHeight="1">
      <c r="B100" s="3"/>
    </row>
    <row r="101" spans="1:4" ht="15.75" customHeight="1"/>
    <row r="102" spans="1:4" ht="15.75" customHeight="1">
      <c r="C102" s="9"/>
    </row>
    <row r="103" spans="1:4" ht="15.75" customHeight="1">
      <c r="C103" s="34"/>
    </row>
    <row r="104" spans="1:4" ht="15.75" customHeight="1">
      <c r="C104" s="34"/>
      <c r="D104" s="10"/>
    </row>
    <row r="105" spans="1:4" ht="22.5" customHeight="1">
      <c r="C105" s="32"/>
      <c r="D105" s="34"/>
    </row>
    <row r="106" spans="1:4" ht="22.5" customHeight="1">
      <c r="B106" s="8"/>
      <c r="C106" s="33"/>
      <c r="D106" s="34"/>
    </row>
    <row r="107" spans="1:4" ht="22.5" customHeight="1">
      <c r="B107" s="34"/>
      <c r="C107" s="33"/>
      <c r="D107" s="32"/>
    </row>
    <row r="108" spans="1:4" ht="22.5" customHeight="1">
      <c r="B108" s="34"/>
      <c r="C108" s="12"/>
      <c r="D108" s="33"/>
    </row>
    <row r="109" spans="1:4" ht="22.5" customHeight="1">
      <c r="B109" s="32"/>
      <c r="D109" s="33"/>
    </row>
    <row r="110" spans="1:4" ht="15.75" customHeight="1">
      <c r="B110" s="33"/>
      <c r="D110" s="13"/>
    </row>
    <row r="111" spans="1:4" ht="15.75" customHeight="1">
      <c r="B111" s="33"/>
    </row>
    <row r="112" spans="1:4" ht="15.75" customHeight="1">
      <c r="B112" s="11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phoneticPr fontId="3" type="noConversion"/>
  <printOptions horizontalCentered="1"/>
  <pageMargins left="0.70866141732283472" right="0.70866141732283472" top="0.74803149606299213" bottom="0.74803149606299213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opLeftCell="A16" workbookViewId="0">
      <selection activeCell="B23" sqref="B23"/>
    </sheetView>
  </sheetViews>
  <sheetFormatPr defaultRowHeight="14.25"/>
  <cols>
    <col min="2" max="2" width="105.75" customWidth="1"/>
    <col min="4" max="4" width="23.25" customWidth="1"/>
    <col min="5" max="5" width="20.875" customWidth="1"/>
    <col min="6" max="6" width="26.75" customWidth="1"/>
  </cols>
  <sheetData>
    <row r="1" spans="1:6" ht="72.95" customHeight="1">
      <c r="A1" s="22" t="s">
        <v>24</v>
      </c>
      <c r="B1" s="27" t="s">
        <v>80</v>
      </c>
      <c r="C1" s="24">
        <v>70</v>
      </c>
      <c r="D1" s="19"/>
      <c r="E1" s="19"/>
      <c r="F1" s="19">
        <v>25</v>
      </c>
    </row>
    <row r="2" spans="1:6" ht="63.6" customHeight="1">
      <c r="A2" s="22"/>
      <c r="B2" s="43" t="s">
        <v>73</v>
      </c>
      <c r="C2" s="24"/>
      <c r="D2" s="25">
        <v>26</v>
      </c>
      <c r="E2" s="19"/>
      <c r="F2" s="19"/>
    </row>
    <row r="3" spans="1:6" ht="74.45" customHeight="1">
      <c r="A3" s="22" t="s">
        <v>24</v>
      </c>
      <c r="B3" s="27" t="s">
        <v>81</v>
      </c>
      <c r="C3" s="24">
        <v>70</v>
      </c>
      <c r="D3" s="19"/>
      <c r="E3" s="19"/>
      <c r="F3" s="19">
        <v>25</v>
      </c>
    </row>
    <row r="4" spans="1:6" ht="66" customHeight="1">
      <c r="A4" s="22"/>
      <c r="B4" s="43" t="s">
        <v>73</v>
      </c>
      <c r="C4" s="24"/>
      <c r="D4" s="25">
        <v>26</v>
      </c>
      <c r="E4" s="19"/>
      <c r="F4" s="19"/>
    </row>
    <row r="5" spans="1:6" ht="71.45" customHeight="1">
      <c r="A5" s="22" t="s">
        <v>24</v>
      </c>
      <c r="B5" s="27" t="s">
        <v>82</v>
      </c>
      <c r="C5" s="24">
        <v>90</v>
      </c>
      <c r="D5" s="19"/>
      <c r="E5" s="19"/>
      <c r="F5" s="19">
        <v>35</v>
      </c>
    </row>
    <row r="6" spans="1:6" ht="62.45" customHeight="1">
      <c r="A6" s="22"/>
      <c r="B6" s="43" t="s">
        <v>83</v>
      </c>
      <c r="C6" s="24"/>
      <c r="D6" s="25">
        <v>26</v>
      </c>
      <c r="E6" s="19"/>
      <c r="F6" s="19"/>
    </row>
    <row r="7" spans="1:6" ht="62.45" customHeight="1">
      <c r="A7" s="22" t="s">
        <v>44</v>
      </c>
      <c r="B7" s="27" t="s">
        <v>32</v>
      </c>
      <c r="C7" s="24">
        <v>350</v>
      </c>
      <c r="D7" s="19"/>
      <c r="E7" s="19"/>
      <c r="F7" s="19">
        <v>225</v>
      </c>
    </row>
    <row r="8" spans="1:6" ht="62.45" customHeight="1">
      <c r="A8" s="22"/>
      <c r="B8" s="27" t="s">
        <v>105</v>
      </c>
      <c r="C8" s="24"/>
      <c r="D8" s="19">
        <f>(500*0.015)+(6.5*0.2)</f>
        <v>8.8000000000000007</v>
      </c>
      <c r="E8" s="19">
        <v>30</v>
      </c>
      <c r="F8" s="19"/>
    </row>
    <row r="9" spans="1:6" ht="62.45" customHeight="1">
      <c r="A9" s="22"/>
      <c r="B9" s="27" t="s">
        <v>98</v>
      </c>
      <c r="C9" s="24">
        <v>30</v>
      </c>
      <c r="D9" s="19"/>
      <c r="E9" s="19"/>
      <c r="F9" s="19">
        <f>7*2.5</f>
        <v>17.5</v>
      </c>
    </row>
    <row r="10" spans="1:6" ht="62.45" customHeight="1">
      <c r="A10" s="22"/>
      <c r="B10" s="27" t="s">
        <v>104</v>
      </c>
      <c r="C10" s="24"/>
      <c r="D10" s="19">
        <f>(500*0.015)+(6.5*0.2)</f>
        <v>8.8000000000000007</v>
      </c>
      <c r="E10" s="19"/>
      <c r="F10" s="19"/>
    </row>
    <row r="11" spans="1:6" ht="62.45" customHeight="1">
      <c r="A11" s="22"/>
      <c r="B11" s="27" t="s">
        <v>99</v>
      </c>
      <c r="C11" s="24">
        <v>60</v>
      </c>
      <c r="D11" s="19"/>
      <c r="E11" s="19"/>
      <c r="F11" s="19">
        <f>14*2.5</f>
        <v>35</v>
      </c>
    </row>
    <row r="12" spans="1:6" ht="62.45" customHeight="1">
      <c r="A12" s="22"/>
      <c r="B12" s="27" t="s">
        <v>106</v>
      </c>
      <c r="C12" s="24"/>
      <c r="D12" s="19">
        <f>(500*0.03)+(6.5*0.2)</f>
        <v>16.3</v>
      </c>
      <c r="E12" s="19"/>
      <c r="F12" s="19"/>
    </row>
    <row r="13" spans="1:6" ht="62.45" customHeight="1">
      <c r="A13" s="22"/>
      <c r="B13" s="27" t="s">
        <v>100</v>
      </c>
      <c r="C13" s="24">
        <v>80</v>
      </c>
      <c r="D13" s="19"/>
      <c r="E13" s="19"/>
      <c r="F13" s="19">
        <f>14*2.5</f>
        <v>35</v>
      </c>
    </row>
    <row r="14" spans="1:6" ht="62.45" customHeight="1">
      <c r="A14" s="22"/>
      <c r="B14" s="27" t="s">
        <v>107</v>
      </c>
      <c r="C14" s="24"/>
      <c r="D14" s="19">
        <f>(500*0.035)+(6.5*0.2)</f>
        <v>18.8</v>
      </c>
      <c r="E14" s="19"/>
      <c r="F14" s="19"/>
    </row>
    <row r="15" spans="1:6" ht="62.1" customHeight="1">
      <c r="A15" s="22" t="s">
        <v>26</v>
      </c>
      <c r="B15" s="27" t="s">
        <v>51</v>
      </c>
      <c r="C15" s="24">
        <v>70</v>
      </c>
      <c r="D15" s="19"/>
      <c r="E15" s="19"/>
      <c r="F15" s="19">
        <f>10*2.5</f>
        <v>25</v>
      </c>
    </row>
    <row r="16" spans="1:6" ht="72.95" customHeight="1">
      <c r="A16" s="22"/>
      <c r="B16" s="27" t="s">
        <v>103</v>
      </c>
      <c r="C16" s="24"/>
      <c r="D16" s="19">
        <f>(1460*0.005)+(6.5*0.2)</f>
        <v>8.6</v>
      </c>
      <c r="E16" s="19">
        <v>30</v>
      </c>
      <c r="F16" s="19"/>
    </row>
    <row r="17" spans="1:6" ht="52.5" customHeight="1">
      <c r="A17" s="22" t="s">
        <v>27</v>
      </c>
      <c r="B17" s="27" t="s">
        <v>52</v>
      </c>
      <c r="C17" s="24">
        <v>250</v>
      </c>
      <c r="D17" s="19"/>
      <c r="E17" s="19"/>
      <c r="F17" s="19">
        <f>30*2.5</f>
        <v>75</v>
      </c>
    </row>
    <row r="18" spans="1:6" ht="57" customHeight="1">
      <c r="A18" s="22"/>
      <c r="B18" s="27" t="s">
        <v>102</v>
      </c>
      <c r="C18" s="24"/>
      <c r="D18" s="19">
        <f>(1460*0.005)+(6.5*0.2)</f>
        <v>8.6</v>
      </c>
      <c r="E18" s="19">
        <v>35</v>
      </c>
      <c r="F18" s="19"/>
    </row>
    <row r="19" spans="1:6" ht="23.25">
      <c r="A19" s="22"/>
      <c r="B19" s="27"/>
      <c r="C19" s="24"/>
      <c r="D19" s="19"/>
      <c r="E19" s="19"/>
      <c r="F19" s="19"/>
    </row>
    <row r="20" spans="1:6" ht="84" customHeight="1">
      <c r="A20" s="22" t="s">
        <v>28</v>
      </c>
      <c r="B20" s="27" t="s">
        <v>55</v>
      </c>
      <c r="C20" s="24">
        <v>50</v>
      </c>
      <c r="D20" s="19"/>
      <c r="E20" s="19"/>
      <c r="F20" s="19">
        <f>5*2.5</f>
        <v>12.5</v>
      </c>
    </row>
    <row r="21" spans="1:6" ht="76.5" customHeight="1">
      <c r="A21" s="22"/>
      <c r="B21" s="27" t="s">
        <v>101</v>
      </c>
      <c r="C21" s="24"/>
      <c r="D21" s="19">
        <f>(500*0.015)+(6.5*0.2)</f>
        <v>8.8000000000000007</v>
      </c>
      <c r="E21" s="19">
        <v>30</v>
      </c>
      <c r="F21" s="19"/>
    </row>
    <row r="22" spans="1:6" ht="80.099999999999994" customHeight="1">
      <c r="A22" s="22" t="s">
        <v>29</v>
      </c>
      <c r="B22" s="27" t="s">
        <v>56</v>
      </c>
      <c r="C22" s="24">
        <v>25</v>
      </c>
      <c r="D22" s="19"/>
      <c r="E22" s="19"/>
      <c r="F22" s="19">
        <f>5*2.5</f>
        <v>12.5</v>
      </c>
    </row>
    <row r="23" spans="1:6" ht="44.1" customHeight="1">
      <c r="A23" s="57"/>
      <c r="B23" s="58" t="s">
        <v>84</v>
      </c>
      <c r="C23" s="57">
        <v>400</v>
      </c>
      <c r="D23" s="57"/>
      <c r="E23" s="57"/>
      <c r="F23" s="57"/>
    </row>
    <row r="24" spans="1:6" ht="40.5" customHeight="1">
      <c r="A24" s="57"/>
      <c r="B24" s="57" t="s">
        <v>108</v>
      </c>
      <c r="C24" s="57"/>
      <c r="D24" s="57">
        <f>(1130*0.015)</f>
        <v>16.95</v>
      </c>
      <c r="E24" s="57"/>
      <c r="F24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activeCell="I25" sqref="I25"/>
    </sheetView>
  </sheetViews>
  <sheetFormatPr defaultRowHeight="14.25"/>
  <sheetData>
    <row r="1" spans="1:1" ht="15.75">
      <c r="A1" s="60" t="s">
        <v>113</v>
      </c>
    </row>
    <row r="3" spans="1:1" ht="15.75">
      <c r="A3" s="60" t="s">
        <v>114</v>
      </c>
    </row>
    <row r="4" spans="1:1" ht="15.75">
      <c r="A4" s="60" t="s">
        <v>115</v>
      </c>
    </row>
    <row r="6" spans="1:1" ht="15.75">
      <c r="A6" s="60" t="s">
        <v>116</v>
      </c>
    </row>
    <row r="7" spans="1:1" ht="15.75">
      <c r="A7" s="60" t="s">
        <v>117</v>
      </c>
    </row>
    <row r="9" spans="1:1" ht="15.75">
      <c r="A9" s="60" t="s">
        <v>118</v>
      </c>
    </row>
    <row r="10" spans="1:1" ht="15.75">
      <c r="A10" s="60" t="s">
        <v>119</v>
      </c>
    </row>
    <row r="11" spans="1:1" ht="15.75">
      <c r="A11" s="60" t="s">
        <v>120</v>
      </c>
    </row>
    <row r="12" spans="1:1" ht="15.75">
      <c r="A12" s="60" t="s">
        <v>121</v>
      </c>
    </row>
    <row r="13" spans="1:1" ht="15.75">
      <c r="A13" s="60" t="s">
        <v>122</v>
      </c>
    </row>
    <row r="14" spans="1:1" ht="15.75">
      <c r="A14" s="60" t="s">
        <v>123</v>
      </c>
    </row>
    <row r="15" spans="1:1" ht="15.75">
      <c r="A15" s="60" t="s">
        <v>124</v>
      </c>
    </row>
    <row r="16" spans="1:1" ht="15.75">
      <c r="A16" s="60" t="s">
        <v>125</v>
      </c>
    </row>
    <row r="17" spans="1:1" ht="15.75">
      <c r="A17" s="60" t="s">
        <v>126</v>
      </c>
    </row>
    <row r="18" spans="1:1" ht="15.75">
      <c r="A18" s="60" t="s">
        <v>127</v>
      </c>
    </row>
    <row r="19" spans="1:1" ht="15.75">
      <c r="A19" s="60" t="s">
        <v>128</v>
      </c>
    </row>
    <row r="20" spans="1:1" ht="15.75">
      <c r="A20" s="60" t="s">
        <v>129</v>
      </c>
    </row>
    <row r="21" spans="1:1" ht="15.75">
      <c r="A21" s="60" t="s">
        <v>130</v>
      </c>
    </row>
    <row r="22" spans="1:1" ht="15.75">
      <c r="A22" s="60" t="s">
        <v>131</v>
      </c>
    </row>
    <row r="23" spans="1:1" ht="15.75">
      <c r="A23" s="60" t="s">
        <v>132</v>
      </c>
    </row>
    <row r="24" spans="1:1" ht="15.75">
      <c r="A24" s="60" t="s">
        <v>133</v>
      </c>
    </row>
    <row r="25" spans="1:1" ht="15.75">
      <c r="A25" s="60" t="s">
        <v>134</v>
      </c>
    </row>
    <row r="26" spans="1:1" ht="15.75">
      <c r="A26" s="60" t="s">
        <v>135</v>
      </c>
    </row>
    <row r="27" spans="1:1" ht="15.75">
      <c r="A27" s="60" t="s">
        <v>136</v>
      </c>
    </row>
    <row r="28" spans="1:1" ht="15.75">
      <c r="A28" s="60" t="s">
        <v>132</v>
      </c>
    </row>
    <row r="29" spans="1:1" ht="15.75">
      <c r="A29" s="60" t="s">
        <v>133</v>
      </c>
    </row>
    <row r="30" spans="1:1" ht="15.75">
      <c r="A30" s="60" t="s">
        <v>134</v>
      </c>
    </row>
    <row r="31" spans="1:1" ht="15.75">
      <c r="A31" s="60" t="s">
        <v>137</v>
      </c>
    </row>
    <row r="32" spans="1:1" ht="15.75">
      <c r="A32" s="60" t="s">
        <v>138</v>
      </c>
    </row>
    <row r="33" spans="1:1" ht="15.75">
      <c r="A33" s="60" t="s">
        <v>135</v>
      </c>
    </row>
    <row r="34" spans="1:1" ht="15.75">
      <c r="A34" s="60" t="s">
        <v>139</v>
      </c>
    </row>
    <row r="35" spans="1:1" ht="15.75">
      <c r="A35" s="60" t="s">
        <v>140</v>
      </c>
    </row>
    <row r="36" spans="1:1" ht="15.75">
      <c r="A36" s="60" t="s">
        <v>141</v>
      </c>
    </row>
    <row r="37" spans="1:1" ht="15.75">
      <c r="A37" s="60" t="s">
        <v>142</v>
      </c>
    </row>
    <row r="38" spans="1:1" ht="15.75">
      <c r="A38" s="60" t="s">
        <v>143</v>
      </c>
    </row>
    <row r="39" spans="1:1" ht="15.75">
      <c r="A39" s="60" t="s">
        <v>144</v>
      </c>
    </row>
    <row r="40" spans="1:1" ht="15.75">
      <c r="A40" s="60" t="s">
        <v>133</v>
      </c>
    </row>
    <row r="41" spans="1:1" ht="15.75">
      <c r="A41" s="60" t="s">
        <v>134</v>
      </c>
    </row>
    <row r="42" spans="1:1" ht="15.75">
      <c r="A42" s="60" t="s">
        <v>145</v>
      </c>
    </row>
    <row r="43" spans="1:1" ht="15.75">
      <c r="A43" s="60" t="s">
        <v>146</v>
      </c>
    </row>
    <row r="44" spans="1:1" ht="15.75">
      <c r="A44" s="60" t="s">
        <v>147</v>
      </c>
    </row>
    <row r="45" spans="1:1" ht="15.75">
      <c r="A45" s="60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P26" sqref="P26"/>
    </sheetView>
  </sheetViews>
  <sheetFormatPr defaultRowHeight="14.25"/>
  <sheetData>
    <row r="1" spans="1:4">
      <c r="A1" s="81" t="s">
        <v>194</v>
      </c>
      <c r="D1">
        <v>6500</v>
      </c>
    </row>
    <row r="2" spans="1:4">
      <c r="A2" s="81" t="s">
        <v>195</v>
      </c>
      <c r="D2">
        <v>1500</v>
      </c>
    </row>
    <row r="3" spans="1:4">
      <c r="A3" s="81" t="s">
        <v>196</v>
      </c>
      <c r="D3">
        <v>1800</v>
      </c>
    </row>
    <row r="4" spans="1:4">
      <c r="A4" s="81" t="s">
        <v>197</v>
      </c>
      <c r="D4">
        <v>800</v>
      </c>
    </row>
    <row r="5" spans="1:4">
      <c r="A5" s="81" t="s">
        <v>198</v>
      </c>
    </row>
    <row r="6" spans="1:4">
      <c r="A6" s="81" t="s">
        <v>199</v>
      </c>
      <c r="D6">
        <v>1500</v>
      </c>
    </row>
    <row r="7" spans="1:4">
      <c r="A7" s="8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Основное</vt:lpstr>
      <vt:lpstr>3Д печать</vt:lpstr>
      <vt:lpstr>Лист1</vt:lpstr>
      <vt:lpstr>Лист2</vt:lpstr>
      <vt:lpstr>Основное!Область_печати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Пользователь</cp:lastModifiedBy>
  <cp:lastPrinted>2021-01-26T14:48:01Z</cp:lastPrinted>
  <dcterms:created xsi:type="dcterms:W3CDTF">2021-01-26T09:43:27Z</dcterms:created>
  <dcterms:modified xsi:type="dcterms:W3CDTF">2021-12-14T14:53:00Z</dcterms:modified>
</cp:coreProperties>
</file>