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trlProps/ctrlProp1.xml" ContentType="application/vnd.ms-excel.controlproperti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1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3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4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5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INCENTLAM\Box\IBM Cloud Capacity\Information and Instructions\Excel Cookbook\"/>
    </mc:Choice>
  </mc:AlternateContent>
  <xr:revisionPtr revIDLastSave="0" documentId="13_ncr:1_{4A1976FC-E3BC-47B9-901B-9EAF30164229}" xr6:coauthVersionLast="47" xr6:coauthVersionMax="47" xr10:uidLastSave="{00000000-0000-0000-0000-000000000000}"/>
  <bookViews>
    <workbookView xWindow="1260" yWindow="1140" windowWidth="26775" windowHeight="13530" tabRatio="781" xr2:uid="{E9ACDD88-AC4A-4956-944D-04FCF097A9B2}"/>
  </bookViews>
  <sheets>
    <sheet name="cover" sheetId="14" r:id="rId1"/>
    <sheet name="multicategory" sheetId="2" r:id="rId2"/>
    <sheet name="gauge" sheetId="3" r:id="rId3"/>
    <sheet name="milestone" sheetId="4" r:id="rId4"/>
    <sheet name="gantt" sheetId="5" r:id="rId5"/>
    <sheet name="trend_arrows" sheetId="6" r:id="rId6"/>
    <sheet name="versus_bar" sheetId="7" r:id="rId7"/>
    <sheet name="scatter_spot" sheetId="1" r:id="rId8"/>
    <sheet name="target_bar" sheetId="9" r:id="rId9"/>
    <sheet name="timeline_events" sheetId="8" r:id="rId10"/>
    <sheet name="total_bar" sheetId="11" r:id="rId11"/>
    <sheet name="custom_bar" sheetId="12" r:id="rId12"/>
    <sheet name="map" sheetId="13" r:id="rId13"/>
    <sheet name="box_plot" sheetId="15" r:id="rId14"/>
    <sheet name="panel" sheetId="16" r:id="rId15"/>
    <sheet name="custom_y-axis" sheetId="17" r:id="rId16"/>
    <sheet name="dynamic_legend" sheetId="18" r:id="rId17"/>
    <sheet name="chart_break" sheetId="19" r:id="rId18"/>
    <sheet name="dynamic_range" sheetId="20" r:id="rId19"/>
  </sheets>
  <definedNames>
    <definedName name="DateNM" comment="Date Defined Name which refers to a formula and inserted into the graph.">dynamic_range!$J$8:INDEX(dynamic_range!$J$8:$J$26,MATCH(1,dynamic_range!$B$8:$B$26,0))</definedName>
    <definedName name="ValueNM" comment="Value Defined Name which refers to a formula and inserted into the graph.">dynamic_range!$F$8:INDEX(dynamic_range!$F$8:$F$26,MATCH(1,dynamic_range!$B$8:$B$26,0))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" i="3" l="1"/>
  <c r="P24" i="3"/>
  <c r="C23" i="3"/>
  <c r="C31" i="3"/>
  <c r="C28" i="3"/>
  <c r="P8" i="3" l="1"/>
  <c r="P12" i="3"/>
  <c r="P14" i="3"/>
  <c r="N7" i="20"/>
  <c r="B8" i="20"/>
  <c r="B9" i="20" s="1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D14" i="19"/>
  <c r="D7" i="19"/>
  <c r="D8" i="19"/>
  <c r="D9" i="19"/>
  <c r="D10" i="19"/>
  <c r="D11" i="19"/>
  <c r="D12" i="19"/>
  <c r="D13" i="19"/>
  <c r="L6" i="19"/>
  <c r="L14" i="19"/>
  <c r="K14" i="19"/>
  <c r="J14" i="19"/>
  <c r="L13" i="19"/>
  <c r="K13" i="19"/>
  <c r="J13" i="19"/>
  <c r="L12" i="19"/>
  <c r="K12" i="19"/>
  <c r="J12" i="19"/>
  <c r="L11" i="19"/>
  <c r="K11" i="19"/>
  <c r="J11" i="19"/>
  <c r="L10" i="19"/>
  <c r="K10" i="19"/>
  <c r="J10" i="19"/>
  <c r="L9" i="19"/>
  <c r="K9" i="19"/>
  <c r="J9" i="19"/>
  <c r="L8" i="19"/>
  <c r="K8" i="19"/>
  <c r="J8" i="19"/>
  <c r="L7" i="19"/>
  <c r="K7" i="19"/>
  <c r="J7" i="19"/>
  <c r="K6" i="19"/>
  <c r="J6" i="19"/>
  <c r="C9" i="20" l="1"/>
  <c r="J9" i="20" s="1"/>
  <c r="B10" i="20"/>
  <c r="C8" i="20"/>
  <c r="J8" i="20" s="1"/>
  <c r="L57" i="18"/>
  <c r="L56" i="18"/>
  <c r="L55" i="18"/>
  <c r="L54" i="18"/>
  <c r="L53" i="18"/>
  <c r="L52" i="18"/>
  <c r="L51" i="18"/>
  <c r="L50" i="18"/>
  <c r="I18" i="18"/>
  <c r="I17" i="18"/>
  <c r="I16" i="18"/>
  <c r="I15" i="18"/>
  <c r="O16" i="18"/>
  <c r="F8" i="20" l="1"/>
  <c r="F9" i="20"/>
  <c r="D8" i="20"/>
  <c r="E8" i="20"/>
  <c r="D9" i="20"/>
  <c r="E9" i="20"/>
  <c r="C10" i="20"/>
  <c r="J10" i="20" s="1"/>
  <c r="B11" i="20"/>
  <c r="I19" i="18"/>
  <c r="O17" i="18"/>
  <c r="M18" i="18" a="1"/>
  <c r="M18" i="18" s="1"/>
  <c r="M17" i="18" a="1"/>
  <c r="M17" i="18" s="1"/>
  <c r="M16" i="18" a="1"/>
  <c r="M16" i="18" s="1"/>
  <c r="M15" i="18" a="1"/>
  <c r="M15" i="18" s="1"/>
  <c r="H19" i="18"/>
  <c r="G19" i="18"/>
  <c r="F19" i="18"/>
  <c r="E19" i="18"/>
  <c r="D19" i="18"/>
  <c r="C19" i="18"/>
  <c r="H14" i="15"/>
  <c r="G14" i="15"/>
  <c r="F10" i="20" l="1"/>
  <c r="E10" i="20"/>
  <c r="D10" i="20"/>
  <c r="B12" i="20"/>
  <c r="C11" i="20"/>
  <c r="J11" i="20" s="1"/>
  <c r="N17" i="18"/>
  <c r="N15" i="18"/>
  <c r="P15" i="18" s="1"/>
  <c r="Q15" i="18" s="1" a="1"/>
  <c r="Q15" i="18" s="1"/>
  <c r="L27" i="18" s="1"/>
  <c r="N16" i="18"/>
  <c r="N18" i="18"/>
  <c r="O18" i="18"/>
  <c r="H9" i="15"/>
  <c r="H8" i="15"/>
  <c r="H7" i="15"/>
  <c r="H6" i="15"/>
  <c r="G9" i="15"/>
  <c r="G8" i="15"/>
  <c r="G7" i="15"/>
  <c r="G6" i="15"/>
  <c r="H5" i="15"/>
  <c r="G5" i="15"/>
  <c r="F11" i="20" l="1"/>
  <c r="D11" i="20"/>
  <c r="E11" i="20"/>
  <c r="B13" i="20"/>
  <c r="C12" i="20"/>
  <c r="J12" i="20" s="1"/>
  <c r="P16" i="18"/>
  <c r="Q16" i="18" s="1" a="1"/>
  <c r="Q16" i="18" s="1"/>
  <c r="L28" i="18" s="1"/>
  <c r="P17" i="18"/>
  <c r="Q17" i="18" s="1" a="1"/>
  <c r="Q17" i="18" s="1"/>
  <c r="L29" i="18" s="1"/>
  <c r="O19" i="18"/>
  <c r="P18" i="18"/>
  <c r="Q18" i="18" s="1" a="1"/>
  <c r="Q18" i="18" s="1"/>
  <c r="L30" i="18" s="1"/>
  <c r="H12" i="15"/>
  <c r="G11" i="15"/>
  <c r="G17" i="15"/>
  <c r="G12" i="15"/>
  <c r="G16" i="15"/>
  <c r="H17" i="15"/>
  <c r="H11" i="15"/>
  <c r="H13" i="15"/>
  <c r="G13" i="15"/>
  <c r="H16" i="15"/>
  <c r="B1" i="14" a="1"/>
  <c r="B1" i="14" s="1"/>
  <c r="F12" i="20" l="1"/>
  <c r="E12" i="20"/>
  <c r="D12" i="20"/>
  <c r="B14" i="20"/>
  <c r="C13" i="20"/>
  <c r="J13" i="20" s="1"/>
  <c r="O20" i="18"/>
  <c r="P19" i="18"/>
  <c r="Q19" i="18" s="1" a="1"/>
  <c r="Q19" i="18" s="1"/>
  <c r="L31" i="18" s="1"/>
  <c r="G11" i="13"/>
  <c r="K11" i="13" s="1"/>
  <c r="G10" i="13"/>
  <c r="K10" i="13" s="1"/>
  <c r="G9" i="13"/>
  <c r="K9" i="13" s="1"/>
  <c r="G8" i="13"/>
  <c r="K8" i="13" s="1"/>
  <c r="G7" i="13"/>
  <c r="K7" i="13" s="1"/>
  <c r="G6" i="13"/>
  <c r="K6" i="13" s="1"/>
  <c r="F13" i="20" l="1"/>
  <c r="E13" i="20"/>
  <c r="D13" i="20"/>
  <c r="B15" i="20"/>
  <c r="C14" i="20"/>
  <c r="J14" i="20" s="1"/>
  <c r="O21" i="18"/>
  <c r="P20" i="18"/>
  <c r="Q20" i="18" s="1" a="1"/>
  <c r="Q20" i="18" s="1"/>
  <c r="L32" i="18" s="1"/>
  <c r="G12" i="13"/>
  <c r="F14" i="20" l="1"/>
  <c r="E14" i="20"/>
  <c r="D14" i="20"/>
  <c r="B16" i="20"/>
  <c r="C15" i="20"/>
  <c r="J15" i="20" s="1"/>
  <c r="O22" i="18"/>
  <c r="P22" i="18" s="1"/>
  <c r="Q22" i="18" s="1" a="1"/>
  <c r="Q22" i="18" s="1"/>
  <c r="L34" i="18" s="1"/>
  <c r="P21" i="18"/>
  <c r="Q21" i="18" s="1" a="1"/>
  <c r="Q21" i="18" s="1"/>
  <c r="L33" i="18" s="1"/>
  <c r="J12" i="13"/>
  <c r="I12" i="13"/>
  <c r="K12" i="13"/>
  <c r="H12" i="13"/>
  <c r="F15" i="20" l="1"/>
  <c r="E15" i="20"/>
  <c r="D15" i="20"/>
  <c r="B17" i="20"/>
  <c r="C16" i="20"/>
  <c r="J16" i="20" s="1"/>
  <c r="J11" i="13"/>
  <c r="J10" i="13"/>
  <c r="J9" i="13"/>
  <c r="J8" i="13"/>
  <c r="J7" i="13"/>
  <c r="J6" i="13"/>
  <c r="F16" i="20" l="1"/>
  <c r="E16" i="20"/>
  <c r="D16" i="20"/>
  <c r="B18" i="20"/>
  <c r="C17" i="20"/>
  <c r="J17" i="20" s="1"/>
  <c r="F10" i="12"/>
  <c r="F9" i="12"/>
  <c r="F6" i="12"/>
  <c r="F5" i="12"/>
  <c r="E5" i="12"/>
  <c r="D5" i="12" s="1"/>
  <c r="E6" i="12"/>
  <c r="D6" i="12" s="1"/>
  <c r="E7" i="12"/>
  <c r="D7" i="12" s="1"/>
  <c r="F7" i="12" s="1"/>
  <c r="E8" i="12"/>
  <c r="D8" i="12" s="1"/>
  <c r="F8" i="12" s="1"/>
  <c r="E9" i="12"/>
  <c r="D9" i="12" s="1"/>
  <c r="E10" i="12"/>
  <c r="D10" i="12" s="1"/>
  <c r="F17" i="20" l="1"/>
  <c r="D17" i="20"/>
  <c r="E17" i="20"/>
  <c r="B19" i="20"/>
  <c r="C18" i="20"/>
  <c r="J18" i="20" s="1"/>
  <c r="G5" i="12"/>
  <c r="G10" i="12"/>
  <c r="G9" i="12"/>
  <c r="G7" i="12"/>
  <c r="G8" i="12"/>
  <c r="G6" i="12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F18" i="20" l="1"/>
  <c r="E18" i="20"/>
  <c r="D18" i="20"/>
  <c r="B20" i="20"/>
  <c r="C19" i="20"/>
  <c r="J19" i="20" s="1"/>
  <c r="F5" i="9"/>
  <c r="D14" i="9" s="1"/>
  <c r="G11" i="1"/>
  <c r="G8" i="1"/>
  <c r="F19" i="20" l="1"/>
  <c r="D19" i="20"/>
  <c r="E19" i="20"/>
  <c r="B21" i="20"/>
  <c r="C20" i="20"/>
  <c r="J20" i="20" s="1"/>
  <c r="D7" i="9"/>
  <c r="D8" i="9"/>
  <c r="D11" i="9"/>
  <c r="D15" i="9"/>
  <c r="D16" i="9"/>
  <c r="D9" i="9"/>
  <c r="D13" i="9"/>
  <c r="D10" i="9"/>
  <c r="D12" i="9"/>
  <c r="D5" i="9"/>
  <c r="D6" i="9"/>
  <c r="D11" i="5"/>
  <c r="D10" i="5"/>
  <c r="D9" i="5"/>
  <c r="D8" i="5"/>
  <c r="D7" i="5"/>
  <c r="D6" i="5"/>
  <c r="D5" i="5"/>
  <c r="E8" i="4"/>
  <c r="F8" i="4" s="1"/>
  <c r="G8" i="4" s="1"/>
  <c r="F7" i="4"/>
  <c r="G7" i="4" s="1"/>
  <c r="G12" i="4"/>
  <c r="G11" i="4"/>
  <c r="G10" i="4"/>
  <c r="G9" i="4"/>
  <c r="E12" i="4"/>
  <c r="F12" i="4" s="1"/>
  <c r="E11" i="4"/>
  <c r="F11" i="4" s="1"/>
  <c r="E10" i="4"/>
  <c r="F10" i="4" s="1"/>
  <c r="E9" i="4"/>
  <c r="F9" i="4" s="1"/>
  <c r="E7" i="4"/>
  <c r="E6" i="4"/>
  <c r="F6" i="4" s="1"/>
  <c r="G6" i="4" s="1"/>
  <c r="F5" i="4"/>
  <c r="G5" i="4" s="1"/>
  <c r="E5" i="4"/>
  <c r="F4" i="4"/>
  <c r="E4" i="4"/>
  <c r="B12" i="3"/>
  <c r="F20" i="20" l="1"/>
  <c r="D20" i="20"/>
  <c r="E20" i="20"/>
  <c r="B22" i="20"/>
  <c r="C21" i="20"/>
  <c r="J21" i="20" s="1"/>
  <c r="B8" i="3"/>
  <c r="C8" i="3" s="1"/>
  <c r="D8" i="3" s="1"/>
  <c r="F21" i="20" l="1"/>
  <c r="E21" i="20"/>
  <c r="D21" i="20"/>
  <c r="B23" i="20"/>
  <c r="C22" i="20"/>
  <c r="J22" i="20" s="1"/>
  <c r="E8" i="3"/>
  <c r="D12" i="3" s="1"/>
  <c r="F22" i="20" l="1"/>
  <c r="E22" i="20"/>
  <c r="D22" i="20"/>
  <c r="B24" i="20"/>
  <c r="C23" i="20"/>
  <c r="J23" i="20" s="1"/>
  <c r="F23" i="20" l="1"/>
  <c r="E23" i="20"/>
  <c r="D23" i="20"/>
  <c r="B25" i="20"/>
  <c r="C24" i="20"/>
  <c r="J24" i="20" s="1"/>
  <c r="F24" i="20" l="1"/>
  <c r="D24" i="20"/>
  <c r="E24" i="20"/>
  <c r="B26" i="20"/>
  <c r="C25" i="20"/>
  <c r="J25" i="20" s="1"/>
  <c r="F25" i="20" l="1"/>
  <c r="C26" i="20"/>
  <c r="L8" i="20" a="1"/>
  <c r="L8" i="20" s="1"/>
  <c r="K8" i="20" a="1"/>
  <c r="K8" i="20" s="1"/>
  <c r="D25" i="20"/>
  <c r="E25" i="20"/>
  <c r="E26" i="20" l="1"/>
  <c r="J26" i="20"/>
  <c r="F26" i="20"/>
  <c r="D26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<sst xmlns="http://schemas.openxmlformats.org/spreadsheetml/2006/main" count="584" uniqueCount="339">
  <si>
    <t>Main</t>
  </si>
  <si>
    <t>Sub</t>
  </si>
  <si>
    <t>Value</t>
  </si>
  <si>
    <t>DAL10</t>
  </si>
  <si>
    <t>TOK02</t>
  </si>
  <si>
    <t>WDC07</t>
  </si>
  <si>
    <t>Active</t>
  </si>
  <si>
    <t>Inventory</t>
  </si>
  <si>
    <t>Reserved</t>
  </si>
  <si>
    <t>Hardfail</t>
  </si>
  <si>
    <t>Planned</t>
  </si>
  <si>
    <t>Liquidation</t>
  </si>
  <si>
    <t>Gauge Chart</t>
  </si>
  <si>
    <t>Multicategory Chart</t>
  </si>
  <si>
    <t>Low</t>
  </si>
  <si>
    <t>Medium</t>
  </si>
  <si>
    <t>High</t>
  </si>
  <si>
    <t>Donut Data</t>
  </si>
  <si>
    <t>Pie Data</t>
  </si>
  <si>
    <t>Milestone Chart</t>
  </si>
  <si>
    <t>Date</t>
  </si>
  <si>
    <t>DC Exited</t>
  </si>
  <si>
    <t>Customer Notification Extension</t>
  </si>
  <si>
    <t>Customers Exit</t>
  </si>
  <si>
    <t>All hardware Reclaimed</t>
  </si>
  <si>
    <t>Billing Items Washed</t>
  </si>
  <si>
    <t>VLAN/Network relciams</t>
  </si>
  <si>
    <t>Physical Teardown</t>
  </si>
  <si>
    <t>DC Exit delayed</t>
  </si>
  <si>
    <t>Event</t>
  </si>
  <si>
    <t>Text Placement</t>
  </si>
  <si>
    <t>Duration</t>
  </si>
  <si>
    <t>Gantt Chart</t>
  </si>
  <si>
    <t>Trend Arrow in Labels</t>
  </si>
  <si>
    <t>DAL12</t>
  </si>
  <si>
    <t>DAL13</t>
  </si>
  <si>
    <t>FRA02</t>
  </si>
  <si>
    <t>FRA04</t>
  </si>
  <si>
    <t>FRA05</t>
  </si>
  <si>
    <t>LON04</t>
  </si>
  <si>
    <t>LON05</t>
  </si>
  <si>
    <t>LON06</t>
  </si>
  <si>
    <t>DC</t>
  </si>
  <si>
    <t>3 Mo Take</t>
  </si>
  <si>
    <t>▲▼</t>
  </si>
  <si>
    <t>Versus Bar Chart</t>
  </si>
  <si>
    <t>Completed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</si>
  <si>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</si>
  <si>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</si>
  <si>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</si>
  <si>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</si>
  <si>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</si>
  <si>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</si>
  <si>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</si>
  <si>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</si>
  <si>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</si>
  <si>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</si>
  <si>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</si>
  <si>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</si>
  <si>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</si>
  <si>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2019 Req</t>
  </si>
  <si>
    <t>2019 Com</t>
  </si>
  <si>
    <t>2018 Req</t>
  </si>
  <si>
    <t>2018 Com</t>
  </si>
  <si>
    <t>Site</t>
  </si>
  <si>
    <t>AMS01</t>
  </si>
  <si>
    <t>AMS03</t>
  </si>
  <si>
    <t>CHE01</t>
  </si>
  <si>
    <t>DAL05</t>
  </si>
  <si>
    <t>DAL06</t>
  </si>
  <si>
    <t>DAL08</t>
  </si>
  <si>
    <t>DAL09</t>
  </si>
  <si>
    <t>HKG02</t>
  </si>
  <si>
    <t>HOU02</t>
  </si>
  <si>
    <t>LON02</t>
  </si>
  <si>
    <t>MEL01</t>
  </si>
  <si>
    <t>MEX01</t>
  </si>
  <si>
    <t>MIL01</t>
  </si>
  <si>
    <t>MON01</t>
  </si>
  <si>
    <t>OSL01</t>
  </si>
  <si>
    <t>PAR01</t>
  </si>
  <si>
    <t>SAO01</t>
  </si>
  <si>
    <t>SEA01</t>
  </si>
  <si>
    <t>SEO01</t>
  </si>
  <si>
    <t>SJC01</t>
  </si>
  <si>
    <t>SJC03</t>
  </si>
  <si>
    <t>SJC04</t>
  </si>
  <si>
    <t>SNG01</t>
  </si>
  <si>
    <t>SYD01</t>
  </si>
  <si>
    <t>SYD04</t>
  </si>
  <si>
    <t>SYD05</t>
  </si>
  <si>
    <t>TOK04</t>
  </si>
  <si>
    <t>TOK05</t>
  </si>
  <si>
    <t>TOR01</t>
  </si>
  <si>
    <t>WDC01</t>
  </si>
  <si>
    <t>WDC03</t>
  </si>
  <si>
    <t>WDC04</t>
  </si>
  <si>
    <t>WDC06</t>
  </si>
  <si>
    <t>Scatter Chart Spotter</t>
  </si>
  <si>
    <t>Notes</t>
  </si>
  <si>
    <t>BM Customer Count</t>
  </si>
  <si>
    <t>DAL01 PODs 2-3 Complete. Only reporting for WDC01 PODs 1-2.</t>
  </si>
  <si>
    <t>WDC01 POD 1 and 2 exit Complete</t>
  </si>
  <si>
    <t>Begin DLLSTX2, DLLSTX6, DAL07 and SEA01 reporting</t>
  </si>
  <si>
    <t>Added DLLSTX7, HSTNTX2, DAL06 and MEL01</t>
  </si>
  <si>
    <t>Added DAL01. Removed The Planet, DAL06, DAl07, MEL01 and SEA01</t>
  </si>
  <si>
    <t>DAL01 Exit Complete</t>
  </si>
  <si>
    <t>Core Capacity Hours</t>
  </si>
  <si>
    <t>Core Allocated Hours</t>
  </si>
  <si>
    <t>Core Hour Utilization</t>
  </si>
  <si>
    <t>Core Allocated Hours X-Axis Spotter</t>
  </si>
  <si>
    <t>Core Hour utilization Y-Axis Spotter</t>
  </si>
  <si>
    <t>Dynamic Target Line in Bar Charts</t>
  </si>
  <si>
    <t>Target</t>
  </si>
  <si>
    <t>Above Target</t>
  </si>
  <si>
    <t>Scroll Assignment</t>
  </si>
  <si>
    <t>Event Line</t>
  </si>
  <si>
    <t>Graphic using 2 separate charts and data tables.</t>
  </si>
  <si>
    <t>Clustered Bar chart overlapped on a secondary axis.</t>
  </si>
  <si>
    <t>Timline with Event Markers</t>
  </si>
  <si>
    <t>Line and Clustered Bar combo chart with custom data labels.</t>
  </si>
  <si>
    <t>Simple clustered column chart with no adittional work. Table must be in the following layout.</t>
  </si>
  <si>
    <t>Simple stacked bar chart.</t>
  </si>
  <si>
    <t>Clustered Column chart with arrows from inserting symbols and customizing data labels.</t>
  </si>
  <si>
    <t>Bottom Line</t>
  </si>
  <si>
    <t>Year and Month</t>
  </si>
  <si>
    <t>Preset_535</t>
  </si>
  <si>
    <t>Preset_783</t>
  </si>
  <si>
    <t>Preset_785</t>
  </si>
  <si>
    <t>Preset_533</t>
  </si>
  <si>
    <t>Preset_789</t>
  </si>
  <si>
    <t>Preset_787</t>
  </si>
  <si>
    <t>Overlapping Totals Bar</t>
  </si>
  <si>
    <t>Clustered Columns and Line Combo Chart with Up/Down Bars</t>
  </si>
  <si>
    <t>Stack2</t>
  </si>
  <si>
    <t>Stack1</t>
  </si>
  <si>
    <t>Stack1 Max</t>
  </si>
  <si>
    <t>Stack2 Max</t>
  </si>
  <si>
    <t>Shapes used to created rounded ends.</t>
  </si>
  <si>
    <t>Bar Chart with Shapes</t>
  </si>
  <si>
    <t>Line and Stacked column chart using a helper data table.</t>
  </si>
  <si>
    <t>Spotter created from a series from a helper lookup series.</t>
  </si>
  <si>
    <t>Highlighted bars and target line come from a helper data series.</t>
  </si>
  <si>
    <t>Bar chart formatted with shapes and custom data labels.</t>
  </si>
  <si>
    <t>Image of map used for graph</t>
  </si>
  <si>
    <t>y</t>
  </si>
  <si>
    <t>x</t>
  </si>
  <si>
    <t>Provisions</t>
  </si>
  <si>
    <t>MZR</t>
  </si>
  <si>
    <t>Data Prep</t>
  </si>
  <si>
    <t>Scatter and Bubble Map Chart</t>
  </si>
  <si>
    <t>Map Chart</t>
  </si>
  <si>
    <t>Max</t>
  </si>
  <si>
    <t>Configuration</t>
  </si>
  <si>
    <t>Configuration 1</t>
  </si>
  <si>
    <t>Configuration 2</t>
  </si>
  <si>
    <t>Configuration 3</t>
  </si>
  <si>
    <t>Configuration 4</t>
  </si>
  <si>
    <t>Dallas</t>
  </si>
  <si>
    <t>Frankfurt</t>
  </si>
  <si>
    <t>London</t>
  </si>
  <si>
    <t>Sydney</t>
  </si>
  <si>
    <t>Tokyo</t>
  </si>
  <si>
    <t>Washington, DC</t>
  </si>
  <si>
    <t>Count</t>
  </si>
  <si>
    <t>Dropdown List</t>
  </si>
  <si>
    <t>Select Configuration</t>
  </si>
  <si>
    <t>Raw Data</t>
  </si>
  <si>
    <t>Scatter Data Label</t>
  </si>
  <si>
    <t>Max Spotter</t>
  </si>
  <si>
    <t>Each sheet shows a data table and the final graph/chart product.</t>
  </si>
  <si>
    <t>Cells that are not formatted, are considered worker/helper cells that help create the graph/chart.</t>
  </si>
  <si>
    <t>This file shows examples of chart and graph ideas.</t>
  </si>
  <si>
    <t>Worker/helper cells should be hidden in actual reports, to maintain cleanliness.</t>
  </si>
  <si>
    <t>Box Plot Chart</t>
  </si>
  <si>
    <t>Also known as a Box and Whisher chart</t>
  </si>
  <si>
    <t>Min</t>
  </si>
  <si>
    <t>Q1</t>
  </si>
  <si>
    <t>Median</t>
  </si>
  <si>
    <t>Q3</t>
  </si>
  <si>
    <t>Box 1 - Hidden</t>
  </si>
  <si>
    <t>Box 2 - Lower</t>
  </si>
  <si>
    <t>Box 3 - Upper</t>
  </si>
  <si>
    <t>Whisker Top</t>
  </si>
  <si>
    <t>Whisker Bottom</t>
  </si>
  <si>
    <t>Median - Q1</t>
  </si>
  <si>
    <t>Q3 - Median</t>
  </si>
  <si>
    <t>Max - Q3</t>
  </si>
  <si>
    <t>Q1 - Min</t>
  </si>
  <si>
    <t>To add the Top Whisker:</t>
  </si>
  <si>
    <t>1. Click the top box, and on the Ribbon's Design tab, click Add Chart Element</t>
  </si>
  <si>
    <t>2. Click Error Bars, and click More Error Bar Options</t>
  </si>
  <si>
    <t>3. In the Error Bars Options, under Direction, click Plus</t>
  </si>
  <si>
    <t>4. In the Error Amount Section, click Custom, and click Specify Value</t>
  </si>
  <si>
    <t>5. Delete the contents of the Positive Error Value box, and select the Whisker Top values on the worksheet</t>
  </si>
  <si>
    <t>6. Click OK to close the Custom Error Bars window.</t>
  </si>
  <si>
    <t>top error bar for box plot chart</t>
  </si>
  <si>
    <t>To add the Bottom Whisker:</t>
  </si>
  <si>
    <t>1. Click the hidden bottom box, and on the Ribbon's Design tab, click Add Chart Element</t>
  </si>
  <si>
    <t>3. In the Error Bars Options, under Direction, click Minus</t>
  </si>
  <si>
    <t>5. Delete the contents of the Negative Error Value box, and select the Whisker Bottom values on the worksheet</t>
  </si>
  <si>
    <t>bottom error bar for box plot chart</t>
  </si>
  <si>
    <t>6. Click OK to close the Custom Error Bars window</t>
  </si>
  <si>
    <t>Average</t>
  </si>
  <si>
    <t>Optional Marker</t>
  </si>
  <si>
    <t>Original</t>
  </si>
  <si>
    <t>Raw data duplicate with high values replaced with cut-off values</t>
  </si>
  <si>
    <t>Panel Chart</t>
  </si>
  <si>
    <t>Chart used to "zoom in" to view comparisons within smaller values.</t>
  </si>
  <si>
    <t>Things to think about when creating charts</t>
  </si>
  <si>
    <t>Design Affordance</t>
  </si>
  <si>
    <t>1. Do use the full axis and avoid distortion</t>
  </si>
  <si>
    <t>2. Use consistent intervals on axis (be transparent on data gaps)</t>
  </si>
  <si>
    <t>3. Remove any visual clutter (increase data-ink ratio, Tufte’s principle)</t>
  </si>
  <si>
    <t>4. Use a clear language and avoid acronyms</t>
  </si>
  <si>
    <t>5. Tell the "why" and "how"</t>
  </si>
  <si>
    <t>6. Highlight what’s important, tell one story</t>
  </si>
  <si>
    <t>7. Sort your data for easier comparisons</t>
  </si>
  <si>
    <t>8. Use direct labeling wherever possible, avoiding indirect look-up</t>
  </si>
  <si>
    <t>9. Rotate bar chart when category names are too long</t>
  </si>
  <si>
    <t>10. Do not use legend when you have only one data category</t>
  </si>
  <si>
    <t>11. Do use proper aspect ratio to minimize dramatic slopes effects</t>
  </si>
  <si>
    <t>12. Do adjust for inflation in long-time series</t>
  </si>
  <si>
    <t>13. Do ask others for opinions</t>
  </si>
  <si>
    <t>14. Don't use 3D or blow apart effects</t>
  </si>
  <si>
    <t>15. Avoid pie charts and donuts</t>
  </si>
  <si>
    <t>16. Avoid stacked charts, difficult for comparing data</t>
  </si>
  <si>
    <t>17. Don't confuse correlation with causation</t>
  </si>
  <si>
    <t>18. Don’t use maps for everything that has spatial dimension</t>
  </si>
  <si>
    <t>19. Avoid animated charts and maps, use small multiples</t>
  </si>
  <si>
    <t>20. Be very careful on how you treat "no-data / missing data" </t>
  </si>
  <si>
    <t>21. Don't compare apples with oranges</t>
  </si>
  <si>
    <t>22. Show the level of confidence</t>
  </si>
  <si>
    <t>23. Don't use more than (about) six colors</t>
  </si>
  <si>
    <t>24. Don’t forget 7%-10% of your male audience (color deficiency)</t>
  </si>
  <si>
    <t>25. Choose the chart type wisely</t>
  </si>
  <si>
    <t>https://www.eea.europa.eu/data-and-maps/daviz/learn-more/chart-dos-and-donts</t>
  </si>
  <si>
    <t>Use of Gestalt Principles / Theory</t>
  </si>
  <si>
    <t>Color blind safe colors</t>
  </si>
  <si>
    <t>Adjust Legend color text to match plot colors</t>
  </si>
  <si>
    <t>Recommended Chart Aspect Ratio</t>
  </si>
  <si>
    <t>Remove gridlines because they distract from the chart</t>
  </si>
  <si>
    <t>Optimal legend locations that do not deviate or distract from the data</t>
  </si>
  <si>
    <t>1:1.5</t>
  </si>
  <si>
    <t>Box Plot</t>
  </si>
  <si>
    <t>1:1.2</t>
  </si>
  <si>
    <t>Line</t>
  </si>
  <si>
    <t>1:1.75</t>
  </si>
  <si>
    <t>Bar</t>
  </si>
  <si>
    <t>Scatter</t>
  </si>
  <si>
    <t>-</t>
  </si>
  <si>
    <r>
      <t xml:space="preserve">Scatter plot charts show relationships. The word </t>
    </r>
    <r>
      <rPr>
        <b/>
        <sz val="11"/>
        <color theme="1"/>
        <rFont val="Calibri"/>
        <family val="2"/>
        <scheme val="minor"/>
      </rPr>
      <t>"Relationship"</t>
    </r>
    <r>
      <rPr>
        <sz val="11"/>
        <color theme="1"/>
        <rFont val="Calibri"/>
        <family val="2"/>
        <scheme val="minor"/>
      </rPr>
      <t xml:space="preserve"> should be in the titles</t>
    </r>
  </si>
  <si>
    <r>
      <t xml:space="preserve">Box plot charts show dispersion. The word </t>
    </r>
    <r>
      <rPr>
        <b/>
        <sz val="11"/>
        <color theme="1"/>
        <rFont val="Calibri"/>
        <family val="2"/>
        <scheme val="minor"/>
      </rPr>
      <t>"Dispersion"</t>
    </r>
    <r>
      <rPr>
        <sz val="11"/>
        <color theme="1"/>
        <rFont val="Calibri"/>
        <family val="2"/>
        <scheme val="minor"/>
      </rPr>
      <t xml:space="preserve"> should be in the titles</t>
    </r>
  </si>
  <si>
    <t>Add clear and concise titles relative to data and chart types</t>
  </si>
  <si>
    <t>Clear and concise axis names</t>
  </si>
  <si>
    <t>Graphs with a Custome Y-Axis</t>
  </si>
  <si>
    <t>Graphs made in combination with a scatter plot to create a custom y-axis.</t>
  </si>
  <si>
    <t>DAL</t>
  </si>
  <si>
    <t>FRA</t>
  </si>
  <si>
    <t>LON</t>
  </si>
  <si>
    <t>TOK</t>
  </si>
  <si>
    <t>WDC</t>
  </si>
  <si>
    <t>Bare Metal %</t>
  </si>
  <si>
    <t>Y-Axis Name</t>
  </si>
  <si>
    <t>Y</t>
  </si>
  <si>
    <t>Column Chart Data</t>
  </si>
  <si>
    <t>Scatterplot Data To Build Y-Axis Labels</t>
  </si>
  <si>
    <t>Legend created in the cells and formatted to look like the graph</t>
  </si>
  <si>
    <t>CAPREQ Type</t>
  </si>
  <si>
    <t>file-block-storage</t>
  </si>
  <si>
    <t>Networking</t>
  </si>
  <si>
    <t>PowerVS</t>
  </si>
  <si>
    <t>GEN2</t>
  </si>
  <si>
    <t>10G</t>
  </si>
  <si>
    <t>25gbe_bm_offering</t>
  </si>
  <si>
    <t>Under Review</t>
  </si>
  <si>
    <t>Approved to Procure</t>
  </si>
  <si>
    <t>Deployment Complete</t>
  </si>
  <si>
    <t>Cancelled</t>
  </si>
  <si>
    <t>Legend Colors</t>
  </si>
  <si>
    <t>Graph data table</t>
  </si>
  <si>
    <t>Legend calculations</t>
  </si>
  <si>
    <t>Row</t>
  </si>
  <si>
    <t>Rank</t>
  </si>
  <si>
    <t>Series</t>
  </si>
  <si>
    <t>Labels</t>
  </si>
  <si>
    <t>First data point is for the label, second data point is for the value. Can be adjusted to show 1 data point.</t>
  </si>
  <si>
    <t>SAO04</t>
  </si>
  <si>
    <t>SAO05</t>
  </si>
  <si>
    <t>TOR05</t>
  </si>
  <si>
    <t>Legend data table. When this table is updated, the legend will update.</t>
  </si>
  <si>
    <t>Custom and Dynamic Chart Legend</t>
  </si>
  <si>
    <t>PAR</t>
  </si>
  <si>
    <t>SAO</t>
  </si>
  <si>
    <t>SYD</t>
  </si>
  <si>
    <t>TOR</t>
  </si>
  <si>
    <t>Slots Sold</t>
  </si>
  <si>
    <t>Adjusted Value</t>
  </si>
  <si>
    <t>Chart showing a break in the graph to better distinguish between lower and higher values.</t>
  </si>
  <si>
    <t>Chart and Axis Breaks</t>
  </si>
  <si>
    <t>New X</t>
  </si>
  <si>
    <t>New Y</t>
  </si>
  <si>
    <t>Y Label</t>
  </si>
  <si>
    <t>Data Table</t>
  </si>
  <si>
    <t>With a Line break</t>
  </si>
  <si>
    <t>With a space break</t>
  </si>
  <si>
    <t>Before</t>
  </si>
  <si>
    <t>Break</t>
  </si>
  <si>
    <t>After</t>
  </si>
  <si>
    <t>Restart</t>
  </si>
  <si>
    <t>&lt;Input</t>
  </si>
  <si>
    <t>Dynamic Chart Range</t>
  </si>
  <si>
    <t>Create a dynamic chart range based on a dropdown selection using a formula in the Name Manager</t>
  </si>
  <si>
    <t>Name Manager</t>
  </si>
  <si>
    <t>Y&amp;M Conversion</t>
  </si>
  <si>
    <t>Date NM</t>
  </si>
  <si>
    <t>Value NM</t>
  </si>
  <si>
    <t>Dropdown Table</t>
  </si>
  <si>
    <t>Month Average</t>
  </si>
  <si>
    <t>Year</t>
  </si>
  <si>
    <t>Month</t>
  </si>
  <si>
    <t>Take</t>
  </si>
  <si>
    <t>Graph Title</t>
  </si>
  <si>
    <t>Example 1: Dual Panel</t>
  </si>
  <si>
    <t>Example 2: Dual Panel with Extended Bars Only</t>
  </si>
  <si>
    <t>Original data adjusted to show only high values. Duplicate data of original with cut-off values</t>
  </si>
  <si>
    <t>Utilized</t>
  </si>
  <si>
    <t>Remaining</t>
  </si>
  <si>
    <t>Empty</t>
  </si>
  <si>
    <t>Xx</t>
  </si>
  <si>
    <t>Yx</t>
  </si>
  <si>
    <t>Empty x</t>
  </si>
  <si>
    <t>Xy</t>
  </si>
  <si>
    <t>YY</t>
  </si>
  <si>
    <t>Empty y</t>
  </si>
  <si>
    <t>End Points</t>
  </si>
  <si>
    <t>Use this when progress is going counter clockwise</t>
  </si>
  <si>
    <t>=COS([Percent]*2*PI())</t>
  </si>
  <si>
    <t>=-SIN([Percent]*2*PI())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</si>
</sst>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3" fillId="33" borderId="21" xfId="0" applyFont="1" applyFill="1" applyBorder="1" applyAlignment="1">
      <alignment horizontal="center"/>
    </xf>
    <xf numFmtId="0" fontId="13" fillId="33" borderId="22" xfId="0" applyFont="1" applyFill="1" applyBorder="1" applyAlignment="1">
      <alignment horizontal="center"/>
    </xf>
    <xf numFmtId="0" fontId="13" fillId="33" borderId="23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16" fillId="33" borderId="22" xfId="0" applyFont="1" applyFill="1" applyBorder="1" applyAlignment="1">
      <alignment horizontal="centerContinuous"/>
    </xf>
    <xf numFmtId="0" fontId="16" fillId="33" borderId="23" xfId="0" applyFont="1" applyFill="1" applyBorder="1" applyAlignment="1">
      <alignment horizontal="centerContinuous"/>
    </xf>
    <xf numFmtId="0" fontId="13" fillId="33" borderId="21" xfId="0" applyFont="1" applyFill="1" applyBorder="1" applyAlignment="1">
      <alignment horizontal="centerContinuous"/>
    </xf>
    <xf numFmtId="0" fontId="0" fillId="34" borderId="2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4" xfId="0" applyBorder="1"/>
    <xf numFmtId="14" fontId="0" fillId="0" borderId="15" xfId="0" applyNumberFormat="1" applyBorder="1" applyAlignment="1">
      <alignment horizontal="center"/>
    </xf>
    <xf numFmtId="0" fontId="0" fillId="0" borderId="17" xfId="0" applyBorder="1"/>
    <xf numFmtId="14" fontId="0" fillId="0" borderId="18" xfId="0" applyNumberFormat="1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5" xfId="0" applyBorder="1"/>
    <xf numFmtId="14" fontId="0" fillId="0" borderId="16" xfId="0" applyNumberFormat="1" applyBorder="1" applyAlignment="1">
      <alignment horizontal="center"/>
    </xf>
    <xf numFmtId="0" fontId="0" fillId="0" borderId="18" xfId="0" applyBorder="1"/>
    <xf numFmtId="14" fontId="0" fillId="0" borderId="19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/>
    <xf numFmtId="0" fontId="16" fillId="0" borderId="36" xfId="0" applyFont="1" applyBorder="1" applyAlignment="1">
      <alignment horizontal="center"/>
    </xf>
    <xf numFmtId="0" fontId="19" fillId="0" borderId="0" xfId="0" applyFont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3" fillId="33" borderId="40" xfId="0" applyFont="1" applyFill="1" applyBorder="1" applyAlignment="1">
      <alignment horizontal="center"/>
    </xf>
    <xf numFmtId="0" fontId="13" fillId="33" borderId="36" xfId="0" applyFont="1" applyFill="1" applyBorder="1" applyAlignment="1">
      <alignment horizontal="center"/>
    </xf>
    <xf numFmtId="0" fontId="0" fillId="0" borderId="0" xfId="0"/>
    <xf numFmtId="0" fontId="0" fillId="0" borderId="10" xfId="0" applyBorder="1"/>
    <xf numFmtId="14" fontId="0" fillId="0" borderId="0" xfId="0" applyNumberForma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3" fillId="33" borderId="23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 wrapText="1"/>
    </xf>
    <xf numFmtId="0" fontId="13" fillId="33" borderId="23" xfId="0" applyFont="1" applyFill="1" applyBorder="1" applyAlignment="1">
      <alignment horizontal="center" vertical="center" wrapText="1"/>
    </xf>
    <xf numFmtId="0" fontId="13" fillId="33" borderId="36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/>
    </xf>
    <xf numFmtId="0" fontId="13" fillId="33" borderId="46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6" fillId="0" borderId="0" xfId="0" applyFont="1"/>
    <xf numFmtId="0" fontId="0" fillId="0" borderId="44" xfId="0" applyFill="1" applyBorder="1" applyAlignment="1">
      <alignment horizontal="center"/>
    </xf>
    <xf numFmtId="164" fontId="0" fillId="0" borderId="43" xfId="44" applyNumberFormat="1" applyFont="1" applyFill="1" applyBorder="1" applyAlignment="1">
      <alignment horizontal="center"/>
    </xf>
    <xf numFmtId="164" fontId="0" fillId="0" borderId="41" xfId="44" applyNumberFormat="1" applyFont="1" applyFill="1" applyBorder="1" applyAlignment="1">
      <alignment horizontal="center"/>
    </xf>
    <xf numFmtId="10" fontId="0" fillId="0" borderId="42" xfId="1" applyNumberFormat="1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164" fontId="0" fillId="0" borderId="28" xfId="44" applyNumberFormat="1" applyFont="1" applyFill="1" applyBorder="1" applyAlignment="1">
      <alignment horizontal="center"/>
    </xf>
    <xf numFmtId="164" fontId="0" fillId="0" borderId="11" xfId="44" applyNumberFormat="1" applyFont="1" applyFill="1" applyBorder="1" applyAlignment="1">
      <alignment horizontal="center"/>
    </xf>
    <xf numFmtId="10" fontId="0" fillId="0" borderId="14" xfId="1" applyNumberFormat="1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64" fontId="0" fillId="0" borderId="45" xfId="44" applyNumberFormat="1" applyFont="1" applyFill="1" applyBorder="1" applyAlignment="1">
      <alignment horizontal="center"/>
    </xf>
    <xf numFmtId="164" fontId="0" fillId="0" borderId="16" xfId="44" applyNumberFormat="1" applyFont="1" applyFill="1" applyBorder="1" applyAlignment="1">
      <alignment horizontal="center"/>
    </xf>
    <xf numFmtId="10" fontId="0" fillId="0" borderId="17" xfId="1" applyNumberFormat="1" applyFont="1" applyFill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13" fillId="33" borderId="4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14" fontId="13" fillId="33" borderId="21" xfId="0" applyNumberFormat="1" applyFont="1" applyFill="1" applyBorder="1" applyAlignment="1">
      <alignment horizontal="center" vertical="center"/>
    </xf>
    <xf numFmtId="0" fontId="20" fillId="0" borderId="0" xfId="0" applyFont="1"/>
    <xf numFmtId="14" fontId="16" fillId="0" borderId="10" xfId="0" applyNumberFormat="1" applyFont="1" applyBorder="1"/>
    <xf numFmtId="14" fontId="20" fillId="0" borderId="0" xfId="0" applyNumberFormat="1" applyFont="1"/>
    <xf numFmtId="0" fontId="16" fillId="0" borderId="2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Fill="1" applyBorder="1"/>
    <xf numFmtId="0" fontId="13" fillId="33" borderId="53" xfId="0" applyFont="1" applyFill="1" applyBorder="1" applyAlignment="1">
      <alignment horizontal="centerContinuous"/>
    </xf>
    <xf numFmtId="0" fontId="17" fillId="33" borderId="47" xfId="0" applyFont="1" applyFill="1" applyBorder="1" applyAlignment="1">
      <alignment horizontal="centerContinuous"/>
    </xf>
    <xf numFmtId="3" fontId="0" fillId="0" borderId="32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16" fillId="0" borderId="36" xfId="0" applyNumberFormat="1" applyFon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16" fillId="0" borderId="23" xfId="0" applyNumberFormat="1" applyFont="1" applyBorder="1" applyAlignment="1">
      <alignment horizontal="center"/>
    </xf>
    <xf numFmtId="3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65" fontId="0" fillId="0" borderId="54" xfId="0" applyNumberFormat="1" applyBorder="1"/>
    <xf numFmtId="165" fontId="0" fillId="0" borderId="55" xfId="0" applyNumberFormat="1" applyBorder="1"/>
    <xf numFmtId="165" fontId="0" fillId="0" borderId="56" xfId="0" applyNumberFormat="1" applyBorder="1"/>
    <xf numFmtId="0" fontId="0" fillId="0" borderId="58" xfId="0" applyBorder="1" applyAlignment="1">
      <alignment horizontal="center"/>
    </xf>
    <xf numFmtId="0" fontId="13" fillId="33" borderId="57" xfId="0" applyFont="1" applyFill="1" applyBorder="1" applyAlignment="1">
      <alignment horizontal="center"/>
    </xf>
    <xf numFmtId="0" fontId="22" fillId="0" borderId="0" xfId="45"/>
    <xf numFmtId="0" fontId="16" fillId="0" borderId="0" xfId="0" applyFont="1" applyBorder="1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59" xfId="0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56" xfId="0" applyNumberFormat="1" applyBorder="1" applyAlignment="1">
      <alignment horizontal="center"/>
    </xf>
    <xf numFmtId="0" fontId="13" fillId="33" borderId="53" xfId="0" applyFont="1" applyFill="1" applyBorder="1" applyAlignment="1">
      <alignment horizontal="center" vertical="center"/>
    </xf>
    <xf numFmtId="0" fontId="13" fillId="33" borderId="47" xfId="0" applyFont="1" applyFill="1" applyBorder="1" applyAlignment="1">
      <alignment horizontal="center" vertical="center" wrapText="1"/>
    </xf>
    <xf numFmtId="0" fontId="18" fillId="35" borderId="0" xfId="43" applyFill="1"/>
    <xf numFmtId="0" fontId="18" fillId="36" borderId="0" xfId="43" applyFill="1"/>
    <xf numFmtId="0" fontId="18" fillId="33" borderId="0" xfId="43" applyFill="1"/>
    <xf numFmtId="0" fontId="18" fillId="37" borderId="0" xfId="43" applyFill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/>
    <xf numFmtId="0" fontId="0" fillId="0" borderId="51" xfId="0" applyBorder="1"/>
    <xf numFmtId="0" fontId="13" fillId="33" borderId="57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38" borderId="33" xfId="0" applyFill="1" applyBorder="1"/>
    <xf numFmtId="0" fontId="0" fillId="38" borderId="65" xfId="0" applyFill="1" applyBorder="1"/>
    <xf numFmtId="0" fontId="0" fillId="38" borderId="31" xfId="0" applyFill="1" applyBorder="1"/>
    <xf numFmtId="0" fontId="0" fillId="38" borderId="66" xfId="0" applyFill="1" applyBorder="1"/>
    <xf numFmtId="0" fontId="0" fillId="38" borderId="0" xfId="0" applyFill="1" applyBorder="1"/>
    <xf numFmtId="0" fontId="0" fillId="38" borderId="67" xfId="0" applyFill="1" applyBorder="1"/>
    <xf numFmtId="0" fontId="0" fillId="38" borderId="63" xfId="0" applyFill="1" applyBorder="1"/>
    <xf numFmtId="0" fontId="0" fillId="38" borderId="64" xfId="0" applyFill="1" applyBorder="1"/>
    <xf numFmtId="0" fontId="0" fillId="38" borderId="30" xfId="0" applyFill="1" applyBorder="1"/>
    <xf numFmtId="0" fontId="0" fillId="38" borderId="10" xfId="0" applyFill="1" applyBorder="1"/>
    <xf numFmtId="0" fontId="0" fillId="38" borderId="32" xfId="0" applyFill="1" applyBorder="1"/>
    <xf numFmtId="3" fontId="0" fillId="0" borderId="54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0" fontId="13" fillId="33" borderId="53" xfId="0" applyFont="1" applyFill="1" applyBorder="1" applyAlignment="1">
      <alignment horizontal="center"/>
    </xf>
    <xf numFmtId="0" fontId="0" fillId="39" borderId="0" xfId="0" applyFill="1"/>
    <xf numFmtId="0" fontId="0" fillId="0" borderId="60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13" fillId="33" borderId="68" xfId="0" applyFont="1" applyFill="1" applyBorder="1" applyAlignment="1">
      <alignment horizontal="center"/>
    </xf>
    <xf numFmtId="0" fontId="13" fillId="33" borderId="51" xfId="0" applyFont="1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quotePrefix="1" applyNumberFormat="1"/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/>
    </xf>
    <xf numFmtId="9" fontId="16" fillId="0" borderId="12" xfId="0" applyNumberFormat="1" applyFont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233B2F02-240E-4632-ADB5-CAC12B234F1D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8.xml"/><Relationship Id="rId1" Type="http://schemas.microsoft.com/office/2011/relationships/chartStyle" Target="style18.xml"/><Relationship Id="rId4" Type="http://schemas.openxmlformats.org/officeDocument/2006/relationships/image" Target="../media/image2.png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multicategory!$D$4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multicategory!$B$5:$C$13</c:f>
              <c:multiLvlStrCache>
                <c:ptCount val="9"/>
                <c:lvl>
                  <c:pt idx="0">
                    <c:v>Active</c:v>
                  </c:pt>
                  <c:pt idx="1">
                    <c:v>Inventory</c:v>
                  </c:pt>
                  <c:pt idx="2">
                    <c:v>Reserved</c:v>
                  </c:pt>
                  <c:pt idx="3">
                    <c:v>Active</c:v>
                  </c:pt>
                  <c:pt idx="4">
                    <c:v>Reserved</c:v>
                  </c:pt>
                  <c:pt idx="5">
                    <c:v>Hardfail</c:v>
                  </c:pt>
                  <c:pt idx="6">
                    <c:v>Active</c:v>
                  </c:pt>
                  <c:pt idx="7">
                    <c:v>Planned</c:v>
                  </c:pt>
                  <c:pt idx="8">
                    <c:v>Liquidation</c:v>
                  </c:pt>
                </c:lvl>
                <c:lvl>
                  <c:pt idx="0">
                    <c:v>DAL10</c:v>
                  </c:pt>
                  <c:pt idx="3">
                    <c:v>TOK02</c:v>
                  </c:pt>
                  <c:pt idx="6">
                    <c:v>WDC07</c:v>
                  </c:pt>
                </c:lvl>
              </c:multiLvlStrCache>
            </c:multiLvlStrRef>
          </c:cat>
          <c:val>
            <c:numRef>
              <c:f>multicategory!$D$5:$D$13</c:f>
              <c:numCache>
                <c:formatCode>General</c:formatCode>
                <c:ptCount val="9"/>
                <c:pt idx="0">
                  <c:v>7</c:v>
                </c:pt>
                <c:pt idx="1">
                  <c:v>47</c:v>
                </c:pt>
                <c:pt idx="2">
                  <c:v>13</c:v>
                </c:pt>
                <c:pt idx="3">
                  <c:v>3</c:v>
                </c:pt>
                <c:pt idx="4">
                  <c:v>82</c:v>
                </c:pt>
                <c:pt idx="5">
                  <c:v>93</c:v>
                </c:pt>
                <c:pt idx="6">
                  <c:v>38</c:v>
                </c:pt>
                <c:pt idx="7">
                  <c:v>9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A-4808-8A65-6089B4552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223472"/>
        <c:axId val="505870128"/>
      </c:barChart>
      <c:catAx>
        <c:axId val="50222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70128"/>
        <c:crosses val="autoZero"/>
        <c:auto val="1"/>
        <c:lblAlgn val="ctr"/>
        <c:lblOffset val="100"/>
        <c:noMultiLvlLbl val="0"/>
      </c:catAx>
      <c:valAx>
        <c:axId val="5058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2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D5-4F61-A5AC-CFDB5A99C4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D5-4F61-A5AC-CFDB5A99C4C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8D5-4F61-A5AC-CFDB5A99C4CA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D5-4F61-A5AC-CFDB5A99C4CA}"/>
              </c:ext>
            </c:extLst>
          </c:dPt>
          <c:val>
            <c:numRef>
              <c:f>gauge!$B$8:$E$8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5-4F61-A5AC-CFDB5A99C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C6-499F-99E1-8A002A18419A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C6-499F-99E1-8A002A18419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0C6-499F-99E1-8A002A18419A}"/>
              </c:ext>
            </c:extLst>
          </c:dPt>
          <c:val>
            <c:numRef>
              <c:f>gauge!$B$12:$D$12</c:f>
              <c:numCache>
                <c:formatCode>General</c:formatCode>
                <c:ptCount val="3"/>
                <c:pt idx="0">
                  <c:v>34</c:v>
                </c:pt>
                <c:pt idx="1">
                  <c:v>1</c:v>
                </c:pt>
                <c:pt idx="2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6-499F-99E1-8A002A184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Clockwise from Top with Rounded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C2-4AA5-894A-54C54B7927D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DC-479A-9AD3-D7AC43837451}"/>
              </c:ext>
            </c:extLst>
          </c:dPt>
          <c:val>
            <c:numRef>
              <c:f>gauge!$P$7:$P$8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C-479A-9AD3-D7AC4383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catterChart>
        <c:scatterStyle val="lineMarker"/>
        <c:varyColors val="0"/>
        <c:ser>
          <c:idx val="1"/>
          <c:order val="1"/>
          <c:tx>
            <c:strRef>
              <c:f>gauge!$O$10</c:f>
              <c:strCache>
                <c:ptCount val="1"/>
                <c:pt idx="0">
                  <c:v>End Points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16"/>
              <c:spPr>
                <a:solidFill>
                  <a:schemeClr val="bg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DC2-4AA5-894A-54C54B7927D4}"/>
              </c:ext>
            </c:extLst>
          </c:dPt>
          <c:xVal>
            <c:numRef>
              <c:f>gauge!$P$11:$P$12</c:f>
              <c:numCache>
                <c:formatCode>General</c:formatCode>
                <c:ptCount val="2"/>
                <c:pt idx="0">
                  <c:v>0</c:v>
                </c:pt>
                <c:pt idx="1">
                  <c:v>-0.87630668004386358</c:v>
                </c:pt>
              </c:numCache>
            </c:numRef>
          </c:xVal>
          <c:yVal>
            <c:numRef>
              <c:f>gauge!$P$13:$P$14</c:f>
              <c:numCache>
                <c:formatCode>General</c:formatCode>
                <c:ptCount val="2"/>
                <c:pt idx="0">
                  <c:v>1</c:v>
                </c:pt>
                <c:pt idx="1">
                  <c:v>-0.48175367410171527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C-479A-9AD3-D7AC4383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4111"/>
        <c:axId val="144074527"/>
      </c:scatterChart>
      <c:valAx>
        <c:axId val="144074111"/>
        <c:scaling>
          <c:orientation val="minMax"/>
          <c:max val="1.1500000000000001"/>
          <c:min val="-1.1500000000000001"/>
        </c:scaling>
        <c:delete val="1"/>
        <c:axPos val="b"/>
        <c:numFmt formatCode="General" sourceLinked="1"/>
        <c:majorTickMark val="out"/>
        <c:minorTickMark val="none"/>
        <c:tickLblPos val="nextTo"/>
        <c:crossAx val="144074527"/>
        <c:crosses val="autoZero"/>
        <c:crossBetween val="midCat"/>
      </c:valAx>
      <c:valAx>
        <c:axId val="144074527"/>
        <c:scaling>
          <c:orientation val="minMax"/>
          <c:max val="1.1500000000000001"/>
          <c:min val="-1.1500000000000001"/>
        </c:scaling>
        <c:delete val="1"/>
        <c:axPos val="l"/>
        <c:numFmt formatCode="General" sourceLinked="1"/>
        <c:majorTickMark val="out"/>
        <c:minorTickMark val="none"/>
        <c:tickLblPos val="nextTo"/>
        <c:crossAx val="14407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Gauge with Rounded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24-4B13-BB1D-ACAD7F2F6CD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24-4B13-BB1D-ACAD7F2F6CDB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24-4B13-BB1D-ACAD7F2F6CDB}"/>
              </c:ext>
            </c:extLst>
          </c:dPt>
          <c:val>
            <c:numRef>
              <c:f>gauge!$C$22:$C$24</c:f>
              <c:numCache>
                <c:formatCode>0%</c:formatCode>
                <c:ptCount val="3"/>
                <c:pt idx="0">
                  <c:v>0.67</c:v>
                </c:pt>
                <c:pt idx="1">
                  <c:v>0.32999999999999996</c:v>
                </c:pt>
                <c:pt idx="2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24-4B13-BB1D-ACAD7F2F6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catterChart>
        <c:scatterStyle val="lineMarker"/>
        <c:varyColors val="0"/>
        <c:ser>
          <c:idx val="1"/>
          <c:order val="1"/>
          <c:tx>
            <c:strRef>
              <c:f>gauge!$O$10</c:f>
              <c:strCache>
                <c:ptCount val="1"/>
                <c:pt idx="0">
                  <c:v>End Points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16"/>
              <c:spPr>
                <a:solidFill>
                  <a:schemeClr val="bg1">
                    <a:lumMod val="85000"/>
                  </a:schemeClr>
                </a:solidFill>
                <a:ln w="9525">
                  <a:solidFill>
                    <a:schemeClr val="bg1">
                      <a:lumMod val="8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824-4B13-BB1D-ACAD7F2F6CDB}"/>
              </c:ext>
            </c:extLst>
          </c:dPt>
          <c:xVal>
            <c:numRef>
              <c:f>gauge!$C$27:$C$29</c:f>
              <c:numCache>
                <c:formatCode>General</c:formatCode>
                <c:ptCount val="3"/>
                <c:pt idx="0">
                  <c:v>-1</c:v>
                </c:pt>
                <c:pt idx="1">
                  <c:v>0.50904141575037132</c:v>
                </c:pt>
                <c:pt idx="2">
                  <c:v>1</c:v>
                </c:pt>
              </c:numCache>
            </c:numRef>
          </c:xVal>
          <c:yVal>
            <c:numRef>
              <c:f>gauge!$C$30:$C$32</c:f>
              <c:numCache>
                <c:formatCode>General</c:formatCode>
                <c:ptCount val="3"/>
                <c:pt idx="0">
                  <c:v>0</c:v>
                </c:pt>
                <c:pt idx="1">
                  <c:v>0.86074202700394364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24-4B13-BB1D-ACAD7F2F6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4111"/>
        <c:axId val="144074527"/>
      </c:scatterChart>
      <c:valAx>
        <c:axId val="144074111"/>
        <c:scaling>
          <c:orientation val="minMax"/>
          <c:max val="1.1500000000000001"/>
          <c:min val="-1.1500000000000001"/>
        </c:scaling>
        <c:delete val="1"/>
        <c:axPos val="b"/>
        <c:numFmt formatCode="General" sourceLinked="1"/>
        <c:majorTickMark val="out"/>
        <c:minorTickMark val="none"/>
        <c:tickLblPos val="nextTo"/>
        <c:crossAx val="144074527"/>
        <c:crosses val="autoZero"/>
        <c:crossBetween val="midCat"/>
      </c:valAx>
      <c:valAx>
        <c:axId val="144074527"/>
        <c:scaling>
          <c:orientation val="minMax"/>
          <c:max val="1.1500000000000001"/>
          <c:min val="-1.1500000000000001"/>
        </c:scaling>
        <c:delete val="1"/>
        <c:axPos val="l"/>
        <c:numFmt formatCode="General" sourceLinked="1"/>
        <c:majorTickMark val="out"/>
        <c:minorTickMark val="none"/>
        <c:tickLblPos val="nextTo"/>
        <c:crossAx val="14407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Clockwise from Bottom with Rounded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BA-453E-B02C-10AF826F9CE0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BA-453E-B02C-10AF826F9CE0}"/>
              </c:ext>
            </c:extLst>
          </c:dPt>
          <c:val>
            <c:numRef>
              <c:f>gauge!$P$7:$P$8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BA-453E-B02C-10AF826F9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75"/>
      </c:doughnutChart>
      <c:scatterChart>
        <c:scatterStyle val="lineMarker"/>
        <c:varyColors val="0"/>
        <c:ser>
          <c:idx val="1"/>
          <c:order val="1"/>
          <c:tx>
            <c:strRef>
              <c:f>gauge!$O$22</c:f>
              <c:strCache>
                <c:ptCount val="1"/>
                <c:pt idx="0">
                  <c:v>End Points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DBA-453E-B02C-10AF826F9CE0}"/>
              </c:ext>
            </c:extLst>
          </c:dPt>
          <c:dPt>
            <c:idx val="1"/>
            <c:marker>
              <c:symbol val="circle"/>
              <c:size val="16"/>
              <c:spPr>
                <a:solidFill>
                  <a:schemeClr val="bg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DBA-453E-B02C-10AF826F9CE0}"/>
              </c:ext>
            </c:extLst>
          </c:dPt>
          <c:xVal>
            <c:numRef>
              <c:f>gauge!$P$23:$P$24</c:f>
              <c:numCache>
                <c:formatCode>General</c:formatCode>
                <c:ptCount val="2"/>
                <c:pt idx="0">
                  <c:v>0</c:v>
                </c:pt>
                <c:pt idx="1">
                  <c:v>0.87630668004386358</c:v>
                </c:pt>
              </c:numCache>
            </c:numRef>
          </c:xVal>
          <c:yVal>
            <c:numRef>
              <c:f>gauge!$P$25:$P$26</c:f>
              <c:numCache>
                <c:formatCode>General</c:formatCode>
                <c:ptCount val="2"/>
                <c:pt idx="0">
                  <c:v>-1.012</c:v>
                </c:pt>
                <c:pt idx="1">
                  <c:v>0.48175367410171527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BA-453E-B02C-10AF826F9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4111"/>
        <c:axId val="144074527"/>
      </c:scatterChart>
      <c:valAx>
        <c:axId val="144074111"/>
        <c:scaling>
          <c:orientation val="minMax"/>
          <c:max val="1.1500000000000001"/>
          <c:min val="-1.1500000000000001"/>
        </c:scaling>
        <c:delete val="1"/>
        <c:axPos val="b"/>
        <c:numFmt formatCode="General" sourceLinked="1"/>
        <c:majorTickMark val="out"/>
        <c:minorTickMark val="none"/>
        <c:tickLblPos val="nextTo"/>
        <c:crossAx val="144074527"/>
        <c:crosses val="autoZero"/>
        <c:crossBetween val="midCat"/>
      </c:valAx>
      <c:valAx>
        <c:axId val="144074527"/>
        <c:scaling>
          <c:orientation val="minMax"/>
          <c:max val="1.1500000000000001"/>
          <c:min val="-1.1500000000000001"/>
        </c:scaling>
        <c:delete val="1"/>
        <c:axPos val="l"/>
        <c:numFmt formatCode="General" sourceLinked="1"/>
        <c:majorTickMark val="out"/>
        <c:minorTickMark val="none"/>
        <c:tickLblPos val="nextTo"/>
        <c:crossAx val="14407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Stylized Donut Clockwise from 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1"/>
          <c:order val="1"/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414E-4B21-A166-9A981625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4E-4B21-A166-9A9816257402}"/>
              </c:ext>
            </c:extLst>
          </c:dPt>
          <c:dPt>
            <c:idx val="1"/>
            <c:bubble3D val="0"/>
            <c:spPr>
              <a:solidFill>
                <a:schemeClr val="bg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4E-4B21-A166-9A9816257402}"/>
              </c:ext>
            </c:extLst>
          </c:dPt>
          <c:val>
            <c:numRef>
              <c:f>gauge!$P$7:$P$8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4E-4B21-A166-9A981625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Stylized Donut Clockwise from</a:t>
            </a:r>
            <a:r>
              <a:rPr lang="en-US" baseline="0"/>
              <a:t> Bottom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1"/>
          <c:order val="1"/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1B-43CE-8E99-77E4F8549412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1B-43CE-8E99-77E4F854941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1B-43CE-8E99-77E4F8549412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1B-43CE-8E99-77E4F8549412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1B-43CE-8E99-77E4F8549412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11B-43CE-8E99-77E4F8549412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11B-43CE-8E99-77E4F8549412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11B-43CE-8E99-77E4F8549412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11B-43CE-8E99-77E4F8549412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11B-43CE-8E99-77E4F8549412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11B-43CE-8E99-77E4F8549412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11B-43CE-8E99-77E4F8549412}"/>
              </c:ext>
            </c:extLst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11B-43CE-8E99-77E4F8549412}"/>
              </c:ext>
            </c:extLst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11B-43CE-8E99-77E4F8549412}"/>
              </c:ext>
            </c:extLst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11B-43CE-8E99-77E4F8549412}"/>
              </c:ext>
            </c:extLst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11B-43CE-8E99-77E4F8549412}"/>
              </c:ext>
            </c:extLst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11B-43CE-8E99-77E4F8549412}"/>
              </c:ext>
            </c:extLst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11B-43CE-8E99-77E4F8549412}"/>
              </c:ext>
            </c:extLst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11B-43CE-8E99-77E4F8549412}"/>
              </c:ext>
            </c:extLst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11B-43CE-8E99-77E4F8549412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111B-43CE-8E99-77E4F8549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111B-43CE-8E99-77E4F8549412}"/>
              </c:ext>
            </c:extLst>
          </c:dPt>
          <c:dPt>
            <c:idx val="1"/>
            <c:bubble3D val="0"/>
            <c:spPr>
              <a:solidFill>
                <a:schemeClr val="bg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111B-43CE-8E99-77E4F8549412}"/>
              </c:ext>
            </c:extLst>
          </c:dPt>
          <c:val>
            <c:numRef>
              <c:f>gauge!$P$7:$P$8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11B-43CE-8E99-77E4F8549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milestone!$F$4</c:f>
              <c:strCache>
                <c:ptCount val="1"/>
                <c:pt idx="0">
                  <c:v>Event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4877665-C943-4818-8F48-F7C52BD32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99B-4A42-92ED-96C069EEF75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9C94E9-C329-460F-977E-B8A795372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99B-4A42-92ED-96C069EEF75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6A9717-7887-44D4-95F3-6B4EA9C30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99B-4A42-92ED-96C069EEF75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5D39F9D-A76B-4835-9D68-F2F3E334C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99B-4A42-92ED-96C069EEF75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7688335-822C-4532-A560-D4E0279FA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99B-4A42-92ED-96C069EEF75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48F0DD4-8147-4497-B764-83408CED60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99B-4A42-92ED-96C069EEF75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3430383-1C6D-40E0-8621-6BB737D83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99B-4A42-92ED-96C069EEF75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BD4C99A-4B8B-4DC8-847B-7A8675452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99B-4A42-92ED-96C069EEF753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milestone!$G$5:$G$12</c:f>
              <c:numCache>
                <c:formatCode>General</c:formatCode>
                <c:ptCount val="8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milestone!$F$5:$F$12</c15:f>
                <c15:dlblRangeCache>
                  <c:ptCount val="8"/>
                  <c:pt idx="0">
                    <c:v>Customer Notification Extension</c:v>
                  </c:pt>
                  <c:pt idx="1">
                    <c:v>Customers Exit</c:v>
                  </c:pt>
                  <c:pt idx="2">
                    <c:v>All hardware Reclaimed</c:v>
                  </c:pt>
                  <c:pt idx="3">
                    <c:v>Billing Items Washed</c:v>
                  </c:pt>
                  <c:pt idx="4">
                    <c:v>VLAN/Network relciams</c:v>
                  </c:pt>
                  <c:pt idx="5">
                    <c:v>Physical Teardown</c:v>
                  </c:pt>
                  <c:pt idx="6">
                    <c:v>DC Exit delayed</c:v>
                  </c:pt>
                  <c:pt idx="7">
                    <c:v>DC Exited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D99B-4A42-92ED-96C069EE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147072"/>
        <c:axId val="581900592"/>
      </c:barChart>
      <c:lineChart>
        <c:grouping val="standard"/>
        <c:varyColors val="0"/>
        <c:ser>
          <c:idx val="0"/>
          <c:order val="0"/>
          <c:tx>
            <c:strRef>
              <c:f>milestone!$E$4</c:f>
              <c:strCache>
                <c:ptCount val="1"/>
                <c:pt idx="0">
                  <c:v>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milestone!$E$5:$E$12</c:f>
              <c:numCache>
                <c:formatCode>m/d/yyyy</c:formatCode>
                <c:ptCount val="8"/>
                <c:pt idx="0">
                  <c:v>43738</c:v>
                </c:pt>
                <c:pt idx="1">
                  <c:v>43769</c:v>
                </c:pt>
                <c:pt idx="2">
                  <c:v>43787</c:v>
                </c:pt>
                <c:pt idx="3">
                  <c:v>43801</c:v>
                </c:pt>
                <c:pt idx="4">
                  <c:v>43808</c:v>
                </c:pt>
                <c:pt idx="5">
                  <c:v>43815</c:v>
                </c:pt>
                <c:pt idx="6">
                  <c:v>43822</c:v>
                </c:pt>
                <c:pt idx="7">
                  <c:v>43861</c:v>
                </c:pt>
              </c:numCache>
            </c:numRef>
          </c:cat>
          <c:val>
            <c:numRef>
              <c:f>milestone!$F$5:$F$12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A42-92ED-96C069EE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520080"/>
        <c:axId val="592209488"/>
      </c:lineChart>
      <c:catAx>
        <c:axId val="584520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09488"/>
        <c:crosses val="autoZero"/>
        <c:auto val="0"/>
        <c:lblAlgn val="ctr"/>
        <c:lblOffset val="100"/>
        <c:noMultiLvlLbl val="0"/>
      </c:catAx>
      <c:valAx>
        <c:axId val="5922094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84520080"/>
        <c:crossesAt val="43738"/>
        <c:crossBetween val="between"/>
      </c:valAx>
      <c:valAx>
        <c:axId val="5819005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02147072"/>
        <c:crosses val="max"/>
        <c:crossBetween val="between"/>
      </c:valAx>
      <c:catAx>
        <c:axId val="502147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81900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gantt!$C$4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gantt!$B$5:$B$12</c:f>
              <c:strCache>
                <c:ptCount val="8"/>
                <c:pt idx="0">
                  <c:v>Customer Notification Extension</c:v>
                </c:pt>
                <c:pt idx="1">
                  <c:v>Customers Exit</c:v>
                </c:pt>
                <c:pt idx="2">
                  <c:v>All hardware Reclaimed</c:v>
                </c:pt>
                <c:pt idx="3">
                  <c:v>Billing Items Washed</c:v>
                </c:pt>
                <c:pt idx="4">
                  <c:v>VLAN/Network relciams</c:v>
                </c:pt>
                <c:pt idx="5">
                  <c:v>Physical Teardown</c:v>
                </c:pt>
                <c:pt idx="6">
                  <c:v>DC Exit delayed</c:v>
                </c:pt>
                <c:pt idx="7">
                  <c:v>DC Exited</c:v>
                </c:pt>
              </c:strCache>
            </c:strRef>
          </c:cat>
          <c:val>
            <c:numRef>
              <c:f>gantt!$C$5:$C$12</c:f>
              <c:numCache>
                <c:formatCode>m/d/yyyy</c:formatCode>
                <c:ptCount val="8"/>
                <c:pt idx="0">
                  <c:v>43738</c:v>
                </c:pt>
                <c:pt idx="1">
                  <c:v>43769</c:v>
                </c:pt>
                <c:pt idx="2">
                  <c:v>43787</c:v>
                </c:pt>
                <c:pt idx="3">
                  <c:v>43801</c:v>
                </c:pt>
                <c:pt idx="4">
                  <c:v>43808</c:v>
                </c:pt>
                <c:pt idx="5">
                  <c:v>43815</c:v>
                </c:pt>
                <c:pt idx="6">
                  <c:v>43822</c:v>
                </c:pt>
                <c:pt idx="7">
                  <c:v>43861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7-4337-A8EE-2A9A73452804}"/>
            </c:ext>
          </c:extLst>
        </c:ser>
        <c:ser>
          <c:idx val="1"/>
          <c:order val="1"/>
          <c:tx>
            <c:strRef>
              <c:f>gantt!$D$4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gantt!$B$5:$B$12</c:f>
              <c:strCache>
                <c:ptCount val="8"/>
                <c:pt idx="0">
                  <c:v>Customer Notification Extension</c:v>
                </c:pt>
                <c:pt idx="1">
                  <c:v>Customers Exit</c:v>
                </c:pt>
                <c:pt idx="2">
                  <c:v>All hardware Reclaimed</c:v>
                </c:pt>
                <c:pt idx="3">
                  <c:v>Billing Items Washed</c:v>
                </c:pt>
                <c:pt idx="4">
                  <c:v>VLAN/Network relciams</c:v>
                </c:pt>
                <c:pt idx="5">
                  <c:v>Physical Teardown</c:v>
                </c:pt>
                <c:pt idx="6">
                  <c:v>DC Exit delayed</c:v>
                </c:pt>
                <c:pt idx="7">
                  <c:v>DC Exited</c:v>
                </c:pt>
              </c:strCache>
            </c:strRef>
          </c:cat>
          <c:val>
            <c:numRef>
              <c:f>gantt!$D$5:$D$12</c:f>
              <c:numCache>
                <c:formatCode>General</c:formatCode>
                <c:ptCount val="8"/>
                <c:pt idx="0">
                  <c:v>31</c:v>
                </c:pt>
                <c:pt idx="1">
                  <c:v>18</c:v>
                </c:pt>
                <c:pt idx="2">
                  <c:v>14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39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7-4337-A8EE-2A9A73452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184272"/>
        <c:axId val="581891440"/>
      </c:barChart>
      <c:catAx>
        <c:axId val="5021842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1440"/>
        <c:crosses val="autoZero"/>
        <c:auto val="1"/>
        <c:lblAlgn val="ctr"/>
        <c:lblOffset val="100"/>
        <c:noMultiLvlLbl val="0"/>
      </c:catAx>
      <c:valAx>
        <c:axId val="581891440"/>
        <c:scaling>
          <c:orientation val="minMax"/>
          <c:min val="4373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8427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</a:t>
            </a:r>
            <a:r>
              <a:rPr lang="en-US" baseline="0"/>
              <a:t> Average</a:t>
            </a:r>
            <a:r>
              <a:rPr lang="en-US"/>
              <a:t> Take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trend_arrows!$C$4</c:f>
              <c:strCache>
                <c:ptCount val="1"/>
                <c:pt idx="0">
                  <c:v>3 Mo Take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▲&quot;0;[Red]&quot;▼&quot;\-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trend_arrows!$B$5:$B$13</c:f>
              <c:strCache>
                <c:ptCount val="9"/>
                <c:pt idx="0">
                  <c:v>DAL10</c:v>
                </c:pt>
                <c:pt idx="1">
                  <c:v>DAL12</c:v>
                </c:pt>
                <c:pt idx="2">
                  <c:v>DAL13</c:v>
                </c:pt>
                <c:pt idx="3">
                  <c:v>FRA02</c:v>
                </c:pt>
                <c:pt idx="4">
                  <c:v>FRA04</c:v>
                </c:pt>
                <c:pt idx="5">
                  <c:v>FRA05</c:v>
                </c:pt>
                <c:pt idx="6">
                  <c:v>LON04</c:v>
                </c:pt>
                <c:pt idx="7">
                  <c:v>LON05</c:v>
                </c:pt>
                <c:pt idx="8">
                  <c:v>LON06</c:v>
                </c:pt>
              </c:strCache>
            </c:strRef>
          </c:cat>
          <c:val>
            <c:numRef>
              <c:f>trend_arrows!$C$5:$C$13</c:f>
              <c:numCache>
                <c:formatCode>General</c:formatCode>
                <c:ptCount val="9"/>
                <c:pt idx="0">
                  <c:v>-42</c:v>
                </c:pt>
                <c:pt idx="1">
                  <c:v>81</c:v>
                </c:pt>
                <c:pt idx="2">
                  <c:v>110</c:v>
                </c:pt>
                <c:pt idx="3">
                  <c:v>-47</c:v>
                </c:pt>
                <c:pt idx="4">
                  <c:v>46</c:v>
                </c:pt>
                <c:pt idx="5">
                  <c:v>34</c:v>
                </c:pt>
                <c:pt idx="6">
                  <c:v>-3</c:v>
                </c:pt>
                <c:pt idx="7">
                  <c:v>-1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1-4967-935C-FC767D2B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157072"/>
        <c:axId val="581906000"/>
      </c:barChart>
      <c:catAx>
        <c:axId val="50215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06000"/>
        <c:crosses val="autoZero"/>
        <c:auto val="1"/>
        <c:lblAlgn val="ctr"/>
        <c:lblOffset val="100"/>
        <c:noMultiLvlLbl val="0"/>
      </c:catAx>
      <c:valAx>
        <c:axId val="5819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versus_bar!$C$4</c:f>
              <c:strCache>
                <c:ptCount val="1"/>
                <c:pt idx="0">
                  <c:v>2019 Req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versus_bar!$B$5:$B$17</c15:sqref>
                  </c15:fullRef>
                </c:ext>
              </c:extLst>
              <c:f>versus_bar!$B$5:$B$16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versus_bar!$C$5:$C$17</c15:sqref>
                  </c15:fullRef>
                </c:ext>
              </c:extLst>
              <c:f>versus_bar!$C$5:$C$16</c:f>
              <c:numCache>
                <c:formatCode>General</c:formatCode>
                <c:ptCount val="12"/>
                <c:pt idx="0">
                  <c:v>3602</c:v>
                </c:pt>
                <c:pt idx="1">
                  <c:v>1653</c:v>
                </c:pt>
                <c:pt idx="2">
                  <c:v>1719</c:v>
                </c:pt>
                <c:pt idx="3">
                  <c:v>918</c:v>
                </c:pt>
                <c:pt idx="4">
                  <c:v>1292</c:v>
                </c:pt>
                <c:pt idx="5">
                  <c:v>1869</c:v>
                </c:pt>
                <c:pt idx="6">
                  <c:v>2140</c:v>
                </c:pt>
                <c:pt idx="7">
                  <c:v>4664</c:v>
                </c:pt>
                <c:pt idx="8">
                  <c:v>2575</c:v>
                </c:pt>
                <c:pt idx="9">
                  <c:v>2376</c:v>
                </c:pt>
                <c:pt idx="10">
                  <c:v>1356</c:v>
                </c:pt>
                <c:pt idx="11">
                  <c:v>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6-47E3-AD63-683F069F8DC6}"/>
            </c:ext>
          </c:extLst>
        </c:ser>
        <c:ser>
          <c:idx val="2"/>
          <c:order val="2"/>
          <c:tx>
            <c:strRef>
              <c:f>versus_bar!$E$4</c:f>
              <c:strCache>
                <c:ptCount val="1"/>
                <c:pt idx="0">
                  <c:v>2018 Req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versus_bar!$B$5:$B$17</c15:sqref>
                  </c15:fullRef>
                </c:ext>
              </c:extLst>
              <c:f>versus_bar!$B$5:$B$16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versus_bar!$E$5:$E$17</c15:sqref>
                  </c15:fullRef>
                </c:ext>
              </c:extLst>
              <c:f>versus_bar!$E$5:$E$16</c:f>
              <c:numCache>
                <c:formatCode>General</c:formatCode>
                <c:ptCount val="12"/>
                <c:pt idx="0">
                  <c:v>1230</c:v>
                </c:pt>
                <c:pt idx="1">
                  <c:v>2515</c:v>
                </c:pt>
                <c:pt idx="2">
                  <c:v>5497</c:v>
                </c:pt>
                <c:pt idx="3">
                  <c:v>1256</c:v>
                </c:pt>
                <c:pt idx="4">
                  <c:v>1948</c:v>
                </c:pt>
                <c:pt idx="5">
                  <c:v>2988</c:v>
                </c:pt>
                <c:pt idx="6">
                  <c:v>1604</c:v>
                </c:pt>
                <c:pt idx="7">
                  <c:v>2372</c:v>
                </c:pt>
                <c:pt idx="8">
                  <c:v>4904</c:v>
                </c:pt>
                <c:pt idx="9">
                  <c:v>1890</c:v>
                </c:pt>
                <c:pt idx="10">
                  <c:v>1938</c:v>
                </c:pt>
                <c:pt idx="11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C6-47E3-AD63-683F069F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axId val="116054112"/>
        <c:axId val="548938544"/>
      </c:barChart>
      <c:barChart>
        <c:barDir val="col"/>
        <c:grouping val="clustered"/>
        <c:varyColors val="0"/>
        <c:ser>
          <c:idx val="1"/>
          <c:order val="1"/>
          <c:tx>
            <c:strRef>
              <c:f>versus_bar!$D$4</c:f>
              <c:strCache>
                <c:ptCount val="1"/>
                <c:pt idx="0">
                  <c:v>2019 Com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versus_bar!$B$5:$B$17</c15:sqref>
                  </c15:fullRef>
                </c:ext>
              </c:extLst>
              <c:f>versus_bar!$B$5:$B$16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versus_bar!$D$5:$D$17</c15:sqref>
                  </c15:fullRef>
                </c:ext>
              </c:extLst>
              <c:f>versus_bar!$D$5:$D$16</c:f>
              <c:numCache>
                <c:formatCode>General</c:formatCode>
                <c:ptCount val="12"/>
                <c:pt idx="0">
                  <c:v>2284</c:v>
                </c:pt>
                <c:pt idx="1">
                  <c:v>2343</c:v>
                </c:pt>
                <c:pt idx="2">
                  <c:v>1607</c:v>
                </c:pt>
                <c:pt idx="3">
                  <c:v>1080</c:v>
                </c:pt>
                <c:pt idx="4">
                  <c:v>1642</c:v>
                </c:pt>
                <c:pt idx="5">
                  <c:v>2515</c:v>
                </c:pt>
                <c:pt idx="6">
                  <c:v>1278</c:v>
                </c:pt>
                <c:pt idx="7">
                  <c:v>3565</c:v>
                </c:pt>
                <c:pt idx="8">
                  <c:v>2004</c:v>
                </c:pt>
                <c:pt idx="9">
                  <c:v>1860</c:v>
                </c:pt>
                <c:pt idx="10">
                  <c:v>771</c:v>
                </c:pt>
                <c:pt idx="11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6-47E3-AD63-683F069F8DC6}"/>
            </c:ext>
          </c:extLst>
        </c:ser>
        <c:ser>
          <c:idx val="3"/>
          <c:order val="3"/>
          <c:tx>
            <c:strRef>
              <c:f>versus_bar!$F$4</c:f>
              <c:strCache>
                <c:ptCount val="1"/>
                <c:pt idx="0">
                  <c:v>2018 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versus_bar!$B$5:$B$17</c15:sqref>
                  </c15:fullRef>
                </c:ext>
              </c:extLst>
              <c:f>versus_bar!$B$5:$B$16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versus_bar!$F$5:$F$17</c15:sqref>
                  </c15:fullRef>
                </c:ext>
              </c:extLst>
              <c:f>versus_bar!$F$5:$F$16</c:f>
              <c:numCache>
                <c:formatCode>General</c:formatCode>
                <c:ptCount val="12"/>
                <c:pt idx="0">
                  <c:v>1400</c:v>
                </c:pt>
                <c:pt idx="1">
                  <c:v>2750</c:v>
                </c:pt>
                <c:pt idx="2">
                  <c:v>3145</c:v>
                </c:pt>
                <c:pt idx="3">
                  <c:v>4167</c:v>
                </c:pt>
                <c:pt idx="4">
                  <c:v>1723</c:v>
                </c:pt>
                <c:pt idx="5">
                  <c:v>2462</c:v>
                </c:pt>
                <c:pt idx="6">
                  <c:v>1715</c:v>
                </c:pt>
                <c:pt idx="7">
                  <c:v>1442</c:v>
                </c:pt>
                <c:pt idx="8">
                  <c:v>2152</c:v>
                </c:pt>
                <c:pt idx="9">
                  <c:v>2881</c:v>
                </c:pt>
                <c:pt idx="10">
                  <c:v>2580</c:v>
                </c:pt>
                <c:pt idx="11">
                  <c:v>2153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6-47E3-AD63-683F069F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-56"/>
        <c:axId val="450235792"/>
        <c:axId val="237148224"/>
      </c:barChart>
      <c:catAx>
        <c:axId val="11605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8544"/>
        <c:crosses val="autoZero"/>
        <c:auto val="1"/>
        <c:lblAlgn val="ctr"/>
        <c:lblOffset val="100"/>
        <c:noMultiLvlLbl val="0"/>
      </c:catAx>
      <c:valAx>
        <c:axId val="5489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4112"/>
        <c:crosses val="autoZero"/>
        <c:crossBetween val="between"/>
      </c:valAx>
      <c:valAx>
        <c:axId val="2371482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50235792"/>
        <c:crosses val="max"/>
        <c:crossBetween val="between"/>
      </c:valAx>
      <c:catAx>
        <c:axId val="45023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714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scatter_spot!$D$5:$D$48</c:f>
              <c:numCache>
                <c:formatCode>_(* #,##0_);_(* \(#,##0\);_(* "-"??_);_(@_)</c:formatCode>
                <c:ptCount val="44"/>
                <c:pt idx="0">
                  <c:v>9135400.8300000001</c:v>
                </c:pt>
                <c:pt idx="1">
                  <c:v>27728059.397999998</c:v>
                </c:pt>
                <c:pt idx="2">
                  <c:v>7552287.3410000019</c:v>
                </c:pt>
                <c:pt idx="3">
                  <c:v>6910721.3860000027</c:v>
                </c:pt>
                <c:pt idx="4">
                  <c:v>5170468.1070000008</c:v>
                </c:pt>
                <c:pt idx="5">
                  <c:v>201845.842</c:v>
                </c:pt>
                <c:pt idx="6">
                  <c:v>34738806.73400002</c:v>
                </c:pt>
                <c:pt idx="7">
                  <c:v>131763658.33799991</c:v>
                </c:pt>
                <c:pt idx="8">
                  <c:v>99254416.018999964</c:v>
                </c:pt>
                <c:pt idx="9">
                  <c:v>102019383.59699997</c:v>
                </c:pt>
                <c:pt idx="10">
                  <c:v>51444241.619000025</c:v>
                </c:pt>
                <c:pt idx="11">
                  <c:v>20230725.867000017</c:v>
                </c:pt>
                <c:pt idx="12">
                  <c:v>16860286.705000013</c:v>
                </c:pt>
                <c:pt idx="13">
                  <c:v>6037226.8309999956</c:v>
                </c:pt>
                <c:pt idx="14">
                  <c:v>12487370.412000012</c:v>
                </c:pt>
                <c:pt idx="15">
                  <c:v>28013375.527000017</c:v>
                </c:pt>
                <c:pt idx="16">
                  <c:v>20837377.901000001</c:v>
                </c:pt>
                <c:pt idx="17">
                  <c:v>7951253.1439999929</c:v>
                </c:pt>
                <c:pt idx="18">
                  <c:v>12942944.540999997</c:v>
                </c:pt>
                <c:pt idx="19">
                  <c:v>6794945.0530000031</c:v>
                </c:pt>
                <c:pt idx="20">
                  <c:v>8925763.0899999905</c:v>
                </c:pt>
                <c:pt idx="21">
                  <c:v>9311419.7829999961</c:v>
                </c:pt>
                <c:pt idx="22">
                  <c:v>11810194.155999996</c:v>
                </c:pt>
                <c:pt idx="23">
                  <c:v>3989473.639</c:v>
                </c:pt>
                <c:pt idx="24">
                  <c:v>16107065.25</c:v>
                </c:pt>
                <c:pt idx="25">
                  <c:v>12124591.643000005</c:v>
                </c:pt>
                <c:pt idx="26">
                  <c:v>672231.98599999957</c:v>
                </c:pt>
                <c:pt idx="27">
                  <c:v>14931200.215000009</c:v>
                </c:pt>
                <c:pt idx="28">
                  <c:v>4645085.2390000001</c:v>
                </c:pt>
                <c:pt idx="29">
                  <c:v>19775977.926000006</c:v>
                </c:pt>
                <c:pt idx="30">
                  <c:v>13428284.581000004</c:v>
                </c:pt>
                <c:pt idx="31">
                  <c:v>11685480.893000007</c:v>
                </c:pt>
                <c:pt idx="32">
                  <c:v>11460702.438000012</c:v>
                </c:pt>
                <c:pt idx="33">
                  <c:v>10413730.417000001</c:v>
                </c:pt>
                <c:pt idx="34">
                  <c:v>2920981.5689999992</c:v>
                </c:pt>
                <c:pt idx="35">
                  <c:v>27832163.074000008</c:v>
                </c:pt>
                <c:pt idx="36">
                  <c:v>7680276.4520000033</c:v>
                </c:pt>
                <c:pt idx="37">
                  <c:v>7746435.4680000022</c:v>
                </c:pt>
                <c:pt idx="38">
                  <c:v>21342403.609999973</c:v>
                </c:pt>
                <c:pt idx="39">
                  <c:v>10636823.84</c:v>
                </c:pt>
                <c:pt idx="40">
                  <c:v>175900.21099999995</c:v>
                </c:pt>
                <c:pt idx="41">
                  <c:v>72548202.17900002</c:v>
                </c:pt>
                <c:pt idx="42">
                  <c:v>28574955.476000041</c:v>
                </c:pt>
                <c:pt idx="43">
                  <c:v>39471011.336000018</c:v>
                </c:pt>
              </c:numCache>
            </c:numRef>
          </c:xVal>
          <c:yVal>
            <c:numRef>
              <c:f>scatter_spot!$E$5:$E$48</c:f>
              <c:numCache>
                <c:formatCode>0.00%</c:formatCode>
                <c:ptCount val="44"/>
                <c:pt idx="0">
                  <c:v>0.5494261748900976</c:v>
                </c:pt>
                <c:pt idx="1">
                  <c:v>0.5188242599779268</c:v>
                </c:pt>
                <c:pt idx="2">
                  <c:v>0.53008255520942293</c:v>
                </c:pt>
                <c:pt idx="3">
                  <c:v>0.41126564527466364</c:v>
                </c:pt>
                <c:pt idx="4">
                  <c:v>0.23329400693891636</c:v>
                </c:pt>
                <c:pt idx="5">
                  <c:v>0.12343318387734335</c:v>
                </c:pt>
                <c:pt idx="6">
                  <c:v>0.36895909023932638</c:v>
                </c:pt>
                <c:pt idx="7">
                  <c:v>0.75520341487330844</c:v>
                </c:pt>
                <c:pt idx="8">
                  <c:v>0.76744937015593495</c:v>
                </c:pt>
                <c:pt idx="9">
                  <c:v>0.66131938959150915</c:v>
                </c:pt>
                <c:pt idx="10">
                  <c:v>0.74711115760316693</c:v>
                </c:pt>
                <c:pt idx="11">
                  <c:v>0.83878581492313387</c:v>
                </c:pt>
                <c:pt idx="12">
                  <c:v>0.74901115527325113</c:v>
                </c:pt>
                <c:pt idx="13">
                  <c:v>0.27471127564628928</c:v>
                </c:pt>
                <c:pt idx="14">
                  <c:v>0.46167847002795426</c:v>
                </c:pt>
                <c:pt idx="15">
                  <c:v>0.46010069894687605</c:v>
                </c:pt>
                <c:pt idx="16">
                  <c:v>0.66448203340644207</c:v>
                </c:pt>
                <c:pt idx="17">
                  <c:v>0.65431827292203593</c:v>
                </c:pt>
                <c:pt idx="18">
                  <c:v>0.61784846247901659</c:v>
                </c:pt>
                <c:pt idx="19">
                  <c:v>0.47690161935117736</c:v>
                </c:pt>
                <c:pt idx="20">
                  <c:v>0.54713093899733356</c:v>
                </c:pt>
                <c:pt idx="21">
                  <c:v>0.39863037441855231</c:v>
                </c:pt>
                <c:pt idx="22">
                  <c:v>0.60704186906494206</c:v>
                </c:pt>
                <c:pt idx="23">
                  <c:v>0.37576761263966457</c:v>
                </c:pt>
                <c:pt idx="24">
                  <c:v>0.73797340648760879</c:v>
                </c:pt>
                <c:pt idx="25">
                  <c:v>0.51452965261647854</c:v>
                </c:pt>
                <c:pt idx="26">
                  <c:v>0.61913497089596192</c:v>
                </c:pt>
                <c:pt idx="27">
                  <c:v>0.64984188546167898</c:v>
                </c:pt>
                <c:pt idx="28">
                  <c:v>0.34023351938928659</c:v>
                </c:pt>
                <c:pt idx="29">
                  <c:v>0.42437110578239823</c:v>
                </c:pt>
                <c:pt idx="30">
                  <c:v>0.57706911615230683</c:v>
                </c:pt>
                <c:pt idx="31">
                  <c:v>0.56645885036270205</c:v>
                </c:pt>
                <c:pt idx="32">
                  <c:v>0.45141316723611608</c:v>
                </c:pt>
                <c:pt idx="33">
                  <c:v>0.65783560611838188</c:v>
                </c:pt>
                <c:pt idx="34">
                  <c:v>0.31388726948590284</c:v>
                </c:pt>
                <c:pt idx="35">
                  <c:v>0.67597316696615251</c:v>
                </c:pt>
                <c:pt idx="36">
                  <c:v>0.7095890789686421</c:v>
                </c:pt>
                <c:pt idx="37">
                  <c:v>0.5056779142017398</c:v>
                </c:pt>
                <c:pt idx="38">
                  <c:v>0.36209316580523082</c:v>
                </c:pt>
                <c:pt idx="39">
                  <c:v>0.32268024072484164</c:v>
                </c:pt>
                <c:pt idx="40">
                  <c:v>9.681358261562574E-2</c:v>
                </c:pt>
                <c:pt idx="41">
                  <c:v>0.56148789410490818</c:v>
                </c:pt>
                <c:pt idx="42">
                  <c:v>0.69461925968569294</c:v>
                </c:pt>
                <c:pt idx="43">
                  <c:v>0.73186252490612536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B-49CC-9A46-20683E428643}"/>
            </c:ext>
          </c:extLst>
        </c:ser>
        <c:ser>
          <c:idx val="1"/>
          <c:order val="1"/>
          <c:tx>
            <c:v>Spotter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scatter_spot!$G$8</c:f>
              <c:numCache>
                <c:formatCode>General</c:formatCode>
                <c:ptCount val="1"/>
                <c:pt idx="0">
                  <c:v>27728059.397999998</c:v>
                </c:pt>
              </c:numCache>
            </c:numRef>
          </c:xVal>
          <c:yVal>
            <c:numRef>
              <c:f>scatter_spot!$G$11</c:f>
              <c:numCache>
                <c:formatCode>General</c:formatCode>
                <c:ptCount val="1"/>
                <c:pt idx="0">
                  <c:v>0.5188242599779268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B-49CC-9A46-20683E428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36303"/>
        <c:axId val="1741914767"/>
      </c:scatterChart>
      <c:valAx>
        <c:axId val="175333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14767"/>
        <c:crosses val="autoZero"/>
        <c:crossBetween val="midCat"/>
      </c:valAx>
      <c:valAx>
        <c:axId val="174191476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3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target_bar!$C$4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target_bar!$B$5:$B$16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target_bar!$C$5:$C$16</c:f>
              <c:numCache>
                <c:formatCode>General</c:formatCode>
                <c:ptCount val="12"/>
                <c:pt idx="0">
                  <c:v>2284</c:v>
                </c:pt>
                <c:pt idx="1">
                  <c:v>2343</c:v>
                </c:pt>
                <c:pt idx="2">
                  <c:v>1607</c:v>
                </c:pt>
                <c:pt idx="3">
                  <c:v>1080</c:v>
                </c:pt>
                <c:pt idx="4">
                  <c:v>1642</c:v>
                </c:pt>
                <c:pt idx="5">
                  <c:v>2515</c:v>
                </c:pt>
                <c:pt idx="6">
                  <c:v>1278</c:v>
                </c:pt>
                <c:pt idx="7">
                  <c:v>3565</c:v>
                </c:pt>
                <c:pt idx="8">
                  <c:v>2004</c:v>
                </c:pt>
                <c:pt idx="9">
                  <c:v>1860</c:v>
                </c:pt>
                <c:pt idx="10">
                  <c:v>771</c:v>
                </c:pt>
                <c:pt idx="11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3-4F6F-A7A6-64F01B34C682}"/>
            </c:ext>
          </c:extLst>
        </c:ser>
        <c:ser>
          <c:idx val="1"/>
          <c:order val="1"/>
          <c:tx>
            <c:strRef>
              <c:f>target_bar!$D$4</c:f>
              <c:strCache>
                <c:ptCount val="1"/>
                <c:pt idx="0">
                  <c:v>Above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target_bar!$B$5:$B$16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target_bar!$D$5:$D$16</c:f>
              <c:numCache>
                <c:formatCode>General</c:formatCode>
                <c:ptCount val="12"/>
                <c:pt idx="0">
                  <c:v>2284</c:v>
                </c:pt>
                <c:pt idx="1">
                  <c:v>2343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2515</c:v>
                </c:pt>
                <c:pt idx="6">
                  <c:v>#N/A</c:v>
                </c:pt>
                <c:pt idx="7">
                  <c:v>3565</c:v>
                </c:pt>
                <c:pt idx="8">
                  <c:v>2004</c:v>
                </c:pt>
                <c:pt idx="9">
                  <c:v>1860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3-4F6F-A7A6-64F01B34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3071695"/>
        <c:axId val="1741925999"/>
      </c:barChart>
      <c:scatterChart>
        <c:scatterStyle val="lineMarker"/>
        <c:varyColors val="0"/>
        <c:ser>
          <c:idx val="2"/>
          <c:order val="2"/>
          <c:tx>
            <c:v>Target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11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sq" cmpd="sng" algn="ctr">
                <a:solidFill>
                  <a:schemeClr val="accent5"/>
                </a:solidFill>
                <a:prstDash val="lgDash"/>
                <a:round/>
              </a:ln>
              <a:effectLst/>
            </c:spPr>
          </c:errBars>
          <c:yVal>
            <c:numRef>
              <c:f>target_bar!$F$5</c:f>
              <c:numCache>
                <c:formatCode>General</c:formatCode>
                <c:ptCount val="1"/>
                <c:pt idx="0">
                  <c:v>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D3-4F6F-A7A6-64F01B34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71695"/>
        <c:axId val="1741925999"/>
      </c:scatterChart>
      <c:catAx>
        <c:axId val="14830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25999"/>
        <c:crosses val="autoZero"/>
        <c:auto val="1"/>
        <c:lblAlgn val="ctr"/>
        <c:lblOffset val="100"/>
        <c:noMultiLvlLbl val="0"/>
      </c:catAx>
      <c:valAx>
        <c:axId val="1741925999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Event Line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1332-4506-AF18-2A4CAD735F4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1332-4506-AF18-2A4CAD735F4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1332-4506-AF18-2A4CAD735F4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1332-4506-AF18-2A4CAD735F4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1332-4506-AF18-2A4CAD735F4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32-4506-AF18-2A4CAD735F4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32-4506-AF18-2A4CAD735F4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AF46831-7443-47A9-93E9-7F930DD679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332-4506-AF18-2A4CAD735F4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1332-4506-AF18-2A4CAD735F4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1332-4506-AF18-2A4CAD735F4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1332-4506-AF18-2A4CAD735F4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1332-4506-AF18-2A4CAD735F4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1332-4506-AF18-2A4CAD735F4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C36482A-BCB2-4F10-9722-AE6A5E536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332-4506-AF18-2A4CAD735F4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9D2B0DE-DDE4-4A9A-AEA4-BD95786B4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332-4506-AF18-2A4CAD735F4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1332-4506-AF18-2A4CAD735F4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8FD8E10-BC16-4F60-8F24-D3D8A1BBD4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332-4506-AF18-2A4CAD735F4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1332-4506-AF18-2A4CAD735F4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1332-4506-AF18-2A4CAD735F4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CEC1887-126D-4D56-8A98-87F0F18E99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332-4506-AF18-2A4CAD735F4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1332-4506-AF18-2A4CAD735F4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1332-4506-AF18-2A4CAD735F4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1332-4506-AF18-2A4CAD735F4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1332-4506-AF18-2A4CAD735F4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1332-4506-AF18-2A4CAD735F4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1332-4506-AF18-2A4CAD735F4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1332-4506-AF18-2A4CAD735F4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46D3383-1A45-4DF0-9C07-8780BBECE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332-4506-AF18-2A4CAD735F4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timeline_events!$E$5:$E$32</c:f>
              <c:numCache>
                <c:formatCode>General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114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1104</c:v>
                </c:pt>
                <c:pt idx="15">
                  <c:v>#N/A</c:v>
                </c:pt>
                <c:pt idx="16">
                  <c:v>1919</c:v>
                </c:pt>
                <c:pt idx="17">
                  <c:v>#N/A</c:v>
                </c:pt>
                <c:pt idx="18">
                  <c:v>#N/A</c:v>
                </c:pt>
                <c:pt idx="19">
                  <c:v>628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timeline_events!$D$5:$D$32</c15:f>
                <c15:dlblRangeCache>
                  <c:ptCount val="28"/>
                  <c:pt idx="7">
                    <c:v>DAL01 PODs 2-3 Complete. Only reporting for WDC01 PODs 1-2.</c:v>
                  </c:pt>
                  <c:pt idx="13">
                    <c:v>WDC01 POD 1 and 2 exit Complete</c:v>
                  </c:pt>
                  <c:pt idx="14">
                    <c:v>Begin DLLSTX2, DLLSTX6, DAL07 and SEA01 reporting</c:v>
                  </c:pt>
                  <c:pt idx="16">
                    <c:v>Added DLLSTX7, HSTNTX2, DAL06 and MEL01</c:v>
                  </c:pt>
                  <c:pt idx="19">
                    <c:v>Added DAL01. Removed The Planet, DAL06, DAl07, MEL01 and SEA01</c:v>
                  </c:pt>
                  <c:pt idx="27">
                    <c:v>DAL01 Exit Complete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332-4506-AF18-2A4CAD735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219586975"/>
        <c:axId val="1727224655"/>
      </c:barChart>
      <c:lineChart>
        <c:grouping val="standard"/>
        <c:varyColors val="0"/>
        <c:ser>
          <c:idx val="0"/>
          <c:order val="0"/>
          <c:tx>
            <c:strRef>
              <c:f>timeline_events!$C$4</c:f>
              <c:strCache>
                <c:ptCount val="1"/>
                <c:pt idx="0">
                  <c:v>BM Customer Count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timeline_events!$B$5:$B$32</c:f>
              <c:numCache>
                <c:formatCode>m/d/yyyy</c:formatCode>
                <c:ptCount val="28"/>
                <c:pt idx="0">
                  <c:v>43276</c:v>
                </c:pt>
                <c:pt idx="1">
                  <c:v>43305</c:v>
                </c:pt>
                <c:pt idx="2">
                  <c:v>43340</c:v>
                </c:pt>
                <c:pt idx="3">
                  <c:v>43368</c:v>
                </c:pt>
                <c:pt idx="4">
                  <c:v>43403</c:v>
                </c:pt>
                <c:pt idx="5">
                  <c:v>43434</c:v>
                </c:pt>
                <c:pt idx="6">
                  <c:v>43452</c:v>
                </c:pt>
                <c:pt idx="7">
                  <c:v>43473</c:v>
                </c:pt>
                <c:pt idx="8">
                  <c:v>43494</c:v>
                </c:pt>
                <c:pt idx="9">
                  <c:v>43521</c:v>
                </c:pt>
                <c:pt idx="10">
                  <c:v>43528</c:v>
                </c:pt>
                <c:pt idx="11">
                  <c:v>43549</c:v>
                </c:pt>
                <c:pt idx="12">
                  <c:v>43584</c:v>
                </c:pt>
                <c:pt idx="13">
                  <c:v>43591</c:v>
                </c:pt>
                <c:pt idx="14">
                  <c:v>43598</c:v>
                </c:pt>
                <c:pt idx="15">
                  <c:v>43605</c:v>
                </c:pt>
                <c:pt idx="16">
                  <c:v>43606</c:v>
                </c:pt>
                <c:pt idx="17">
                  <c:v>43614</c:v>
                </c:pt>
                <c:pt idx="18">
                  <c:v>43640</c:v>
                </c:pt>
                <c:pt idx="19">
                  <c:v>43668</c:v>
                </c:pt>
                <c:pt idx="20">
                  <c:v>43677</c:v>
                </c:pt>
                <c:pt idx="21">
                  <c:v>43703</c:v>
                </c:pt>
                <c:pt idx="22">
                  <c:v>43738</c:v>
                </c:pt>
                <c:pt idx="23">
                  <c:v>43766</c:v>
                </c:pt>
                <c:pt idx="24">
                  <c:v>43788</c:v>
                </c:pt>
                <c:pt idx="25">
                  <c:v>43815</c:v>
                </c:pt>
                <c:pt idx="26">
                  <c:v>43857</c:v>
                </c:pt>
                <c:pt idx="27">
                  <c:v>43885</c:v>
                </c:pt>
              </c:numCache>
            </c:numRef>
          </c:cat>
          <c:val>
            <c:numRef>
              <c:f>timeline_events!$C$5:$C$32</c:f>
              <c:numCache>
                <c:formatCode>General</c:formatCode>
                <c:ptCount val="28"/>
                <c:pt idx="0">
                  <c:v>1130</c:v>
                </c:pt>
                <c:pt idx="1">
                  <c:v>1094</c:v>
                </c:pt>
                <c:pt idx="2">
                  <c:v>1028</c:v>
                </c:pt>
                <c:pt idx="3">
                  <c:v>578</c:v>
                </c:pt>
                <c:pt idx="4">
                  <c:v>493</c:v>
                </c:pt>
                <c:pt idx="5">
                  <c:v>381</c:v>
                </c:pt>
                <c:pt idx="6">
                  <c:v>157</c:v>
                </c:pt>
                <c:pt idx="7">
                  <c:v>114</c:v>
                </c:pt>
                <c:pt idx="8">
                  <c:v>101</c:v>
                </c:pt>
                <c:pt idx="9">
                  <c:v>88</c:v>
                </c:pt>
                <c:pt idx="10">
                  <c:v>84</c:v>
                </c:pt>
                <c:pt idx="11">
                  <c:v>6</c:v>
                </c:pt>
                <c:pt idx="12">
                  <c:v>5</c:v>
                </c:pt>
                <c:pt idx="13">
                  <c:v>0</c:v>
                </c:pt>
                <c:pt idx="14">
                  <c:v>1104</c:v>
                </c:pt>
                <c:pt idx="15">
                  <c:v>1100</c:v>
                </c:pt>
                <c:pt idx="16">
                  <c:v>1919</c:v>
                </c:pt>
                <c:pt idx="17">
                  <c:v>1914</c:v>
                </c:pt>
                <c:pt idx="18">
                  <c:v>1866</c:v>
                </c:pt>
                <c:pt idx="19">
                  <c:v>628</c:v>
                </c:pt>
                <c:pt idx="20">
                  <c:v>623</c:v>
                </c:pt>
                <c:pt idx="21">
                  <c:v>598</c:v>
                </c:pt>
                <c:pt idx="22">
                  <c:v>533</c:v>
                </c:pt>
                <c:pt idx="23">
                  <c:v>441</c:v>
                </c:pt>
                <c:pt idx="24">
                  <c:v>231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2-4506-AF18-2A4CAD735F4E}"/>
            </c:ext>
          </c:extLst>
        </c:ser>
        <c:ser>
          <c:idx val="2"/>
          <c:order val="2"/>
          <c:tx>
            <c:v>Spotter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timeline_events!$E$5:$E$32</c:f>
              <c:numCache>
                <c:formatCode>General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114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1104</c:v>
                </c:pt>
                <c:pt idx="15">
                  <c:v>#N/A</c:v>
                </c:pt>
                <c:pt idx="16">
                  <c:v>1919</c:v>
                </c:pt>
                <c:pt idx="17">
                  <c:v>#N/A</c:v>
                </c:pt>
                <c:pt idx="18">
                  <c:v>#N/A</c:v>
                </c:pt>
                <c:pt idx="19">
                  <c:v>628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32-4506-AF18-2A4CAD735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586975"/>
        <c:axId val="1727224655"/>
      </c:lineChart>
      <c:dateAx>
        <c:axId val="1219586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224655"/>
        <c:crosses val="autoZero"/>
        <c:auto val="1"/>
        <c:lblOffset val="100"/>
        <c:baseTimeUnit val="days"/>
      </c:dateAx>
      <c:valAx>
        <c:axId val="1727224655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58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total_bar!$C$4</c:f>
              <c:strCache>
                <c:ptCount val="1"/>
                <c:pt idx="0">
                  <c:v>Preset_533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total_bar!$C$5:$C$7</c:f>
              <c:numCache>
                <c:formatCode>General</c:formatCode>
                <c:ptCount val="3"/>
                <c:pt idx="0">
                  <c:v>22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3-46DF-ACA9-6D80F4AB70FB}"/>
            </c:ext>
          </c:extLst>
        </c:ser>
        <c:ser>
          <c:idx val="2"/>
          <c:order val="1"/>
          <c:tx>
            <c:strRef>
              <c:f>total_bar!$D$4</c:f>
              <c:strCache>
                <c:ptCount val="1"/>
                <c:pt idx="0">
                  <c:v>Preset_535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total_bar!$D$5:$D$7</c:f>
              <c:numCache>
                <c:formatCode>General</c:formatCode>
                <c:ptCount val="3"/>
                <c:pt idx="0">
                  <c:v>116</c:v>
                </c:pt>
                <c:pt idx="1">
                  <c:v>60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3-46DF-ACA9-6D80F4AB70FB}"/>
            </c:ext>
          </c:extLst>
        </c:ser>
        <c:ser>
          <c:idx val="3"/>
          <c:order val="2"/>
          <c:tx>
            <c:strRef>
              <c:f>total_bar!$E$4</c:f>
              <c:strCache>
                <c:ptCount val="1"/>
                <c:pt idx="0">
                  <c:v>Preset_783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total_bar!$E$5:$E$7</c:f>
              <c:numCache>
                <c:formatCode>General</c:formatCode>
                <c:ptCount val="3"/>
                <c:pt idx="0">
                  <c:v>102</c:v>
                </c:pt>
                <c:pt idx="1">
                  <c:v>120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D3-46DF-ACA9-6D80F4AB70FB}"/>
            </c:ext>
          </c:extLst>
        </c:ser>
        <c:ser>
          <c:idx val="4"/>
          <c:order val="3"/>
          <c:tx>
            <c:strRef>
              <c:f>total_bar!$F$4</c:f>
              <c:strCache>
                <c:ptCount val="1"/>
                <c:pt idx="0">
                  <c:v>Preset_785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total_bar!$F$5:$F$7</c:f>
              <c:numCache>
                <c:formatCode>General</c:formatCode>
                <c:ptCount val="3"/>
                <c:pt idx="0">
                  <c:v>37</c:v>
                </c:pt>
                <c:pt idx="1">
                  <c:v>34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D3-46DF-ACA9-6D80F4AB70FB}"/>
            </c:ext>
          </c:extLst>
        </c:ser>
        <c:ser>
          <c:idx val="5"/>
          <c:order val="4"/>
          <c:tx>
            <c:strRef>
              <c:f>total_bar!$G$4</c:f>
              <c:strCache>
                <c:ptCount val="1"/>
                <c:pt idx="0">
                  <c:v>Preset_787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total_bar!$G$5:$G$7</c:f>
              <c:numCache>
                <c:formatCode>General</c:formatCode>
                <c:ptCount val="3"/>
                <c:pt idx="0">
                  <c:v>2</c:v>
                </c:pt>
                <c:pt idx="1">
                  <c:v>10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D3-46DF-ACA9-6D80F4AB70FB}"/>
            </c:ext>
          </c:extLst>
        </c:ser>
        <c:ser>
          <c:idx val="6"/>
          <c:order val="5"/>
          <c:tx>
            <c:strRef>
              <c:f>total_bar!$H$4</c:f>
              <c:strCache>
                <c:ptCount val="1"/>
                <c:pt idx="0">
                  <c:v>Preset_789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total_bar!$H$5:$H$7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D3-46DF-ACA9-6D80F4AB7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1016208"/>
        <c:axId val="1016505168"/>
      </c:barChart>
      <c:lineChart>
        <c:grouping val="standard"/>
        <c:varyColors val="0"/>
        <c:ser>
          <c:idx val="7"/>
          <c:order val="6"/>
          <c:tx>
            <c:strRef>
              <c:f>total_bar!$I$4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total_bar!$I$5:$I$7</c:f>
              <c:numCache>
                <c:formatCode>General</c:formatCode>
                <c:ptCount val="3"/>
                <c:pt idx="0">
                  <c:v>285</c:v>
                </c:pt>
                <c:pt idx="1">
                  <c:v>231</c:v>
                </c:pt>
                <c:pt idx="2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D3-46DF-ACA9-6D80F4AB70FB}"/>
            </c:ext>
          </c:extLst>
        </c:ser>
        <c:ser>
          <c:idx val="8"/>
          <c:order val="7"/>
          <c:tx>
            <c:strRef>
              <c:f>total_bar!$J$4</c:f>
              <c:strCache>
                <c:ptCount val="1"/>
                <c:pt idx="0">
                  <c:v>Bottom Line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total_bar!$B$5:$B$7</c:f>
              <c:numCache>
                <c:formatCode>General</c:formatCode>
                <c:ptCount val="3"/>
                <c:pt idx="0">
                  <c:v>201912</c:v>
                </c:pt>
                <c:pt idx="1">
                  <c:v>202001</c:v>
                </c:pt>
                <c:pt idx="2">
                  <c:v>202002</c:v>
                </c:pt>
              </c:numCache>
            </c:numRef>
          </c:cat>
          <c:val>
            <c:numRef>
              <c:f>total_bar!$J$5:$J$7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D3-46DF-ACA9-6D80F4AB7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5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gradFill>
                <a:gsLst>
                  <a:gs pos="100000">
                    <a:schemeClr val="bg1">
                      <a:alpha val="0"/>
                    </a:schemeClr>
                  </a:gs>
                  <a:gs pos="0">
                    <a:schemeClr val="accent2"/>
                  </a:gs>
                </a:gsLst>
                <a:lin ang="5400000" scaled="1"/>
              </a:gra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001016208"/>
        <c:axId val="1016505168"/>
      </c:lineChart>
      <c:catAx>
        <c:axId val="100101620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accent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505168"/>
        <c:crosses val="autoZero"/>
        <c:auto val="1"/>
        <c:lblAlgn val="ctr"/>
        <c:lblOffset val="100"/>
        <c:noMultiLvlLbl val="0"/>
      </c:catAx>
      <c:valAx>
        <c:axId val="1016505168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Preset</a:t>
            </a:r>
            <a:r>
              <a:rPr lang="en-US" baseline="0"/>
              <a:t> Counts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total_bar!$B$5</c:f>
              <c:strCache>
                <c:ptCount val="1"/>
                <c:pt idx="0">
                  <c:v>201912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total_bar!$C$4:$H$4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total_bar!$C$5:$H$5</c:f>
              <c:numCache>
                <c:formatCode>General</c:formatCode>
                <c:ptCount val="6"/>
                <c:pt idx="0">
                  <c:v>22</c:v>
                </c:pt>
                <c:pt idx="1">
                  <c:v>116</c:v>
                </c:pt>
                <c:pt idx="2">
                  <c:v>102</c:v>
                </c:pt>
                <c:pt idx="3">
                  <c:v>37</c:v>
                </c:pt>
                <c:pt idx="4">
                  <c:v>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966-9D2F-FA59BF0D96EC}"/>
            </c:ext>
          </c:extLst>
        </c:ser>
        <c:ser>
          <c:idx val="1"/>
          <c:order val="1"/>
          <c:tx>
            <c:strRef>
              <c:f>total_bar!$B$6</c:f>
              <c:strCache>
                <c:ptCount val="1"/>
                <c:pt idx="0">
                  <c:v>202001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total_bar!$C$4:$H$4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total_bar!$C$6:$H$6</c:f>
              <c:numCache>
                <c:formatCode>General</c:formatCode>
                <c:ptCount val="6"/>
                <c:pt idx="0">
                  <c:v>2</c:v>
                </c:pt>
                <c:pt idx="1">
                  <c:v>60</c:v>
                </c:pt>
                <c:pt idx="2">
                  <c:v>120</c:v>
                </c:pt>
                <c:pt idx="3">
                  <c:v>34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F-4966-9D2F-FA59BF0D96EC}"/>
            </c:ext>
          </c:extLst>
        </c:ser>
        <c:ser>
          <c:idx val="2"/>
          <c:order val="2"/>
          <c:tx>
            <c:strRef>
              <c:f>total_bar!$B$7</c:f>
              <c:strCache>
                <c:ptCount val="1"/>
                <c:pt idx="0">
                  <c:v>202002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total_bar!$C$4:$H$4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total_bar!$C$7:$H$7</c:f>
              <c:numCache>
                <c:formatCode>General</c:formatCode>
                <c:ptCount val="6"/>
                <c:pt idx="0">
                  <c:v>7</c:v>
                </c:pt>
                <c:pt idx="1">
                  <c:v>45</c:v>
                </c:pt>
                <c:pt idx="2">
                  <c:v>92</c:v>
                </c:pt>
                <c:pt idx="3">
                  <c:v>24</c:v>
                </c:pt>
                <c:pt idx="4">
                  <c:v>13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F-4966-9D2F-FA59BF0D9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9102608"/>
        <c:axId val="1016491856"/>
      </c:barChart>
      <c:lineChart>
        <c:grouping val="standard"/>
        <c:varyColors val="0"/>
        <c:ser>
          <c:idx val="3"/>
          <c:order val="3"/>
          <c:tx>
            <c:strRef>
              <c:f>total_bar!$B$8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solidFill>
                <a:srgbClr val="006088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total_bar!$C$4:$H$4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total_bar!$C$8:$H$8</c:f>
              <c:numCache>
                <c:formatCode>General</c:formatCode>
                <c:ptCount val="6"/>
                <c:pt idx="0">
                  <c:v>31</c:v>
                </c:pt>
                <c:pt idx="1">
                  <c:v>221</c:v>
                </c:pt>
                <c:pt idx="2">
                  <c:v>314</c:v>
                </c:pt>
                <c:pt idx="3">
                  <c:v>95</c:v>
                </c:pt>
                <c:pt idx="4">
                  <c:v>25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1F-4966-9D2F-FA59BF0D96EC}"/>
            </c:ext>
          </c:extLst>
        </c:ser>
        <c:ser>
          <c:idx val="4"/>
          <c:order val="4"/>
          <c:tx>
            <c:strRef>
              <c:f>total_bar!$B$9</c:f>
              <c:strCache>
                <c:ptCount val="1"/>
                <c:pt idx="0">
                  <c:v>Bottom Line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total_bar!$C$4:$H$4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total_bar!$C$9:$H$9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F-4966-9D2F-FA59BF0D9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gradFill>
                <a:gsLst>
                  <a:gs pos="100000">
                    <a:schemeClr val="bg1">
                      <a:alpha val="0"/>
                    </a:schemeClr>
                  </a:gs>
                  <a:gs pos="0">
                    <a:schemeClr val="accent1"/>
                  </a:gs>
                </a:gsLst>
                <a:lin ang="5400000" scaled="1"/>
              </a:gra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019102608"/>
        <c:axId val="1016491856"/>
      </c:lineChart>
      <c:catAx>
        <c:axId val="101910260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91856"/>
        <c:crosses val="autoZero"/>
        <c:auto val="1"/>
        <c:lblAlgn val="ctr"/>
        <c:lblOffset val="100"/>
        <c:noMultiLvlLbl val="0"/>
      </c:catAx>
      <c:valAx>
        <c:axId val="1016491856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0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FSP Counts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custom_bar!$D$4</c:f>
              <c:strCache>
                <c:ptCount val="1"/>
                <c:pt idx="0">
                  <c:v>Stack1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F2A7FD1-957E-4735-BC18-7A358598A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C7B-4B81-BB3D-C670439D229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05FBF6-2780-43CC-9805-FD5CAE637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C7B-4B81-BB3D-C670439D22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787B62-306F-4C4E-B136-4A3D4126F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C7B-4B81-BB3D-C670439D229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125E56C-C547-4BA1-A114-C91B2BCBB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C7B-4B81-BB3D-C670439D229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6B103A-3539-4E11-A451-E91B709AB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C7B-4B81-BB3D-C670439D229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ECF0B09-5E30-453D-BBD1-3274AB9053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C7B-4B81-BB3D-C670439D22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custom_bar!$B$5:$B$10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custom_bar!$D$5:$D$10</c:f>
              <c:numCache>
                <c:formatCode>General</c:formatCode>
                <c:ptCount val="6"/>
                <c:pt idx="0">
                  <c:v>262.5</c:v>
                </c:pt>
                <c:pt idx="1">
                  <c:v>173.5</c:v>
                </c:pt>
                <c:pt idx="2">
                  <c:v>266.5</c:v>
                </c:pt>
                <c:pt idx="3">
                  <c:v>47.5</c:v>
                </c:pt>
                <c:pt idx="4">
                  <c:v>203.5</c:v>
                </c:pt>
                <c:pt idx="5">
                  <c:v>134.5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custom_bar!$B$5:$B$10</c15:f>
                <c15:dlblRangeCache>
                  <c:ptCount val="6"/>
                  <c:pt idx="0">
                    <c:v>Preset_533</c:v>
                  </c:pt>
                  <c:pt idx="1">
                    <c:v>Preset_535</c:v>
                  </c:pt>
                  <c:pt idx="2">
                    <c:v>Preset_783</c:v>
                  </c:pt>
                  <c:pt idx="3">
                    <c:v>Preset_785</c:v>
                  </c:pt>
                  <c:pt idx="4">
                    <c:v>Preset_787</c:v>
                  </c:pt>
                  <c:pt idx="5">
                    <c:v>Preset_789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C7B-4B81-BB3D-C670439D2297}"/>
            </c:ext>
          </c:extLst>
        </c:ser>
        <c:ser>
          <c:idx val="1"/>
          <c:order val="1"/>
          <c:tx>
            <c:strRef>
              <c:f>custom_bar!$E$4</c:f>
              <c:strCache>
                <c:ptCount val="1"/>
                <c:pt idx="0">
                  <c:v>Stack2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2A02804-7439-4E4C-B63B-5D4FF9F8EE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C7B-4B81-BB3D-C670439D229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1723A7-AE0E-4F8B-8258-B47A397DC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C7B-4B81-BB3D-C670439D22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9CA731-C467-42D2-BC52-995A197C6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C7B-4B81-BB3D-C670439D229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084E6AA-4888-480F-A916-98F46BC023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C7B-4B81-BB3D-C670439D229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60FCEE-9636-48EF-B043-97C963D95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C7B-4B81-BB3D-C670439D229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C9E0F58-660A-4E60-9996-E782077C5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C7B-4B81-BB3D-C670439D22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custom_bar!$B$5:$B$10</c:f>
              <c:strCache>
                <c:ptCount val="6"/>
                <c:pt idx="0">
                  <c:v>Preset_533</c:v>
                </c:pt>
                <c:pt idx="1">
                  <c:v>Preset_535</c:v>
                </c:pt>
                <c:pt idx="2">
                  <c:v>Preset_783</c:v>
                </c:pt>
                <c:pt idx="3">
                  <c:v>Preset_785</c:v>
                </c:pt>
                <c:pt idx="4">
                  <c:v>Preset_787</c:v>
                </c:pt>
                <c:pt idx="5">
                  <c:v>Preset_789</c:v>
                </c:pt>
              </c:strCache>
            </c:strRef>
          </c:cat>
          <c:val>
            <c:numRef>
              <c:f>custom_bar!$E$5:$E$10</c:f>
              <c:numCache>
                <c:formatCode>General</c:formatCode>
                <c:ptCount val="6"/>
                <c:pt idx="0">
                  <c:v>47.5</c:v>
                </c:pt>
                <c:pt idx="1">
                  <c:v>47.5</c:v>
                </c:pt>
                <c:pt idx="2">
                  <c:v>47.5</c:v>
                </c:pt>
                <c:pt idx="3">
                  <c:v>47.5</c:v>
                </c:pt>
                <c:pt idx="4">
                  <c:v>47.5</c:v>
                </c:pt>
                <c:pt idx="5">
                  <c:v>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custom_bar!$C$5:$C$10</c15:f>
                <c15:dlblRangeCache>
                  <c:ptCount val="6"/>
                  <c:pt idx="0">
                    <c:v>310</c:v>
                  </c:pt>
                  <c:pt idx="1">
                    <c:v>221</c:v>
                  </c:pt>
                  <c:pt idx="2">
                    <c:v>314</c:v>
                  </c:pt>
                  <c:pt idx="3">
                    <c:v>95</c:v>
                  </c:pt>
                  <c:pt idx="4">
                    <c:v>251</c:v>
                  </c:pt>
                  <c:pt idx="5">
                    <c:v>182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C7B-4B81-BB3D-C670439D22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888535999"/>
        <c:axId val="1463616911"/>
      </c:barChart>
      <c:barChart>
        <c:barDir val="col"/>
        <c:grouping val="stacked"/>
        <c:varyColors val="0"/>
        <c:ser>
          <c:idx val="2"/>
          <c:order val="2"/>
          <c:tx>
            <c:strRef>
              <c:f>custom_bar!$F$4</c:f>
              <c:strCache>
                <c:ptCount val="1"/>
                <c:pt idx="0">
                  <c:v>Stack1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custom_bar!$F$5:$F$10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266.5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B-4B81-BB3D-C670439D2297}"/>
            </c:ext>
          </c:extLst>
        </c:ser>
        <c:ser>
          <c:idx val="3"/>
          <c:order val="3"/>
          <c:tx>
            <c:strRef>
              <c:f>custom_bar!$G$4</c:f>
              <c:strCache>
                <c:ptCount val="1"/>
                <c:pt idx="0">
                  <c:v>Stack2 Max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custom_bar!$G$5:$G$10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47.5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B-4B81-BB3D-C670439D2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88467999"/>
        <c:axId val="1899570735"/>
      </c:barChart>
      <c:catAx>
        <c:axId val="1888535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63616911"/>
        <c:crosses val="autoZero"/>
        <c:auto val="1"/>
        <c:lblAlgn val="ctr"/>
        <c:lblOffset val="100"/>
        <c:noMultiLvlLbl val="0"/>
      </c:catAx>
      <c:valAx>
        <c:axId val="1463616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8535999"/>
        <c:crosses val="autoZero"/>
        <c:crossBetween val="between"/>
      </c:valAx>
      <c:valAx>
        <c:axId val="1899570735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88467999"/>
        <c:crosses val="max"/>
        <c:crossBetween val="between"/>
      </c:valAx>
      <c:catAx>
        <c:axId val="1888467999"/>
        <c:scaling>
          <c:orientation val="minMax"/>
        </c:scaling>
        <c:delete val="1"/>
        <c:axPos val="b"/>
        <c:majorTickMark val="out"/>
        <c:minorTickMark val="none"/>
        <c:tickLblPos val="nextTo"/>
        <c:crossAx val="189957073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MZR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59B1E17-E55B-4300-B943-9BD56D481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4C1-4F31-88B3-4182A848FDC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D98B095-D76A-45A4-B703-5F04AA86C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C1-4F31-88B3-4182A848FDC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12B59C-B2BF-47E2-B21F-DD52AC3163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C1-4F31-88B3-4182A848FDC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BF05D56-B482-4E07-9966-A6893291A2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C1-4F31-88B3-4182A848FDC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B2FBC7-7355-49DA-B956-E6F8C97D5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C1-4F31-88B3-4182A848FDC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7AA4A3-33D1-41BA-875F-73C1571463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C1-4F31-88B3-4182A848FD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map!$H$6:$H$11</c:f>
              <c:numCache>
                <c:formatCode>General</c:formatCode>
                <c:ptCount val="6"/>
                <c:pt idx="0">
                  <c:v>2</c:v>
                </c:pt>
                <c:pt idx="1">
                  <c:v>4.9000000000000004</c:v>
                </c:pt>
                <c:pt idx="2">
                  <c:v>4.7</c:v>
                </c:pt>
                <c:pt idx="3">
                  <c:v>8.9</c:v>
                </c:pt>
                <c:pt idx="4">
                  <c:v>8.6</c:v>
                </c:pt>
                <c:pt idx="5">
                  <c:v>2.6</c:v>
                </c:pt>
              </c:numCache>
            </c:numRef>
          </c:xVal>
          <c:yVal>
            <c:numRef>
              <c:f>map!$I$6:$I$11</c:f>
              <c:numCache>
                <c:formatCode>General</c:formatCode>
                <c:ptCount val="6"/>
                <c:pt idx="0">
                  <c:v>5.2</c:v>
                </c:pt>
                <c:pt idx="1">
                  <c:v>6.6</c:v>
                </c:pt>
                <c:pt idx="2">
                  <c:v>6.8</c:v>
                </c:pt>
                <c:pt idx="3">
                  <c:v>1.6</c:v>
                </c:pt>
                <c:pt idx="4">
                  <c:v>5.7</c:v>
                </c:pt>
                <c:pt idx="5">
                  <c:v>5.9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map!$K$6:$K$11</c15:f>
                <c15:dlblRangeCache>
                  <c:ptCount val="6"/>
                  <c:pt idx="0">
                    <c:v>Dallas, 601</c:v>
                  </c:pt>
                  <c:pt idx="1">
                    <c:v>Frankfurt, 312</c:v>
                  </c:pt>
                  <c:pt idx="2">
                    <c:v>London, 344</c:v>
                  </c:pt>
                  <c:pt idx="3">
                    <c:v>Sydney, 144</c:v>
                  </c:pt>
                  <c:pt idx="4">
                    <c:v>Tokyo, 356</c:v>
                  </c:pt>
                  <c:pt idx="5">
                    <c:v>Washington, DC, 193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64C1-4F31-88B3-4182A848FDC1}"/>
            </c:ext>
          </c:extLst>
        </c:ser>
        <c:ser>
          <c:idx val="1"/>
          <c:order val="1"/>
          <c:tx>
            <c:strRef>
              <c:f>map!$F$12</c:f>
              <c:strCache>
                <c:ptCount val="1"/>
                <c:pt idx="0">
                  <c:v>Max Spotter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map!$H$12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map!$I$12</c:f>
              <c:numCache>
                <c:formatCode>General</c:formatCode>
                <c:ptCount val="1"/>
                <c:pt idx="0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C1-4F31-88B3-4182A848F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99087"/>
        <c:axId val="2133680159"/>
      </c:scatterChart>
      <c:valAx>
        <c:axId val="337599087"/>
        <c:scaling>
          <c:orientation val="minMax"/>
          <c:max val="1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33680159"/>
        <c:crosses val="autoZero"/>
        <c:crossBetween val="midCat"/>
      </c:valAx>
      <c:valAx>
        <c:axId val="2133680159"/>
        <c:scaling>
          <c:orientation val="minMax"/>
          <c:max val="1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75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map!$F$5</c:f>
              <c:strCache>
                <c:ptCount val="1"/>
                <c:pt idx="0">
                  <c:v>MZR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352A498-9055-48BD-92BD-0C4B17185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B-44A7-92FD-784B0EAA90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CC71F9-183E-47A7-AAF5-5F5743E019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3B-44A7-92FD-784B0EAA90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8976B3-3276-431E-874D-8E1183490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63B-44A7-92FD-784B0EAA90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F6B9665-4D00-4F38-A826-15CC03B951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63B-44A7-92FD-784B0EAA90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1E63986-45EF-4620-AB94-BEEB79D27E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63B-44A7-92FD-784B0EAA90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F49BE5D-50F6-46AB-9193-B9C72E358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63B-44A7-92FD-784B0EAA90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map!$H$6:$H$11</c:f>
              <c:numCache>
                <c:formatCode>General</c:formatCode>
                <c:ptCount val="6"/>
                <c:pt idx="0">
                  <c:v>2</c:v>
                </c:pt>
                <c:pt idx="1">
                  <c:v>4.9000000000000004</c:v>
                </c:pt>
                <c:pt idx="2">
                  <c:v>4.7</c:v>
                </c:pt>
                <c:pt idx="3">
                  <c:v>8.9</c:v>
                </c:pt>
                <c:pt idx="4">
                  <c:v>8.6</c:v>
                </c:pt>
                <c:pt idx="5">
                  <c:v>2.6</c:v>
                </c:pt>
              </c:numCache>
            </c:numRef>
          </c:xVal>
          <c:yVal>
            <c:numRef>
              <c:f>map!$I$6:$I$11</c:f>
              <c:numCache>
                <c:formatCode>General</c:formatCode>
                <c:ptCount val="6"/>
                <c:pt idx="0">
                  <c:v>5.2</c:v>
                </c:pt>
                <c:pt idx="1">
                  <c:v>6.6</c:v>
                </c:pt>
                <c:pt idx="2">
                  <c:v>6.8</c:v>
                </c:pt>
                <c:pt idx="3">
                  <c:v>1.6</c:v>
                </c:pt>
                <c:pt idx="4">
                  <c:v>5.7</c:v>
                </c:pt>
                <c:pt idx="5">
                  <c:v>5.9</c:v>
                </c:pt>
              </c:numCache>
            </c:numRef>
          </c:yVal>
          <c:bubbleSize>
            <c:numRef>
              <c:f>map!$G$6:$G$11</c:f>
              <c:numCache>
                <c:formatCode>General</c:formatCode>
                <c:ptCount val="6"/>
                <c:pt idx="0">
                  <c:v>601</c:v>
                </c:pt>
                <c:pt idx="1">
                  <c:v>312</c:v>
                </c:pt>
                <c:pt idx="2">
                  <c:v>344</c:v>
                </c:pt>
                <c:pt idx="3">
                  <c:v>144</c:v>
                </c:pt>
                <c:pt idx="4">
                  <c:v>356</c:v>
                </c:pt>
                <c:pt idx="5">
                  <c:v>193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map!$G$6:$G$11</c15:f>
                <c15:dlblRangeCache>
                  <c:ptCount val="6"/>
                  <c:pt idx="0">
                    <c:v>601</c:v>
                  </c:pt>
                  <c:pt idx="1">
                    <c:v>312</c:v>
                  </c:pt>
                  <c:pt idx="2">
                    <c:v>344</c:v>
                  </c:pt>
                  <c:pt idx="3">
                    <c:v>144</c:v>
                  </c:pt>
                  <c:pt idx="4">
                    <c:v>356</c:v>
                  </c:pt>
                  <c:pt idx="5">
                    <c:v>193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63B-44A7-92FD-784B0EAA905B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xVal>
            <c:numRef>
              <c:f>map!$H$6:$H$11</c:f>
              <c:numCache>
                <c:formatCode>General</c:formatCode>
                <c:ptCount val="6"/>
                <c:pt idx="0">
                  <c:v>2</c:v>
                </c:pt>
                <c:pt idx="1">
                  <c:v>4.9000000000000004</c:v>
                </c:pt>
                <c:pt idx="2">
                  <c:v>4.7</c:v>
                </c:pt>
                <c:pt idx="3">
                  <c:v>8.9</c:v>
                </c:pt>
                <c:pt idx="4">
                  <c:v>8.6</c:v>
                </c:pt>
                <c:pt idx="5">
                  <c:v>2.6</c:v>
                </c:pt>
              </c:numCache>
            </c:numRef>
          </c:xVal>
          <c:yVal>
            <c:numRef>
              <c:f>map!$I$6:$I$11</c:f>
              <c:numCache>
                <c:formatCode>General</c:formatCode>
                <c:ptCount val="6"/>
                <c:pt idx="0">
                  <c:v>5.2</c:v>
                </c:pt>
                <c:pt idx="1">
                  <c:v>6.6</c:v>
                </c:pt>
                <c:pt idx="2">
                  <c:v>6.8</c:v>
                </c:pt>
                <c:pt idx="3">
                  <c:v>1.6</c:v>
                </c:pt>
                <c:pt idx="4">
                  <c:v>5.7</c:v>
                </c:pt>
                <c:pt idx="5">
                  <c:v>5.9</c:v>
                </c:pt>
              </c:numCache>
            </c:numRef>
          </c:yVal>
          <c:bubbleSize>
            <c:numRef>
              <c:f>map!$J$6:$J$11</c:f>
              <c:numCache>
                <c:formatCode>General</c:formatCode>
                <c:ptCount val="6"/>
                <c:pt idx="0">
                  <c:v>601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63B-44A7-92FD-784B0EAA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37599087"/>
        <c:axId val="2133680159"/>
      </c:bubbleChart>
      <c:valAx>
        <c:axId val="337599087"/>
        <c:scaling>
          <c:orientation val="minMax"/>
          <c:max val="1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33680159"/>
        <c:crosses val="autoZero"/>
        <c:crossBetween val="midCat"/>
      </c:valAx>
      <c:valAx>
        <c:axId val="2133680159"/>
        <c:scaling>
          <c:orientation val="minMax"/>
          <c:max val="1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75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 box plot shows </a:t>
            </a:r>
            <a:r>
              <a:rPr lang="en-US" sz="1400" b="1" i="0" u="sng" strike="noStrike" baseline="0">
                <a:effectLst/>
              </a:rPr>
              <a:t>Dispersion.</a:t>
            </a:r>
            <a:r>
              <a:rPr lang="en-US" sz="1400" b="0" i="0" u="none" strike="noStrike" baseline="0">
                <a:effectLst/>
              </a:rPr>
              <a:t> Always include this word in the title.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Hidden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box_plot!$G$17:$H$17</c:f>
                <c:numCache>
                  <c:formatCode>General</c:formatCode>
                  <c:ptCount val="2"/>
                  <c:pt idx="0">
                    <c:v>536.5</c:v>
                  </c:pt>
                  <c:pt idx="1">
                    <c:v>321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box_plot!$G$4:$H$4</c:f>
              <c:strCache>
                <c:ptCount val="2"/>
                <c:pt idx="0">
                  <c:v>2019 Com</c:v>
                </c:pt>
                <c:pt idx="1">
                  <c:v>2018 Com</c:v>
                </c:pt>
              </c:strCache>
            </c:strRef>
          </c:cat>
          <c:val>
            <c:numRef>
              <c:f>box_plot!$G$11:$H$11</c:f>
              <c:numCache>
                <c:formatCode>#,##0</c:formatCode>
                <c:ptCount val="2"/>
                <c:pt idx="0">
                  <c:v>1228.5</c:v>
                </c:pt>
                <c:pt idx="1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926-8E88-CA6374453A8C}"/>
            </c:ext>
          </c:extLst>
        </c:ser>
        <c:ser>
          <c:idx val="1"/>
          <c:order val="1"/>
          <c:tx>
            <c:v>Below Median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box_plot!$G$4:$H$4</c:f>
              <c:strCache>
                <c:ptCount val="2"/>
                <c:pt idx="0">
                  <c:v>2019 Com</c:v>
                </c:pt>
                <c:pt idx="1">
                  <c:v>2018 Com</c:v>
                </c:pt>
              </c:strCache>
            </c:strRef>
          </c:cat>
          <c:val>
            <c:numRef>
              <c:f>box_plot!$G$12:$H$12</c:f>
              <c:numCache>
                <c:formatCode>#,##0</c:formatCode>
                <c:ptCount val="2"/>
                <c:pt idx="0">
                  <c:v>522.5</c:v>
                </c:pt>
                <c:pt idx="1">
                  <c:v>586.5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926-8E88-CA6374453A8C}"/>
            </c:ext>
          </c:extLst>
        </c:ser>
        <c:ser>
          <c:idx val="2"/>
          <c:order val="2"/>
          <c:tx>
            <c:v>Above Median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box_plot!$G$16:$H$16</c:f>
                <c:numCache>
                  <c:formatCode>General</c:formatCode>
                  <c:ptCount val="2"/>
                  <c:pt idx="0">
                    <c:v>1266.25</c:v>
                  </c:pt>
                  <c:pt idx="1">
                    <c:v>1384.25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box_plot!$G$4:$H$4</c:f>
              <c:strCache>
                <c:ptCount val="2"/>
                <c:pt idx="0">
                  <c:v>2019 Com</c:v>
                </c:pt>
                <c:pt idx="1">
                  <c:v>2018 Com</c:v>
                </c:pt>
              </c:strCache>
            </c:strRef>
          </c:cat>
          <c:val>
            <c:numRef>
              <c:f>box_plot!$G$13:$H$13</c:f>
              <c:numCache>
                <c:formatCode>#,##0</c:formatCode>
                <c:ptCount val="2"/>
                <c:pt idx="0">
                  <c:v>547.75</c:v>
                </c:pt>
                <c:pt idx="1">
                  <c:v>475.25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FB-4926-8E88-CA6374453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778271"/>
        <c:axId val="1885053087"/>
      </c:barChart>
      <c:lineChart>
        <c:grouping val="standard"/>
        <c:varyColors val="0"/>
        <c:ser>
          <c:idx val="3"/>
          <c:order val="3"/>
          <c:tx>
            <c:strRef>
              <c:f>box_plot!$F$14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tx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box_plot!$G$4:$H$4</c:f>
              <c:strCache>
                <c:ptCount val="2"/>
                <c:pt idx="0">
                  <c:v>2019 Com</c:v>
                </c:pt>
                <c:pt idx="1">
                  <c:v>2018 Com</c:v>
                </c:pt>
              </c:strCache>
            </c:strRef>
          </c:cat>
          <c:val>
            <c:numRef>
              <c:f>box_plot!$G$14:$H$14</c:f>
              <c:numCache>
                <c:formatCode>#,##0</c:formatCode>
                <c:ptCount val="2"/>
                <c:pt idx="0">
                  <c:v>1803.4166666666667</c:v>
                </c:pt>
                <c:pt idx="1">
                  <c:v>2380.8333333333335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FB-4926-8E88-CA6374453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778271"/>
        <c:axId val="1885053087"/>
      </c:lineChart>
      <c:catAx>
        <c:axId val="197177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53087"/>
        <c:crosses val="autoZero"/>
        <c:auto val="1"/>
        <c:lblAlgn val="ctr"/>
        <c:lblOffset val="100"/>
        <c:noMultiLvlLbl val="0"/>
      </c:catAx>
      <c:valAx>
        <c:axId val="18850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panel!$C$5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panel!$C$6:$C$11</c:f>
              <c:numCache>
                <c:formatCode>_([$$-409]* #,##0.00_);_([$$-409]* \(#,##0.00\);_([$$-409]* "-"??_);_(@_)</c:formatCode>
                <c:ptCount val="6"/>
                <c:pt idx="0">
                  <c:v>202084</c:v>
                </c:pt>
                <c:pt idx="1">
                  <c:v>152350.72469999999</c:v>
                </c:pt>
                <c:pt idx="2">
                  <c:v>47356.11</c:v>
                </c:pt>
                <c:pt idx="3">
                  <c:v>56812.08</c:v>
                </c:pt>
                <c:pt idx="4">
                  <c:v>32163.38</c:v>
                </c:pt>
                <c:pt idx="5">
                  <c:v>38678.362199999996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D-442A-B81E-AB57E1568ED6}"/>
            </c:ext>
          </c:extLst>
        </c:ser>
        <c:ser>
          <c:idx val="1"/>
          <c:order val="1"/>
          <c:tx>
            <c:strRef>
              <c:f>panel!$D$5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panel!$D$6:$D$11</c:f>
              <c:numCache>
                <c:formatCode>_([$$-409]* #,##0.00_);_([$$-409]* \(#,##0.00\);_([$$-409]* "-"??_);_(@_)</c:formatCode>
                <c:ptCount val="6"/>
                <c:pt idx="0">
                  <c:v>42539.9467</c:v>
                </c:pt>
                <c:pt idx="1">
                  <c:v>72066.899999999994</c:v>
                </c:pt>
                <c:pt idx="2">
                  <c:v>198086.715</c:v>
                </c:pt>
                <c:pt idx="3">
                  <c:v>68299.319999999992</c:v>
                </c:pt>
                <c:pt idx="4">
                  <c:v>54799.58</c:v>
                </c:pt>
                <c:pt idx="5">
                  <c:v>52832.57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D-442A-B81E-AB57E1568ED6}"/>
            </c:ext>
          </c:extLst>
        </c:ser>
        <c:ser>
          <c:idx val="2"/>
          <c:order val="2"/>
          <c:tx>
            <c:strRef>
              <c:f>panel!$E$5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panel!$E$6:$E$11</c:f>
              <c:numCache>
                <c:formatCode>_([$$-409]* #,##0.00_);_([$$-409]* \(#,##0.00\);_([$$-409]* "-"??_);_(@_)</c:formatCode>
                <c:ptCount val="6"/>
                <c:pt idx="0">
                  <c:v>34073.19999999999</c:v>
                </c:pt>
                <c:pt idx="1">
                  <c:v>26460.65</c:v>
                </c:pt>
                <c:pt idx="2">
                  <c:v>50632.799999999996</c:v>
                </c:pt>
                <c:pt idx="3">
                  <c:v>121176.26</c:v>
                </c:pt>
                <c:pt idx="4">
                  <c:v>45457.116999999998</c:v>
                </c:pt>
                <c:pt idx="5">
                  <c:v>42482.591400000005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D-442A-B81E-AB57E1568ED6}"/>
            </c:ext>
          </c:extLst>
        </c:ser>
        <c:ser>
          <c:idx val="3"/>
          <c:order val="3"/>
          <c:tx>
            <c:strRef>
              <c:f>panel!$F$5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panel!$F$6:$F$11</c:f>
              <c:numCache>
                <c:formatCode>_([$$-409]* #,##0.00_);_([$$-409]* \(#,##0.00\);_([$$-409]* "-"??_);_(@_)</c:formatCode>
                <c:ptCount val="6"/>
                <c:pt idx="0">
                  <c:v>49176.649999999994</c:v>
                </c:pt>
                <c:pt idx="1">
                  <c:v>34810.887500000004</c:v>
                </c:pt>
                <c:pt idx="2">
                  <c:v>64811.902500000004</c:v>
                </c:pt>
                <c:pt idx="3">
                  <c:v>54178.750000000007</c:v>
                </c:pt>
                <c:pt idx="4">
                  <c:v>65982.98</c:v>
                </c:pt>
                <c:pt idx="5">
                  <c:v>148350.78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D-442A-B81E-AB57E156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69530655"/>
        <c:axId val="1842456591"/>
      </c:barChart>
      <c:barChart>
        <c:barDir val="col"/>
        <c:grouping val="clustered"/>
        <c:varyColors val="0"/>
        <c:ser>
          <c:idx val="4"/>
          <c:order val="4"/>
          <c:tx>
            <c:strRef>
              <c:f>panel!$G$5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CDD-442A-B81E-AB57E1568ED6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DD-442A-B81E-AB57E1568ED6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CDD-442A-B81E-AB57E1568ED6}"/>
              </c:ext>
            </c:extLst>
          </c:dPt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panel!$G$6:$G$11</c:f>
              <c:numCache>
                <c:formatCode>_([$$-409]* #,##0.00_);_([$$-409]* \(#,##0.00\);_([$$-409]* "-"??_);_(@_)</c:formatCode>
                <c:ptCount val="6"/>
                <c:pt idx="0">
                  <c:v>85000</c:v>
                </c:pt>
                <c:pt idx="1">
                  <c:v>85000</c:v>
                </c:pt>
                <c:pt idx="2">
                  <c:v>47356.11</c:v>
                </c:pt>
                <c:pt idx="3">
                  <c:v>56812.08</c:v>
                </c:pt>
                <c:pt idx="4">
                  <c:v>32163.38</c:v>
                </c:pt>
                <c:pt idx="5">
                  <c:v>38678.362199999996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D-442A-B81E-AB57E1568ED6}"/>
            </c:ext>
          </c:extLst>
        </c:ser>
        <c:ser>
          <c:idx val="5"/>
          <c:order val="5"/>
          <c:tx>
            <c:strRef>
              <c:f>panel!$H$5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4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DD-442A-B81E-AB57E1568ED6}"/>
              </c:ext>
            </c:extLst>
          </c:dPt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panel!$H$6:$H$11</c:f>
              <c:numCache>
                <c:formatCode>_([$$-409]* #,##0.00_);_([$$-409]* \(#,##0.00\);_([$$-409]* "-"??_);_(@_)</c:formatCode>
                <c:ptCount val="6"/>
                <c:pt idx="0">
                  <c:v>42539.9467</c:v>
                </c:pt>
                <c:pt idx="1">
                  <c:v>72066.899999999994</c:v>
                </c:pt>
                <c:pt idx="2">
                  <c:v>85000</c:v>
                </c:pt>
                <c:pt idx="3">
                  <c:v>68299.319999999992</c:v>
                </c:pt>
                <c:pt idx="4">
                  <c:v>54799.58</c:v>
                </c:pt>
                <c:pt idx="5">
                  <c:v>52832.57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DD-442A-B81E-AB57E1568ED6}"/>
            </c:ext>
          </c:extLst>
        </c:ser>
        <c:ser>
          <c:idx val="6"/>
          <c:order val="6"/>
          <c:tx>
            <c:strRef>
              <c:f>panel!$I$5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2"/>
                  </a:gs>
                  <a:gs pos="100000">
                    <a:schemeClr val="accent2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CDD-442A-B81E-AB57E1568ED6}"/>
              </c:ext>
            </c:extLst>
          </c:dPt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panel!$I$6:$I$11</c:f>
              <c:numCache>
                <c:formatCode>_([$$-409]* #,##0.00_);_([$$-409]* \(#,##0.00\);_([$$-409]* "-"??_);_(@_)</c:formatCode>
                <c:ptCount val="6"/>
                <c:pt idx="0">
                  <c:v>34073.19999999999</c:v>
                </c:pt>
                <c:pt idx="1">
                  <c:v>26460.65</c:v>
                </c:pt>
                <c:pt idx="2">
                  <c:v>50632.799999999996</c:v>
                </c:pt>
                <c:pt idx="3">
                  <c:v>85000</c:v>
                </c:pt>
                <c:pt idx="4">
                  <c:v>45457.116999999998</c:v>
                </c:pt>
                <c:pt idx="5">
                  <c:v>42482.591400000005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DD-442A-B81E-AB57E1568ED6}"/>
            </c:ext>
          </c:extLst>
        </c:ser>
        <c:ser>
          <c:idx val="7"/>
          <c:order val="7"/>
          <c:tx>
            <c:strRef>
              <c:f>panel!$J$5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5"/>
                  </a:gs>
                  <a:gs pos="100000">
                    <a:schemeClr val="accent5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CDD-442A-B81E-AB57E1568ED6}"/>
              </c:ext>
            </c:extLst>
          </c:dPt>
          <c:cat>
            <c:strRef>
              <c:f>panel!$B$6:$B$11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panel!$J$6:$J$11</c:f>
              <c:numCache>
                <c:formatCode>_([$$-409]* #,##0.00_);_([$$-409]* \(#,##0.00\);_([$$-409]* "-"??_);_(@_)</c:formatCode>
                <c:ptCount val="6"/>
                <c:pt idx="0">
                  <c:v>49176.649999999994</c:v>
                </c:pt>
                <c:pt idx="1">
                  <c:v>34810.887500000004</c:v>
                </c:pt>
                <c:pt idx="2">
                  <c:v>64811.902500000004</c:v>
                </c:pt>
                <c:pt idx="3">
                  <c:v>54178.750000000007</c:v>
                </c:pt>
                <c:pt idx="4">
                  <c:v>65982.98</c:v>
                </c:pt>
                <c:pt idx="5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DD-442A-B81E-AB57E156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60298111"/>
        <c:axId val="1842481967"/>
      </c:barChart>
      <c:catAx>
        <c:axId val="1969530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42456591"/>
        <c:crosses val="autoZero"/>
        <c:auto val="1"/>
        <c:lblAlgn val="ctr"/>
        <c:lblOffset val="100"/>
        <c:noMultiLvlLbl val="0"/>
      </c:catAx>
      <c:valAx>
        <c:axId val="1842456591"/>
        <c:scaling>
          <c:orientation val="minMax"/>
          <c:max val="200000"/>
          <c:min val="-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&quot;K&quot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30655"/>
        <c:crosses val="autoZero"/>
        <c:crossBetween val="between"/>
        <c:majorUnit val="40000"/>
      </c:valAx>
      <c:valAx>
        <c:axId val="1842481967"/>
        <c:scaling>
          <c:orientation val="minMax"/>
          <c:max val="180000"/>
          <c:min val="0"/>
        </c:scaling>
        <c:delete val="0"/>
        <c:axPos val="r"/>
        <c:numFmt formatCode="[&lt;86000]0,&quot;K&quot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98111"/>
        <c:crosses val="max"/>
        <c:crossBetween val="between"/>
        <c:majorUnit val="20000"/>
      </c:valAx>
      <c:catAx>
        <c:axId val="196029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819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panel!$N$5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panel!$N$6:$N$11</c:f>
              <c:numCache>
                <c:formatCode>General</c:formatCode>
                <c:ptCount val="6"/>
                <c:pt idx="0">
                  <c:v>202084</c:v>
                </c:pt>
                <c:pt idx="1">
                  <c:v>152350.72469999999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E1E-9F04-DDB8BDCFF8B0}"/>
            </c:ext>
          </c:extLst>
        </c:ser>
        <c:ser>
          <c:idx val="1"/>
          <c:order val="1"/>
          <c:tx>
            <c:strRef>
              <c:f>panel!$O$5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panel!$O$6:$O$11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198086.715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A-4E1E-9F04-DDB8BDCFF8B0}"/>
            </c:ext>
          </c:extLst>
        </c:ser>
        <c:ser>
          <c:idx val="2"/>
          <c:order val="2"/>
          <c:tx>
            <c:strRef>
              <c:f>panel!$P$5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panel!$P$6:$P$11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121176.26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A-4E1E-9F04-DDB8BDCFF8B0}"/>
            </c:ext>
          </c:extLst>
        </c:ser>
        <c:ser>
          <c:idx val="3"/>
          <c:order val="3"/>
          <c:tx>
            <c:strRef>
              <c:f>panel!$Q$5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panel!$Q$6:$Q$11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148350.78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A-4E1E-9F04-DDB8BDCFF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734256"/>
        <c:axId val="212848640"/>
      </c:barChart>
      <c:barChart>
        <c:barDir val="col"/>
        <c:grouping val="clustered"/>
        <c:varyColors val="0"/>
        <c:ser>
          <c:idx val="4"/>
          <c:order val="4"/>
          <c:tx>
            <c:strRef>
              <c:f>panel!$R$5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EBA-4E1E-9F04-DDB8BDCFF8B0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EBA-4E1E-9F04-DDB8BDCFF8B0}"/>
              </c:ext>
            </c:extLst>
          </c:dPt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panel!$R$6:$R$11</c:f>
              <c:numCache>
                <c:formatCode>General</c:formatCode>
                <c:ptCount val="6"/>
                <c:pt idx="0">
                  <c:v>85000</c:v>
                </c:pt>
                <c:pt idx="1">
                  <c:v>85000</c:v>
                </c:pt>
                <c:pt idx="2">
                  <c:v>47356.11</c:v>
                </c:pt>
                <c:pt idx="3">
                  <c:v>56812.08</c:v>
                </c:pt>
                <c:pt idx="4">
                  <c:v>32163.38</c:v>
                </c:pt>
                <c:pt idx="5">
                  <c:v>38678.362199999996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BA-4E1E-9F04-DDB8BDCFF8B0}"/>
            </c:ext>
          </c:extLst>
        </c:ser>
        <c:ser>
          <c:idx val="5"/>
          <c:order val="5"/>
          <c:tx>
            <c:strRef>
              <c:f>panel!$S$5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4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EBA-4E1E-9F04-DDB8BDCFF8B0}"/>
              </c:ext>
            </c:extLst>
          </c:dPt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panel!$S$6:$S$11</c:f>
              <c:numCache>
                <c:formatCode>General</c:formatCode>
                <c:ptCount val="6"/>
                <c:pt idx="0">
                  <c:v>42539.9467</c:v>
                </c:pt>
                <c:pt idx="1">
                  <c:v>72066.899999999994</c:v>
                </c:pt>
                <c:pt idx="2">
                  <c:v>85000</c:v>
                </c:pt>
                <c:pt idx="3">
                  <c:v>68299.319999999992</c:v>
                </c:pt>
                <c:pt idx="4">
                  <c:v>54799.58</c:v>
                </c:pt>
                <c:pt idx="5">
                  <c:v>52832.57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BA-4E1E-9F04-DDB8BDCFF8B0}"/>
            </c:ext>
          </c:extLst>
        </c:ser>
        <c:ser>
          <c:idx val="6"/>
          <c:order val="6"/>
          <c:tx>
            <c:strRef>
              <c:f>panel!$T$5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2"/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EBA-4E1E-9F04-DDB8BDCFF8B0}"/>
              </c:ext>
            </c:extLst>
          </c:dPt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panel!$T$6:$T$11</c:f>
              <c:numCache>
                <c:formatCode>General</c:formatCode>
                <c:ptCount val="6"/>
                <c:pt idx="0">
                  <c:v>34073.19999999999</c:v>
                </c:pt>
                <c:pt idx="1">
                  <c:v>26460.65</c:v>
                </c:pt>
                <c:pt idx="2">
                  <c:v>50632.799999999996</c:v>
                </c:pt>
                <c:pt idx="3">
                  <c:v>85000</c:v>
                </c:pt>
                <c:pt idx="4">
                  <c:v>45457.116999999998</c:v>
                </c:pt>
                <c:pt idx="5">
                  <c:v>42482.591400000005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BA-4E1E-9F04-DDB8BDCFF8B0}"/>
            </c:ext>
          </c:extLst>
        </c:ser>
        <c:ser>
          <c:idx val="7"/>
          <c:order val="7"/>
          <c:tx>
            <c:strRef>
              <c:f>panel!$U$5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5"/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EBA-4E1E-9F04-DDB8BDCFF8B0}"/>
              </c:ext>
            </c:extLst>
          </c:dPt>
          <c:cat>
            <c:strRef>
              <c:f>panel!$M$6:$M$11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panel!$U$6:$U$11</c:f>
              <c:numCache>
                <c:formatCode>General</c:formatCode>
                <c:ptCount val="6"/>
                <c:pt idx="0">
                  <c:v>49176.649999999994</c:v>
                </c:pt>
                <c:pt idx="1">
                  <c:v>34810.887500000004</c:v>
                </c:pt>
                <c:pt idx="2">
                  <c:v>64811.902500000004</c:v>
                </c:pt>
                <c:pt idx="3">
                  <c:v>54178.750000000007</c:v>
                </c:pt>
                <c:pt idx="4">
                  <c:v>65982.98</c:v>
                </c:pt>
                <c:pt idx="5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BA-4E1E-9F04-DDB8BDCFF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18608848"/>
        <c:axId val="2118607600"/>
      </c:barChart>
      <c:catAx>
        <c:axId val="1507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8640"/>
        <c:crosses val="autoZero"/>
        <c:auto val="1"/>
        <c:lblAlgn val="ctr"/>
        <c:lblOffset val="100"/>
        <c:noMultiLvlLbl val="0"/>
      </c:catAx>
      <c:valAx>
        <c:axId val="212848640"/>
        <c:scaling>
          <c:orientation val="minMax"/>
          <c:max val="200000"/>
          <c:min val="-2000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numFmt formatCode="0,&quot;K&quot;;;\&g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4256"/>
        <c:crosses val="autoZero"/>
        <c:crossBetween val="between"/>
      </c:valAx>
      <c:valAx>
        <c:axId val="2118607600"/>
        <c:scaling>
          <c:orientation val="minMax"/>
          <c:max val="180000"/>
        </c:scaling>
        <c:delete val="0"/>
        <c:axPos val="r"/>
        <c:numFmt formatCode="[&lt;86000]0,&quot;K&quot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08848"/>
        <c:crosses val="max"/>
        <c:crossBetween val="between"/>
      </c:valAx>
      <c:catAx>
        <c:axId val="2118608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860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3: Column</a:t>
            </a:r>
            <a:r>
              <a:rPr lang="en-US" baseline="0"/>
              <a:t> Chart with Cut-Off Values and Data Labels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538936665174923E-2"/>
          <c:y val="0.13299382716049385"/>
          <c:w val="0.91485993686273082"/>
          <c:h val="0.724804364732186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panel!$M$40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4AB-4C5E-A7BB-D3CE25652501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1"/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AB-4C5E-A7BB-D3CE2565250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890DBCA-443E-48D0-8DE1-D50A2730C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4AB-4C5E-A7BB-D3CE256525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99DFFBE-E936-4337-98B4-934DF3BDE9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4AB-4C5E-A7BB-D3CE2565250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4AB-4C5E-A7BB-D3CE2565250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AB-4C5E-A7BB-D3CE2565250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4AB-4C5E-A7BB-D3CE2565250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AB-4C5E-A7BB-D3CE256525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panel!$L$41:$L$46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panel!$M$41:$M$46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47356.11</c:v>
                </c:pt>
                <c:pt idx="3">
                  <c:v>56812.08</c:v>
                </c:pt>
                <c:pt idx="4">
                  <c:v>32163.38</c:v>
                </c:pt>
                <c:pt idx="5">
                  <c:v>38678.362199999996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panel!$C$6:$C$11</c15:f>
                <c15:dlblRangeCache>
                  <c:ptCount val="6"/>
                  <c:pt idx="0">
                    <c:v> $202,084.00 </c:v>
                  </c:pt>
                  <c:pt idx="1">
                    <c:v> $152,350.72 </c:v>
                  </c:pt>
                  <c:pt idx="2">
                    <c:v> $47,356.11 </c:v>
                  </c:pt>
                  <c:pt idx="3">
                    <c:v> $56,812.08 </c:v>
                  </c:pt>
                  <c:pt idx="4">
                    <c:v> $32,163.38 </c:v>
                  </c:pt>
                  <c:pt idx="5">
                    <c:v> $38,678.36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4AB-4C5E-A7BB-D3CE25652501}"/>
            </c:ext>
          </c:extLst>
        </c:ser>
        <c:ser>
          <c:idx val="1"/>
          <c:order val="1"/>
          <c:tx>
            <c:strRef>
              <c:f>panel!$N$40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4"/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AB-4C5E-A7BB-D3CE2565250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4AB-4C5E-A7BB-D3CE2565250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4AB-4C5E-A7BB-D3CE256525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3B1C46-CEC7-4669-B219-35FB8EDBC1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4AB-4C5E-A7BB-D3CE2565250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4AB-4C5E-A7BB-D3CE2565250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4AB-4C5E-A7BB-D3CE2565250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4AB-4C5E-A7BB-D3CE256525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panel!$L$41:$L$46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panel!$N$41:$N$46</c:f>
              <c:numCache>
                <c:formatCode>General</c:formatCode>
                <c:ptCount val="6"/>
                <c:pt idx="0">
                  <c:v>42539.9467</c:v>
                </c:pt>
                <c:pt idx="1">
                  <c:v>72066.899999999994</c:v>
                </c:pt>
                <c:pt idx="2">
                  <c:v>100000</c:v>
                </c:pt>
                <c:pt idx="3">
                  <c:v>68299.319999999992</c:v>
                </c:pt>
                <c:pt idx="4">
                  <c:v>54799.58</c:v>
                </c:pt>
                <c:pt idx="5">
                  <c:v>52832.57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panel!$D$6:$D$11</c15:f>
                <c15:dlblRangeCache>
                  <c:ptCount val="6"/>
                  <c:pt idx="0">
                    <c:v> $42,539.95 </c:v>
                  </c:pt>
                  <c:pt idx="1">
                    <c:v> $72,066.90 </c:v>
                  </c:pt>
                  <c:pt idx="2">
                    <c:v> $198,086.72 </c:v>
                  </c:pt>
                  <c:pt idx="3">
                    <c:v> $68,299.32 </c:v>
                  </c:pt>
                  <c:pt idx="4">
                    <c:v> $54,799.58 </c:v>
                  </c:pt>
                  <c:pt idx="5">
                    <c:v> $52,832.57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4AB-4C5E-A7BB-D3CE25652501}"/>
            </c:ext>
          </c:extLst>
        </c:ser>
        <c:ser>
          <c:idx val="2"/>
          <c:order val="2"/>
          <c:tx>
            <c:strRef>
              <c:f>panel!$O$40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2"/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AB-4C5E-A7BB-D3CE2565250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4AB-4C5E-A7BB-D3CE2565250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4AB-4C5E-A7BB-D3CE2565250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4AB-4C5E-A7BB-D3CE25652501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43877EF-4417-4C34-BD2A-3E0E63823403}" type="CELLRANGE">
                      <a:rPr lang="en-US">
                        <a:solidFill>
                          <a:schemeClr val="accent2"/>
                        </a:solidFill>
                      </a:rPr>
                      <a:pPr>
                        <a:defRPr>
                          <a:solidFill>
                            <a:schemeClr val="accent2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4AB-4C5E-A7BB-D3CE2565250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4AB-4C5E-A7BB-D3CE2565250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4AB-4C5E-A7BB-D3CE256525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panel!$L$41:$L$46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panel!$O$41:$O$46</c:f>
              <c:numCache>
                <c:formatCode>General</c:formatCode>
                <c:ptCount val="6"/>
                <c:pt idx="0">
                  <c:v>34073.19999999999</c:v>
                </c:pt>
                <c:pt idx="1">
                  <c:v>26460.65</c:v>
                </c:pt>
                <c:pt idx="2">
                  <c:v>50632.799999999996</c:v>
                </c:pt>
                <c:pt idx="3">
                  <c:v>100000</c:v>
                </c:pt>
                <c:pt idx="4">
                  <c:v>45457.116999999998</c:v>
                </c:pt>
                <c:pt idx="5">
                  <c:v>42482.591400000005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panel!$E$6:$E$11</c15:f>
                <c15:dlblRangeCache>
                  <c:ptCount val="6"/>
                  <c:pt idx="0">
                    <c:v> $34,073.20 </c:v>
                  </c:pt>
                  <c:pt idx="1">
                    <c:v> $26,460.65 </c:v>
                  </c:pt>
                  <c:pt idx="2">
                    <c:v> $50,632.80 </c:v>
                  </c:pt>
                  <c:pt idx="3">
                    <c:v> $121,176.26 </c:v>
                  </c:pt>
                  <c:pt idx="4">
                    <c:v> $45,457.12 </c:v>
                  </c:pt>
                  <c:pt idx="5">
                    <c:v> $42,482.59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4AB-4C5E-A7BB-D3CE25652501}"/>
            </c:ext>
          </c:extLst>
        </c:ser>
        <c:ser>
          <c:idx val="3"/>
          <c:order val="3"/>
          <c:tx>
            <c:strRef>
              <c:f>panel!$P$40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15000">
                    <a:schemeClr val="accent5"/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4AB-4C5E-A7BB-D3CE2565250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4AB-4C5E-A7BB-D3CE2565250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4AB-4C5E-A7BB-D3CE2565250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4AB-4C5E-A7BB-D3CE2565250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4AB-4C5E-A7BB-D3CE2565250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4AB-4C5E-A7BB-D3CE25652501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5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7F03F7-6FDD-43F6-9976-785A4B21610A}" type="CELLRANGE">
                      <a:rPr lang="en-US">
                        <a:solidFill>
                          <a:schemeClr val="accent5"/>
                        </a:solidFill>
                      </a:rPr>
                      <a:pPr>
                        <a:defRPr>
                          <a:solidFill>
                            <a:schemeClr val="accent5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4AB-4C5E-A7BB-D3CE256525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panel!$L$41:$L$46</c:f>
              <c:strCache>
                <c:ptCount val="6"/>
                <c:pt idx="0">
                  <c:v>Dallas</c:v>
                </c:pt>
                <c:pt idx="1">
                  <c:v>Frankfurt</c:v>
                </c:pt>
                <c:pt idx="2">
                  <c:v>London</c:v>
                </c:pt>
                <c:pt idx="3">
                  <c:v>Sydney</c:v>
                </c:pt>
                <c:pt idx="4">
                  <c:v>Tokyo</c:v>
                </c:pt>
                <c:pt idx="5">
                  <c:v>Washington, DC</c:v>
                </c:pt>
              </c:strCache>
            </c:strRef>
          </c:cat>
          <c:val>
            <c:numRef>
              <c:f>panel!$P$41:$P$46</c:f>
              <c:numCache>
                <c:formatCode>General</c:formatCode>
                <c:ptCount val="6"/>
                <c:pt idx="0">
                  <c:v>49176.649999999994</c:v>
                </c:pt>
                <c:pt idx="1">
                  <c:v>34810.887500000004</c:v>
                </c:pt>
                <c:pt idx="2">
                  <c:v>64811.902500000004</c:v>
                </c:pt>
                <c:pt idx="3">
                  <c:v>54178.750000000007</c:v>
                </c:pt>
                <c:pt idx="4">
                  <c:v>65982.98</c:v>
                </c:pt>
                <c:pt idx="5">
                  <c:v>100000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panel!$F$6:$F$11</c15:f>
                <c15:dlblRangeCache>
                  <c:ptCount val="6"/>
                  <c:pt idx="0">
                    <c:v> $49,176.65 </c:v>
                  </c:pt>
                  <c:pt idx="1">
                    <c:v> $34,810.89 </c:v>
                  </c:pt>
                  <c:pt idx="2">
                    <c:v> $64,811.90 </c:v>
                  </c:pt>
                  <c:pt idx="3">
                    <c:v> $54,178.75 </c:v>
                  </c:pt>
                  <c:pt idx="4">
                    <c:v> $65,982.98 </c:v>
                  </c:pt>
                  <c:pt idx="5">
                    <c:v> $148,350.78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4AB-4C5E-A7BB-D3CE25652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4098112"/>
        <c:axId val="154099360"/>
      </c:barChart>
      <c:catAx>
        <c:axId val="1540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9360"/>
        <c:crosses val="autoZero"/>
        <c:auto val="1"/>
        <c:lblAlgn val="ctr"/>
        <c:lblOffset val="100"/>
        <c:noMultiLvlLbl val="0"/>
      </c:catAx>
      <c:valAx>
        <c:axId val="154099360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numFmt formatCode="0,&quot;K&quot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</a:t>
            </a:r>
            <a:r>
              <a:rPr lang="en-US" baseline="0"/>
              <a:t> Chart with Custom Y-Axis Labels </a:t>
            </a:r>
          </a:p>
          <a:p>
            <a:pPr>
              <a:defRPr/>
            </a:pPr>
            <a:r>
              <a:rPr lang="en-US" baseline="0"/>
              <a:t>Built From Scatterplot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'custom_y-axis'!$C$5</c:f>
              <c:strCache>
                <c:ptCount val="1"/>
                <c:pt idx="0">
                  <c:v>Bare Metal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'custom_y-axis'!$B$6:$B$10</c:f>
              <c:strCache>
                <c:ptCount val="5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TOK</c:v>
                </c:pt>
                <c:pt idx="4">
                  <c:v>WDC</c:v>
                </c:pt>
              </c:strCache>
            </c:strRef>
          </c:cat>
          <c:val>
            <c:numRef>
              <c:f>'custom_y-axis'!$C$6:$C$10</c:f>
              <c:numCache>
                <c:formatCode>General</c:formatCode>
                <c:ptCount val="5"/>
                <c:pt idx="0">
                  <c:v>53</c:v>
                </c:pt>
                <c:pt idx="1">
                  <c:v>79</c:v>
                </c:pt>
                <c:pt idx="2">
                  <c:v>25</c:v>
                </c:pt>
                <c:pt idx="3">
                  <c:v>44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7-4D58-AC8F-0C528B5B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32831"/>
        <c:axId val="83344063"/>
      </c:barChart>
      <c:scatterChart>
        <c:scatterStyle val="lineMarker"/>
        <c:varyColors val="0"/>
        <c:ser>
          <c:idx val="1"/>
          <c:order val="1"/>
          <c:tx>
            <c:strRef>
              <c:f>'custom_y-axis'!$E$6</c:f>
              <c:strCache>
                <c:ptCount val="1"/>
                <c:pt idx="0">
                  <c:v>100%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'custom_y-axis'!$F$6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'custom_y-axis'!$G$6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97-4D58-AC8F-0C528B5B2EF6}"/>
            </c:ext>
          </c:extLst>
        </c:ser>
        <c:ser>
          <c:idx val="2"/>
          <c:order val="2"/>
          <c:tx>
            <c:strRef>
              <c:f>'custom_y-axis'!$E$7</c:f>
              <c:strCache>
                <c:ptCount val="1"/>
                <c:pt idx="0">
                  <c:v>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'custom_y-axis'!$F$7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'custom_y-axis'!$G$7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7-4D58-AC8F-0C528B5B2EF6}"/>
            </c:ext>
          </c:extLst>
        </c:ser>
        <c:ser>
          <c:idx val="3"/>
          <c:order val="3"/>
          <c:tx>
            <c:strRef>
              <c:f>'custom_y-axis'!$E$8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'custom_y-axis'!$F$8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'custom_y-axis'!$G$8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97-4D58-AC8F-0C528B5B2EF6}"/>
            </c:ext>
          </c:extLst>
        </c:ser>
        <c:ser>
          <c:idx val="4"/>
          <c:order val="4"/>
          <c:tx>
            <c:strRef>
              <c:f>'custom_y-axis'!$E$9</c:f>
              <c:strCache>
                <c:ptCount val="1"/>
                <c:pt idx="0">
                  <c:v>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'custom_y-axis'!$F$9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'custom_y-axis'!$G$9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97-4D58-AC8F-0C528B5B2EF6}"/>
            </c:ext>
          </c:extLst>
        </c:ser>
        <c:ser>
          <c:idx val="5"/>
          <c:order val="5"/>
          <c:tx>
            <c:strRef>
              <c:f>'custom_y-axis'!$E$10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'custom_y-axis'!$F$10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'custom_y-axis'!$G$10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97-4D58-AC8F-0C528B5B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786527"/>
        <c:axId val="226770719"/>
      </c:scatterChart>
      <c:catAx>
        <c:axId val="8333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4063"/>
        <c:crosses val="autoZero"/>
        <c:auto val="1"/>
        <c:lblAlgn val="ctr"/>
        <c:lblOffset val="100"/>
        <c:noMultiLvlLbl val="0"/>
      </c:catAx>
      <c:valAx>
        <c:axId val="8334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32831"/>
        <c:crosses val="autoZero"/>
        <c:crossBetween val="between"/>
      </c:valAx>
      <c:valAx>
        <c:axId val="226770719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86527"/>
        <c:crosses val="max"/>
        <c:crossBetween val="midCat"/>
      </c:valAx>
      <c:valAx>
        <c:axId val="2267865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70719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with Custom Y-Axis Labels </a:t>
            </a:r>
          </a:p>
          <a:p>
            <a:pPr>
              <a:defRPr/>
            </a:pPr>
            <a:r>
              <a:rPr lang="en-US"/>
              <a:t>Formatted with Custom Number Format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'custom_y-axis'!$C$5</c:f>
              <c:strCache>
                <c:ptCount val="1"/>
                <c:pt idx="0">
                  <c:v>Bare Metal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'custom_y-axis'!$B$6:$B$10</c:f>
              <c:strCache>
                <c:ptCount val="5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TOK</c:v>
                </c:pt>
                <c:pt idx="4">
                  <c:v>WDC</c:v>
                </c:pt>
              </c:strCache>
            </c:strRef>
          </c:cat>
          <c:val>
            <c:numRef>
              <c:f>'custom_y-axis'!$C$6:$C$10</c:f>
              <c:numCache>
                <c:formatCode>General</c:formatCode>
                <c:ptCount val="5"/>
                <c:pt idx="0">
                  <c:v>53</c:v>
                </c:pt>
                <c:pt idx="1">
                  <c:v>79</c:v>
                </c:pt>
                <c:pt idx="2">
                  <c:v>25</c:v>
                </c:pt>
                <c:pt idx="3">
                  <c:v>44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F-4680-8852-42ED2B3DD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23199"/>
        <c:axId val="21423615"/>
      </c:barChart>
      <c:catAx>
        <c:axId val="2142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15"/>
        <c:crosses val="autoZero"/>
        <c:auto val="1"/>
        <c:lblAlgn val="ctr"/>
        <c:lblOffset val="100"/>
        <c:noMultiLvlLbl val="0"/>
      </c:catAx>
      <c:valAx>
        <c:axId val="214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[=100]0\%;0_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Legend with 2 seperate data tables for 3 data points</a:t>
            </a:r>
          </a:p>
        </c:rich>
      </c:tx>
      <c:layout>
        <c:manualLayout>
          <c:xMode val="edge"/>
          <c:yMode val="edge"/>
          <c:x val="0.34536570428696411"/>
          <c:y val="1.8027575092420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54520268299797"/>
          <c:y val="0.1114404600296485"/>
          <c:w val="0.79504738990959467"/>
          <c:h val="0.755145547827724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dynamic_legend!$C$5</c:f>
              <c:strCache>
                <c:ptCount val="1"/>
                <c:pt idx="0">
                  <c:v>DAL10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F9DF-46E6-ADD1-69CED37E96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DF-46E6-ADD1-69CED37E9634}"/>
              </c:ext>
            </c:extLst>
          </c:dPt>
          <c:dLbls>
            <c:dLbl>
              <c:idx val="1"/>
              <c:layout>
                <c:manualLayout>
                  <c:x val="-3.3950225088053312E-17"/>
                  <c:y val="-4.80735335797891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DF-46E6-ADD1-69CED37E9634}"/>
                </c:ext>
              </c:extLst>
            </c:dLbl>
            <c:dLbl>
              <c:idx val="2"/>
              <c:layout>
                <c:manualLayout>
                  <c:x val="-3.3950225088053312E-17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dynamic_legend!$C$6:$C$11</c:f>
              <c:numCache>
                <c:formatCode>General</c:formatCode>
                <c:ptCount val="6"/>
                <c:pt idx="0">
                  <c:v>#N/A</c:v>
                </c:pt>
                <c:pt idx="1">
                  <c:v>1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F-46E6-ADD1-69CED37E9634}"/>
            </c:ext>
          </c:extLst>
        </c:ser>
        <c:ser>
          <c:idx val="1"/>
          <c:order val="1"/>
          <c:tx>
            <c:strRef>
              <c:f>dynamic_legend!$D$5</c:f>
              <c:strCache>
                <c:ptCount val="1"/>
                <c:pt idx="0">
                  <c:v>DAL13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4"/>
              <c:layout>
                <c:manualLayout>
                  <c:x val="-3.3950225088053312E-17"/>
                  <c:y val="-5.107812942852589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dynamic_legend!$D$6:$D$11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F-46E6-ADD1-69CED37E9634}"/>
            </c:ext>
          </c:extLst>
        </c:ser>
        <c:ser>
          <c:idx val="2"/>
          <c:order val="2"/>
          <c:tx>
            <c:strRef>
              <c:f>dynamic_legend!$E$5</c:f>
              <c:strCache>
                <c:ptCount val="1"/>
                <c:pt idx="0">
                  <c:v>FRA04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dynamic_legend!$E$6:$E$11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DF-46E6-ADD1-69CED37E9634}"/>
            </c:ext>
          </c:extLst>
        </c:ser>
        <c:ser>
          <c:idx val="3"/>
          <c:order val="3"/>
          <c:tx>
            <c:strRef>
              <c:f>dynamic_legend!$F$5</c:f>
              <c:strCache>
                <c:ptCount val="1"/>
                <c:pt idx="0">
                  <c:v>LON05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3.3950225088053312E-17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dynamic_legend!$F$6:$F$11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DF-46E6-ADD1-69CED37E9634}"/>
            </c:ext>
          </c:extLst>
        </c:ser>
        <c:ser>
          <c:idx val="4"/>
          <c:order val="4"/>
          <c:tx>
            <c:strRef>
              <c:f>dynamic_legend!$G$5</c:f>
              <c:strCache>
                <c:ptCount val="1"/>
                <c:pt idx="0">
                  <c:v>SAO01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-6.7900450176106624E-17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dynamic_legend!$G$6:$G$11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DF-46E6-ADD1-69CED37E9634}"/>
            </c:ext>
          </c:extLst>
        </c:ser>
        <c:ser>
          <c:idx val="5"/>
          <c:order val="5"/>
          <c:tx>
            <c:strRef>
              <c:f>dynamic_legend!$H$5</c:f>
              <c:strCache>
                <c:ptCount val="1"/>
                <c:pt idx="0">
                  <c:v>SAO04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-6.7900450176106624E-17"/>
                  <c:y val="-4.8073533579789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dynamic_legend!$H$6:$H$11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DF-46E6-ADD1-69CED37E9634}"/>
            </c:ext>
          </c:extLst>
        </c:ser>
        <c:ser>
          <c:idx val="6"/>
          <c:order val="6"/>
          <c:tx>
            <c:strRef>
              <c:f>dynamic_legend!$I$5</c:f>
              <c:strCache>
                <c:ptCount val="1"/>
                <c:pt idx="0">
                  <c:v>SAO05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-1.3580090035221325E-16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dynamic_legend!$I$6:$I$11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DF-46E6-ADD1-69CED37E9634}"/>
            </c:ext>
          </c:extLst>
        </c:ser>
        <c:ser>
          <c:idx val="7"/>
          <c:order val="7"/>
          <c:tx>
            <c:strRef>
              <c:f>dynamic_legend!$J$5</c:f>
              <c:strCache>
                <c:ptCount val="1"/>
                <c:pt idx="0">
                  <c:v>SYD01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dynamic_legend!$J$6:$J$11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DF-46E6-ADD1-69CED37E9634}"/>
            </c:ext>
          </c:extLst>
        </c:ser>
        <c:ser>
          <c:idx val="8"/>
          <c:order val="8"/>
          <c:tx>
            <c:strRef>
              <c:f>dynamic_legend!$K$5</c:f>
              <c:strCache>
                <c:ptCount val="1"/>
                <c:pt idx="0">
                  <c:v>SYD04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-5.107812942852589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dynamic_legend!$K$6:$K$11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DF-46E6-ADD1-69CED37E9634}"/>
            </c:ext>
          </c:extLst>
        </c:ser>
        <c:ser>
          <c:idx val="9"/>
          <c:order val="9"/>
          <c:tx>
            <c:strRef>
              <c:f>dynamic_legend!$L$5</c:f>
              <c:strCache>
                <c:ptCount val="1"/>
                <c:pt idx="0">
                  <c:v>TOK02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3.3950225088053312E-17"/>
                  <c:y val="-5.107812942852586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dynamic_legend!$L$6:$L$11</c:f>
              <c:numCache>
                <c:formatCode>General</c:formatCode>
                <c:ptCount val="6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DF-46E6-ADD1-69CED37E9634}"/>
            </c:ext>
          </c:extLst>
        </c:ser>
        <c:ser>
          <c:idx val="10"/>
          <c:order val="10"/>
          <c:tx>
            <c:strRef>
              <c:f>dynamic_legend!$M$5</c:f>
              <c:strCache>
                <c:ptCount val="1"/>
                <c:pt idx="0">
                  <c:v>TOR01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4.8073533579789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dynamic_legend!$M$6:$M$11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DF-46E6-ADD1-69CED37E9634}"/>
            </c:ext>
          </c:extLst>
        </c:ser>
        <c:ser>
          <c:idx val="11"/>
          <c:order val="11"/>
          <c:tx>
            <c:strRef>
              <c:f>dynamic_legend!$N$5</c:f>
              <c:strCache>
                <c:ptCount val="1"/>
                <c:pt idx="0">
                  <c:v>TOR05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4.8073533579789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dynamic_legend!$N$6:$N$11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DF-46E6-ADD1-69CED37E9634}"/>
            </c:ext>
          </c:extLst>
        </c:ser>
        <c:ser>
          <c:idx val="12"/>
          <c:order val="12"/>
          <c:tx>
            <c:strRef>
              <c:f>dynamic_legend!$O$5</c:f>
              <c:strCache>
                <c:ptCount val="1"/>
                <c:pt idx="0">
                  <c:v>WDC04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5.107812942852592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dynamic_legend!$O$6:$O$11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9DF-46E6-ADD1-69CED37E9634}"/>
            </c:ext>
          </c:extLst>
        </c:ser>
        <c:ser>
          <c:idx val="13"/>
          <c:order val="13"/>
          <c:tx>
            <c:strRef>
              <c:f>dynamic_legend!$P$5</c:f>
              <c:strCache>
                <c:ptCount val="1"/>
                <c:pt idx="0">
                  <c:v>WDC06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5.1078129428525923E-2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9DF-46E6-ADD1-69CED37E9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dynamic_legend!$B$6:$B$11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dynamic_legend!$P$6:$P$11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DF-46E6-ADD1-69CED37E96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6137680"/>
        <c:axId val="706136016"/>
      </c:barChart>
      <c:catAx>
        <c:axId val="706137680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CAPREQ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"/>
              <c:y val="6.35547728359930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136016"/>
        <c:crosses val="autoZero"/>
        <c:auto val="1"/>
        <c:lblAlgn val="ctr"/>
        <c:lblOffset val="100"/>
        <c:noMultiLvlLbl val="0"/>
      </c:catAx>
      <c:valAx>
        <c:axId val="70613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CAPREQ's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1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Regular chart with a view of the traditional legend vs dynamic legend</a:t>
            </a:r>
          </a:p>
        </c:rich>
      </c:tx>
      <c:layout>
        <c:manualLayout>
          <c:xMode val="edge"/>
          <c:yMode val="edge"/>
          <c:x val="0.261009186351706"/>
          <c:y val="1.802757082741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98031496062995"/>
          <c:y val="0.11144043366480878"/>
          <c:w val="0.61796062992125989"/>
          <c:h val="0.755145605755952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dynamic_legend!$B$15</c:f>
              <c:strCache>
                <c:ptCount val="1"/>
                <c:pt idx="0">
                  <c:v>Under Review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dynamic_legend!$C$14:$H$14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dynamic_legend!$C$15:$H$15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1-462A-B2FF-691BE98AE9A5}"/>
            </c:ext>
          </c:extLst>
        </c:ser>
        <c:ser>
          <c:idx val="1"/>
          <c:order val="1"/>
          <c:tx>
            <c:strRef>
              <c:f>dynamic_legend!$B$16</c:f>
              <c:strCache>
                <c:ptCount val="1"/>
                <c:pt idx="0">
                  <c:v>Approved to Procure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dynamic_legend!$C$14:$H$14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dynamic_legend!$C$16:$H$16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1-462A-B2FF-691BE98AE9A5}"/>
            </c:ext>
          </c:extLst>
        </c:ser>
        <c:ser>
          <c:idx val="2"/>
          <c:order val="2"/>
          <c:tx>
            <c:strRef>
              <c:f>dynamic_legend!$B$17</c:f>
              <c:strCache>
                <c:ptCount val="1"/>
                <c:pt idx="0">
                  <c:v>Deployment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dynamic_legend!$C$14:$H$14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dynamic_legend!$C$17:$H$17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1-462A-B2FF-691BE98AE9A5}"/>
            </c:ext>
          </c:extLst>
        </c:ser>
        <c:ser>
          <c:idx val="3"/>
          <c:order val="3"/>
          <c:tx>
            <c:strRef>
              <c:f>dynamic_legend!$B$18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dynamic_legend!$C$14:$H$14</c:f>
              <c:strCache>
                <c:ptCount val="6"/>
                <c:pt idx="0">
                  <c:v>file-block-storage</c:v>
                </c:pt>
                <c:pt idx="1">
                  <c:v>Networking</c:v>
                </c:pt>
                <c:pt idx="2">
                  <c:v>PowerVS</c:v>
                </c:pt>
                <c:pt idx="3">
                  <c:v>GEN2</c:v>
                </c:pt>
                <c:pt idx="4">
                  <c:v>10G</c:v>
                </c:pt>
                <c:pt idx="5">
                  <c:v>25gbe_bm_offering</c:v>
                </c:pt>
              </c:strCache>
            </c:strRef>
          </c:cat>
          <c:val>
            <c:numRef>
              <c:f>dynamic_legend!$C$18:$H$18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1-462A-B2FF-691BE98A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885270128"/>
        <c:axId val="885264304"/>
      </c:barChart>
      <c:catAx>
        <c:axId val="885270128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CAPREQ Type</a:t>
                </a:r>
              </a:p>
            </c:rich>
          </c:tx>
          <c:layout>
            <c:manualLayout>
              <c:xMode val="edge"/>
              <c:yMode val="edge"/>
              <c:x val="0.05"/>
              <c:y val="6.35549943823534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64304"/>
        <c:crosses val="autoZero"/>
        <c:auto val="1"/>
        <c:lblAlgn val="ctr"/>
        <c:lblOffset val="100"/>
        <c:noMultiLvlLbl val="0"/>
      </c:catAx>
      <c:valAx>
        <c:axId val="88526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</a:t>
                </a:r>
                <a:r>
                  <a:rPr lang="en-US" baseline="0"/>
                  <a:t>mber of CAPREQ's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7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01501895596382"/>
          <c:y val="0.26953182020029531"/>
          <c:w val="0.18235535141440654"/>
          <c:h val="0.202811591302193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Simplified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chart_break!$D$5</c:f>
              <c:strCache>
                <c:ptCount val="1"/>
                <c:pt idx="0">
                  <c:v>Adjusted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0D324F0-209F-4C08-8A02-FD5134901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D76-4216-BE0D-8BFC52AD3B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FD32D5A-9342-4085-8CE0-6476C6ADC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D76-4216-BE0D-8BFC52AD3B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D9C8E86-6417-4EFC-8C3D-CDDF3F544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D76-4216-BE0D-8BFC52AD3B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E3C9555-95CE-4D6D-921F-E35FD7CB63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D76-4216-BE0D-8BFC52AD3B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EF5D7D-4734-4560-8AFE-38847D607C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D76-4216-BE0D-8BFC52AD3B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3EDF2D8-F655-4F7E-A2A2-BB7D85144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D76-4216-BE0D-8BFC52AD3B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D8BD1BD-0BFE-4D1A-BE94-404BCF8C50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76-4216-BE0D-8BFC52AD3B4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6B5FE6D-E08D-43F4-872B-D7B6ADB2D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76-4216-BE0D-8BFC52AD3B4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98A716B-E600-4343-B06A-A90961ECD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D76-4216-BE0D-8BFC52AD3B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chart_break!$B$6:$B$14</c:f>
              <c:strCache>
                <c:ptCount val="9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PAR</c:v>
                </c:pt>
                <c:pt idx="4">
                  <c:v>SAO</c:v>
                </c:pt>
                <c:pt idx="5">
                  <c:v>SYD</c:v>
                </c:pt>
                <c:pt idx="6">
                  <c:v>TOK</c:v>
                </c:pt>
                <c:pt idx="7">
                  <c:v>TOR</c:v>
                </c:pt>
                <c:pt idx="8">
                  <c:v>WDC</c:v>
                </c:pt>
              </c:strCache>
            </c:strRef>
          </c:cat>
          <c:val>
            <c:numRef>
              <c:f>chart_break!$D$6:$D$14</c:f>
              <c:numCache>
                <c:formatCode>General</c:formatCode>
                <c:ptCount val="9"/>
                <c:pt idx="0">
                  <c:v>895</c:v>
                </c:pt>
                <c:pt idx="1">
                  <c:v>448</c:v>
                </c:pt>
                <c:pt idx="2">
                  <c:v>116</c:v>
                </c:pt>
                <c:pt idx="3">
                  <c:v>62</c:v>
                </c:pt>
                <c:pt idx="4">
                  <c:v>150</c:v>
                </c:pt>
                <c:pt idx="5">
                  <c:v>106</c:v>
                </c:pt>
                <c:pt idx="6">
                  <c:v>204</c:v>
                </c:pt>
                <c:pt idx="7">
                  <c:v>95</c:v>
                </c:pt>
                <c:pt idx="8">
                  <c:v>550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chart_break!$C$6:$C$14</c15:f>
                <c15:dlblRangeCache>
                  <c:ptCount val="9"/>
                  <c:pt idx="0">
                    <c:v>1,095</c:v>
                  </c:pt>
                  <c:pt idx="1">
                    <c:v>448</c:v>
                  </c:pt>
                  <c:pt idx="2">
                    <c:v>116</c:v>
                  </c:pt>
                  <c:pt idx="3">
                    <c:v>62</c:v>
                  </c:pt>
                  <c:pt idx="4">
                    <c:v>150</c:v>
                  </c:pt>
                  <c:pt idx="5">
                    <c:v>106</c:v>
                  </c:pt>
                  <c:pt idx="6">
                    <c:v>204</c:v>
                  </c:pt>
                  <c:pt idx="7">
                    <c:v>95</c:v>
                  </c:pt>
                  <c:pt idx="8">
                    <c:v>550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D76-4216-BE0D-8BFC52AD3B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997376"/>
        <c:axId val="88996960"/>
      </c:barChart>
      <c:catAx>
        <c:axId val="8899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MZR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6960"/>
        <c:crosses val="autoZero"/>
        <c:auto val="1"/>
        <c:lblAlgn val="ctr"/>
        <c:lblOffset val="100"/>
        <c:noMultiLvlLbl val="0"/>
      </c:catAx>
      <c:valAx>
        <c:axId val="889969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899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 Chart</a:t>
            </a:r>
          </a:p>
          <a:p>
            <a:pPr>
              <a:defRPr/>
            </a:pPr>
            <a:r>
              <a:rPr lang="en-US"/>
              <a:t>Bar chart using a Scatterplot to create the Y-Axis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16666666666667E-2"/>
          <c:y val="0.16722222222222222"/>
          <c:w val="0.93048148148148135"/>
          <c:h val="0.69573053368328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chart_break!$D$5</c:f>
              <c:strCache>
                <c:ptCount val="1"/>
                <c:pt idx="0">
                  <c:v>Adjusted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chart_break!$B$6:$B$14</c:f>
              <c:strCache>
                <c:ptCount val="9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PAR</c:v>
                </c:pt>
                <c:pt idx="4">
                  <c:v>SAO</c:v>
                </c:pt>
                <c:pt idx="5">
                  <c:v>SYD</c:v>
                </c:pt>
                <c:pt idx="6">
                  <c:v>TOK</c:v>
                </c:pt>
                <c:pt idx="7">
                  <c:v>TOR</c:v>
                </c:pt>
                <c:pt idx="8">
                  <c:v>WDC</c:v>
                </c:pt>
              </c:strCache>
            </c:strRef>
          </c:cat>
          <c:val>
            <c:numRef>
              <c:f>chart_break!$D$6:$D$15</c:f>
              <c:numCache>
                <c:formatCode>General</c:formatCode>
                <c:ptCount val="10"/>
                <c:pt idx="0">
                  <c:v>895</c:v>
                </c:pt>
                <c:pt idx="1">
                  <c:v>448</c:v>
                </c:pt>
                <c:pt idx="2">
                  <c:v>116</c:v>
                </c:pt>
                <c:pt idx="3">
                  <c:v>62</c:v>
                </c:pt>
                <c:pt idx="4">
                  <c:v>150</c:v>
                </c:pt>
                <c:pt idx="5">
                  <c:v>106</c:v>
                </c:pt>
                <c:pt idx="6">
                  <c:v>204</c:v>
                </c:pt>
                <c:pt idx="7">
                  <c:v>95</c:v>
                </c:pt>
                <c:pt idx="8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56-4DBF-9859-43130007A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997376"/>
        <c:axId val="88996960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A556E17-F5EF-4EE7-8491-96356B34A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856-4DBF-9859-43130007ACB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4EEC04-C754-4456-BAC2-D7F96A370F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856-4DBF-9859-43130007AC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41B0306-7052-452C-8233-BB64C582E4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856-4DBF-9859-43130007AC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0508159-FFF2-4849-B3D6-10C13B211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856-4DBF-9859-43130007ACB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8A08D0-8483-4897-8DC2-B86ED0DE60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856-4DBF-9859-43130007ACB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B4A9F8A-A00F-4816-8B56-2CF1A8B29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856-4DBF-9859-43130007AC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BBB6800-E2B8-40D3-B910-A381CB2329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856-4DBF-9859-43130007ACB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38E3BAE-975B-4556-9E54-B663D8703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856-4DBF-9859-43130007ACB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EE7EBD0-2A6A-4662-A141-FAA5D4D27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856-4DBF-9859-43130007ACB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762A8E6-0CE9-4D18-8AE4-310851ABB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856-4DBF-9859-43130007A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chart_break!$F$6:$F$15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chart_break!$G$6:$G$15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chart_break!$H$6:$H$15</c15:f>
                <c15:dlblRangeCache>
                  <c:ptCount val="10"/>
                  <c:pt idx="0">
                    <c:v>0</c:v>
                  </c:pt>
                  <c:pt idx="1">
                    <c:v>100</c:v>
                  </c:pt>
                  <c:pt idx="2">
                    <c:v>200</c:v>
                  </c:pt>
                  <c:pt idx="3">
                    <c:v>300</c:v>
                  </c:pt>
                  <c:pt idx="4">
                    <c:v>400</c:v>
                  </c:pt>
                  <c:pt idx="5">
                    <c:v>500</c:v>
                  </c:pt>
                  <c:pt idx="6">
                    <c:v>600</c:v>
                  </c:pt>
                  <c:pt idx="7">
                    <c:v>900</c:v>
                  </c:pt>
                  <c:pt idx="8">
                    <c:v>1000</c:v>
                  </c:pt>
                  <c:pt idx="9">
                    <c:v>1200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D856-4DBF-9859-43130007A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97376"/>
        <c:axId val="88996960"/>
      </c:scatterChart>
      <c:catAx>
        <c:axId val="8899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MZR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6960"/>
        <c:crosses val="autoZero"/>
        <c:auto val="1"/>
        <c:lblAlgn val="ctr"/>
        <c:lblOffset val="100"/>
        <c:noMultiLvlLbl val="0"/>
      </c:catAx>
      <c:valAx>
        <c:axId val="88996960"/>
        <c:scaling>
          <c:orientation val="minMax"/>
          <c:max val="900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layout>
            <c:manualLayout>
              <c:xMode val="edge"/>
              <c:yMode val="edge"/>
              <c:x val="3.888888888888889E-2"/>
              <c:y val="0.141059589773500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899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 Chart</a:t>
            </a:r>
            <a:r>
              <a:rPr lang="en-US" baseline="0"/>
              <a:t> Version 2 </a:t>
            </a:r>
          </a:p>
          <a:p>
            <a:pPr>
              <a:defRPr/>
            </a:pPr>
            <a:r>
              <a:rPr lang="en-US" baseline="0"/>
              <a:t>Stacked Bar chart using a Scatterplot to create the Y-Axis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499999999999996E-2"/>
          <c:y val="0.1144753086419753"/>
          <c:w val="0.96412962962962967"/>
          <c:h val="0.748477447263536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chart_break!$J$5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7EA-48E5-9B87-18F00DB15A15}"/>
              </c:ext>
            </c:extLst>
          </c:dPt>
          <c:cat>
            <c:strRef>
              <c:f>chart_break!$B$6:$B$14</c:f>
              <c:strCache>
                <c:ptCount val="9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PAR</c:v>
                </c:pt>
                <c:pt idx="4">
                  <c:v>SAO</c:v>
                </c:pt>
                <c:pt idx="5">
                  <c:v>SYD</c:v>
                </c:pt>
                <c:pt idx="6">
                  <c:v>TOK</c:v>
                </c:pt>
                <c:pt idx="7">
                  <c:v>TOR</c:v>
                </c:pt>
                <c:pt idx="8">
                  <c:v>WDC</c:v>
                </c:pt>
              </c:strCache>
            </c:strRef>
          </c:cat>
          <c:val>
            <c:numRef>
              <c:f>chart_break!$J$6:$J$14</c:f>
              <c:numCache>
                <c:formatCode>General</c:formatCode>
                <c:ptCount val="9"/>
                <c:pt idx="0">
                  <c:v>600</c:v>
                </c:pt>
                <c:pt idx="1">
                  <c:v>448</c:v>
                </c:pt>
                <c:pt idx="2">
                  <c:v>116</c:v>
                </c:pt>
                <c:pt idx="3">
                  <c:v>62</c:v>
                </c:pt>
                <c:pt idx="4">
                  <c:v>150</c:v>
                </c:pt>
                <c:pt idx="5">
                  <c:v>106</c:v>
                </c:pt>
                <c:pt idx="6">
                  <c:v>204</c:v>
                </c:pt>
                <c:pt idx="7">
                  <c:v>95</c:v>
                </c:pt>
                <c:pt idx="8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A-48E5-9B87-18F00DB15A15}"/>
            </c:ext>
          </c:extLst>
        </c:ser>
        <c:ser>
          <c:idx val="1"/>
          <c:order val="1"/>
          <c:tx>
            <c:strRef>
              <c:f>chart_break!$K$5</c:f>
              <c:strCache>
                <c:ptCount val="1"/>
                <c:pt idx="0">
                  <c:v>Break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chart_break!$B$6:$B$14</c:f>
              <c:strCache>
                <c:ptCount val="9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PAR</c:v>
                </c:pt>
                <c:pt idx="4">
                  <c:v>SAO</c:v>
                </c:pt>
                <c:pt idx="5">
                  <c:v>SYD</c:v>
                </c:pt>
                <c:pt idx="6">
                  <c:v>TOK</c:v>
                </c:pt>
                <c:pt idx="7">
                  <c:v>TOR</c:v>
                </c:pt>
                <c:pt idx="8">
                  <c:v>WDC</c:v>
                </c:pt>
              </c:strCache>
            </c:strRef>
          </c:cat>
          <c:val>
            <c:numRef>
              <c:f>chart_break!$K$6:$K$14</c:f>
              <c:numCache>
                <c:formatCode>General</c:formatCode>
                <c:ptCount val="9"/>
                <c:pt idx="0">
                  <c:v>100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A-48E5-9B87-18F00DB15A15}"/>
            </c:ext>
          </c:extLst>
        </c:ser>
        <c:ser>
          <c:idx val="2"/>
          <c:order val="2"/>
          <c:tx>
            <c:strRef>
              <c:f>chart_break!$L$5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chart_break!$B$6:$B$14</c:f>
              <c:strCache>
                <c:ptCount val="9"/>
                <c:pt idx="0">
                  <c:v>DAL</c:v>
                </c:pt>
                <c:pt idx="1">
                  <c:v>FRA</c:v>
                </c:pt>
                <c:pt idx="2">
                  <c:v>LON</c:v>
                </c:pt>
                <c:pt idx="3">
                  <c:v>PAR</c:v>
                </c:pt>
                <c:pt idx="4">
                  <c:v>SAO</c:v>
                </c:pt>
                <c:pt idx="5">
                  <c:v>SYD</c:v>
                </c:pt>
                <c:pt idx="6">
                  <c:v>TOK</c:v>
                </c:pt>
                <c:pt idx="7">
                  <c:v>TOR</c:v>
                </c:pt>
                <c:pt idx="8">
                  <c:v>WDC</c:v>
                </c:pt>
              </c:strCache>
            </c:strRef>
          </c:cat>
          <c:val>
            <c:numRef>
              <c:f>chart_break!$L$6:$L$14</c:f>
              <c:numCache>
                <c:formatCode>General</c:formatCode>
                <c:ptCount val="9"/>
                <c:pt idx="0">
                  <c:v>194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A-48E5-9B87-18F00DB15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965616"/>
        <c:axId val="625961456"/>
      </c:barChart>
      <c:scatterChart>
        <c:scatterStyle val="lineMarker"/>
        <c:varyColors val="0"/>
        <c:ser>
          <c:idx val="3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C14A168-FF40-4C9A-8CF2-9876248754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7EA-48E5-9B87-18F00DB15A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722952-3C38-46D2-8E4C-F00D80F2FD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7EA-48E5-9B87-18F00DB15A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027896-ECFD-470D-A311-77CACCFBB3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7EA-48E5-9B87-18F00DB15A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65FAB0B-7180-4F07-ABC2-64FBD3350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7EA-48E5-9B87-18F00DB15A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D6545D-DAC4-4994-A458-E2F676FC6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7EA-48E5-9B87-18F00DB15A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59A876-B595-4A14-9766-524EA213DC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7EA-48E5-9B87-18F00DB15A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1B4782-28C7-4020-BF76-B25817ED4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7EA-48E5-9B87-18F00DB15A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D9BCB13-EAB9-4F8B-8E05-7B34B5D61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7EA-48E5-9B87-18F00DB15A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12B3C0C-C761-4F5E-92A9-EB45EF837B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7EA-48E5-9B87-18F00DB15A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F233D3F-4BBE-421A-8392-2E78FEE40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7EA-48E5-9B87-18F00DB15A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C95944D-71EF-4777-807D-437D382DC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7EA-48E5-9B87-18F00DB15A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chart_break!$Q$5:$Q$15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chart_break!$R$5:$R$15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chart_break!$S$5:$S$15</c15:f>
                <c15:dlblRangeCache>
                  <c:ptCount val="11"/>
                  <c:pt idx="0">
                    <c:v>0</c:v>
                  </c:pt>
                  <c:pt idx="1">
                    <c:v>100</c:v>
                  </c:pt>
                  <c:pt idx="2">
                    <c:v>200</c:v>
                  </c:pt>
                  <c:pt idx="3">
                    <c:v>300</c:v>
                  </c:pt>
                  <c:pt idx="4">
                    <c:v>400</c:v>
                  </c:pt>
                  <c:pt idx="5">
                    <c:v>500</c:v>
                  </c:pt>
                  <c:pt idx="6">
                    <c:v>600</c:v>
                  </c:pt>
                  <c:pt idx="8">
                    <c:v>900</c:v>
                  </c:pt>
                  <c:pt idx="9">
                    <c:v>1000</c:v>
                  </c:pt>
                  <c:pt idx="10">
                    <c:v>1100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7EA-48E5-9B87-18F00DB15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965616"/>
        <c:axId val="625961456"/>
      </c:scatterChart>
      <c:catAx>
        <c:axId val="62596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MZR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61456"/>
        <c:crosses val="autoZero"/>
        <c:auto val="1"/>
        <c:lblAlgn val="ctr"/>
        <c:lblOffset val="100"/>
        <c:noMultiLvlLbl val="0"/>
      </c:catAx>
      <c:valAx>
        <c:axId val="625961456"/>
        <c:scaling>
          <c:orientation val="minMax"/>
          <c:max val="900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layout>
            <c:manualLayout>
              <c:xMode val="edge"/>
              <c:yMode val="edge"/>
              <c:x val="0.05"/>
              <c:y val="9.1792553708564206E-2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259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dynamic_range!$N$7</c:f>
          <c:strCache>
            <c:ptCount val="1"/>
            <c:pt idx="0">
              <c:v>TOK05
12 Month Average Slot Take Rate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207130358705164E-2"/>
          <c:y val="0.12541666666666668"/>
          <c:w val="0.93651509186351711"/>
          <c:h val="0.7954553076698746"/>
        </c:manualLayout>
      </c:layout>
      <c:lineChart>
        <c:grouping val="standard"/>
        <c:varyColors val="0"/>
        <c:ser>
          <c:idx val="0"/>
          <c:order val="0"/>
          <c:tx>
            <c:v>ValueNM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cat>
            <c:strRef>
              <c:f>[0]!DateNM</c:f>
              <c:strCache>
                <c:ptCount val="12"/>
                <c:pt idx="0">
                  <c:v>Mar
2020</c:v>
                </c:pt>
                <c:pt idx="1">
                  <c:v>Apr
2020</c:v>
                </c:pt>
                <c:pt idx="2">
                  <c:v>May
2020</c:v>
                </c:pt>
                <c:pt idx="3">
                  <c:v>Jun
2020</c:v>
                </c:pt>
                <c:pt idx="4">
                  <c:v>Jul
2020</c:v>
                </c:pt>
                <c:pt idx="5">
                  <c:v>Aug
2020</c:v>
                </c:pt>
                <c:pt idx="6">
                  <c:v>Sep
2020</c:v>
                </c:pt>
                <c:pt idx="7">
                  <c:v>Oct
2020</c:v>
                </c:pt>
                <c:pt idx="8">
                  <c:v>Nov
2020</c:v>
                </c:pt>
                <c:pt idx="9">
                  <c:v>Dec
2020</c:v>
                </c:pt>
                <c:pt idx="10">
                  <c:v>Jan
2021</c:v>
                </c:pt>
                <c:pt idx="11">
                  <c:v>Feb
2021</c:v>
                </c:pt>
              </c:strCache>
            </c:strRef>
          </c:cat>
          <c:val>
            <c:numRef>
              <c:f>[0]!ValueNM</c:f>
              <c:numCache>
                <c:formatCode>General</c:formatCode>
                <c:ptCount val="12"/>
                <c:pt idx="0">
                  <c:v>56</c:v>
                </c:pt>
                <c:pt idx="1">
                  <c:v>6</c:v>
                </c:pt>
                <c:pt idx="2">
                  <c:v>-10</c:v>
                </c:pt>
                <c:pt idx="3">
                  <c:v>72</c:v>
                </c:pt>
                <c:pt idx="4">
                  <c:v>-67</c:v>
                </c:pt>
                <c:pt idx="5">
                  <c:v>3</c:v>
                </c:pt>
                <c:pt idx="6">
                  <c:v>28</c:v>
                </c:pt>
                <c:pt idx="7">
                  <c:v>30</c:v>
                </c:pt>
                <c:pt idx="8">
                  <c:v>51</c:v>
                </c:pt>
                <c:pt idx="9">
                  <c:v>-37</c:v>
                </c:pt>
                <c:pt idx="10">
                  <c:v>64</c:v>
                </c:pt>
                <c:pt idx="11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F-4119-8384-2B813BE27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31680"/>
        <c:axId val="119036256"/>
      </c:lineChart>
      <c:catAx>
        <c:axId val="1190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36256"/>
        <c:crosses val="autoZero"/>
        <c:auto val="1"/>
        <c:lblAlgn val="ctr"/>
        <c:lblOffset val="100"/>
        <c:noMultiLvlLbl val="0"/>
      </c:catAx>
      <c:valAx>
        <c:axId val="1190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layout>
            <c:manualLayout>
              <c:xMode val="edge"/>
              <c:yMode val="edge"/>
              <c:x val="4.1666666666666664E-2"/>
              <c:y val="0.10741180688392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Color14]#,##0;[Red]\-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8" inc="100" max="4000" page="500" val="229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5601</xdr:colOff>
      <xdr:row>2</xdr:row>
      <xdr:rowOff>197224</xdr:rowOff>
    </xdr:from>
    <xdr:to>
      <xdr:col>17</xdr:col>
      <xdr:colOff>59389</xdr:colOff>
      <xdr:row>26</xdr:row>
      <xdr:rowOff>163606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210109</xdr:colOff>
      <xdr:row>5</xdr:row>
      <xdr:rowOff>96370</xdr:rowOff>
    </xdr:from>
    <xdr:to>
      <xdr:col>12</xdr:col>
      <xdr:colOff>546285</xdr:colOff>
      <xdr:row>19</xdr:row>
      <xdr:rowOff>105335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210109</xdr:colOff>
      <xdr:row>5</xdr:row>
      <xdr:rowOff>96370</xdr:rowOff>
    </xdr:from>
    <xdr:to>
      <xdr:col>12</xdr:col>
      <xdr:colOff>546285</xdr:colOff>
      <xdr:row>19</xdr:row>
      <xdr:rowOff>105335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268941</xdr:colOff>
      <xdr:row>5</xdr:row>
      <xdr:rowOff>0</xdr:rowOff>
    </xdr:from>
    <xdr:to>
      <xdr:col>24</xdr:col>
      <xdr:colOff>0</xdr:colOff>
      <xdr:row>19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268941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268941</xdr:colOff>
      <xdr:row>21</xdr:row>
      <xdr:rowOff>0</xdr:rowOff>
    </xdr:from>
    <xdr:to>
      <xdr:col>24</xdr:col>
      <xdr:colOff>0</xdr:colOff>
      <xdr:row>35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27247C-6833-4B3A-8786-7D96D94D1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268942</xdr:colOff>
      <xdr:row>5</xdr:row>
      <xdr:rowOff>0</xdr:rowOff>
    </xdr:from>
    <xdr:to>
      <xdr:col>32</xdr:col>
      <xdr:colOff>0</xdr:colOff>
      <xdr:row>19</xdr:row>
      <xdr:rowOff>8965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3783F0-46AD-41B7-8A52-B5B3B617E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268942</xdr:colOff>
      <xdr:row>21</xdr:row>
      <xdr:rowOff>0</xdr:rowOff>
    </xdr:from>
    <xdr:to>
      <xdr:col>32</xdr:col>
      <xdr:colOff>0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D47B8-FA40-434E-BBC4-8942295E6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0.40441</cdr:x>
      <cdr:y>0.375</cdr:y>
    </cdr:from>
    <cdr:to>
      <cdr:x>0.60441</cdr:x>
      <cdr:y>0.70833</cdr:y>
    </cdr:to>
    <cdr:sp macro="" textlink="gauge!$P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273ED2-75A2-E70C-4933-AB7F7D00CF7A}"/>
            </a:ext>
          </a:extLst>
        </cdr:cNvPr>
        <cdr:cNvSpPr txBox="1"/>
      </cdr:nvSpPr>
      <cdr:spPr>
        <a:xfrm xmlns:a="http://schemas.openxmlformats.org/drawingml/2006/main">
          <a:off x="1848971" y="1028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AF639831-9489-475D-9B04-ABC5E0F06C75}" type="TxLink">
            <a:rPr lang="en-US" sz="4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67%</a:t>
          </a:fld>
          <a:endParaRPr lang="en-US" sz="4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0.39706</cdr:x>
      <cdr:y>0.32598</cdr:y>
    </cdr:from>
    <cdr:to>
      <cdr:x>0.59706</cdr:x>
      <cdr:y>0.65931</cdr:y>
    </cdr:to>
    <cdr:sp macro="" textlink="gauge!$C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273ED2-75A2-E70C-4933-AB7F7D00CF7A}"/>
            </a:ext>
          </a:extLst>
        </cdr:cNvPr>
        <cdr:cNvSpPr txBox="1"/>
      </cdr:nvSpPr>
      <cdr:spPr>
        <a:xfrm xmlns:a="http://schemas.openxmlformats.org/drawingml/2006/main">
          <a:off x="1815340" y="894229"/>
          <a:ext cx="914400" cy="9143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indent="0" algn="ctr"/>
          <a:fld id="{26B89CDF-8A13-42E3-AE1D-791A8A260F81}" type="TxLink">
            <a:rPr lang="en-US" sz="4800" b="1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 algn="ctr"/>
            <a:t>67%</a:t>
          </a:fld>
          <a:endParaRPr lang="en-US" sz="4800" b="1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0.40441</cdr:x>
      <cdr:y>0.375</cdr:y>
    </cdr:from>
    <cdr:to>
      <cdr:x>0.60441</cdr:x>
      <cdr:y>0.70833</cdr:y>
    </cdr:to>
    <cdr:sp macro="" textlink="gauge!$P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273ED2-75A2-E70C-4933-AB7F7D00CF7A}"/>
            </a:ext>
          </a:extLst>
        </cdr:cNvPr>
        <cdr:cNvSpPr txBox="1"/>
      </cdr:nvSpPr>
      <cdr:spPr>
        <a:xfrm xmlns:a="http://schemas.openxmlformats.org/drawingml/2006/main">
          <a:off x="1848971" y="1028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AF639831-9489-475D-9B04-ABC5E0F06C75}" type="TxLink">
            <a:rPr lang="en-US" sz="4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67%</a:t>
          </a:fld>
          <a:endParaRPr lang="en-US" sz="4800" b="1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0.40441</cdr:x>
      <cdr:y>0.375</cdr:y>
    </cdr:from>
    <cdr:to>
      <cdr:x>0.60441</cdr:x>
      <cdr:y>0.70833</cdr:y>
    </cdr:to>
    <cdr:sp macro="" textlink="gauge!$P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273ED2-75A2-E70C-4933-AB7F7D00CF7A}"/>
            </a:ext>
          </a:extLst>
        </cdr:cNvPr>
        <cdr:cNvSpPr txBox="1"/>
      </cdr:nvSpPr>
      <cdr:spPr>
        <a:xfrm xmlns:a="http://schemas.openxmlformats.org/drawingml/2006/main">
          <a:off x="1848971" y="1028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AF639831-9489-475D-9B04-ABC5E0F06C75}" type="TxLink">
            <a:rPr lang="en-US" sz="4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67%</a:t>
          </a:fld>
          <a:endParaRPr lang="en-US" sz="4800" b="1">
            <a:solidFill>
              <a:schemeClr val="accent1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0.40441</cdr:x>
      <cdr:y>0.375</cdr:y>
    </cdr:from>
    <cdr:to>
      <cdr:x>0.60441</cdr:x>
      <cdr:y>0.70833</cdr:y>
    </cdr:to>
    <cdr:sp macro="" textlink="gauge!$P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273ED2-75A2-E70C-4933-AB7F7D00CF7A}"/>
            </a:ext>
          </a:extLst>
        </cdr:cNvPr>
        <cdr:cNvSpPr txBox="1"/>
      </cdr:nvSpPr>
      <cdr:spPr>
        <a:xfrm xmlns:a="http://schemas.openxmlformats.org/drawingml/2006/main">
          <a:off x="1848971" y="1028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AF639831-9489-475D-9B04-ABC5E0F06C75}" type="TxLink">
            <a:rPr lang="en-US" sz="4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67%</a:t>
          </a:fld>
          <a:endParaRPr lang="en-US" sz="4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13</xdr:row>
      <xdr:rowOff>0</xdr:rowOff>
    </xdr:from>
    <xdr:to>
      <xdr:col>8</xdr:col>
      <xdr:colOff>177054</xdr:colOff>
      <xdr:row>37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20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53788</xdr:colOff>
      <xdr:row>26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23</xdr:col>
      <xdr:colOff>376517</xdr:colOff>
      <xdr:row>31</xdr:row>
      <xdr:rowOff>118782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186017</xdr:rowOff>
    </xdr:from>
    <xdr:to>
      <xdr:col>18</xdr:col>
      <xdr:colOff>53788</xdr:colOff>
      <xdr:row>34</xdr:row>
      <xdr:rowOff>186017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605115</xdr:colOff>
      <xdr:row>2</xdr:row>
      <xdr:rowOff>197222</xdr:rowOff>
    </xdr:from>
    <xdr:to>
      <xdr:col>19</xdr:col>
      <xdr:colOff>53785</xdr:colOff>
      <xdr:row>26</xdr:row>
      <xdr:rowOff>141193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</xdr:row>
          <xdr:rowOff>19050</xdr:rowOff>
        </xdr:from>
        <xdr:to>
          <xdr:col>19</xdr:col>
          <xdr:colOff>428625</xdr:colOff>
          <xdr:row>26</xdr:row>
          <xdr:rowOff>142875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32</xdr:row>
      <xdr:rowOff>186016</xdr:rowOff>
    </xdr:from>
    <xdr:to>
      <xdr:col>16</xdr:col>
      <xdr:colOff>414618</xdr:colOff>
      <xdr:row>60</xdr:row>
      <xdr:rowOff>168087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186018</xdr:rowOff>
    </xdr:from>
    <xdr:to>
      <xdr:col>24</xdr:col>
      <xdr:colOff>53788</xdr:colOff>
      <xdr:row>33</xdr:row>
      <xdr:rowOff>186018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44821</xdr:colOff>
      <xdr:row>9</xdr:row>
      <xdr:rowOff>186015</xdr:rowOff>
    </xdr:from>
    <xdr:to>
      <xdr:col>10</xdr:col>
      <xdr:colOff>479609</xdr:colOff>
      <xdr:row>33</xdr:row>
      <xdr:rowOff>186015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470646</xdr:colOff>
      <xdr:row>13</xdr:row>
      <xdr:rowOff>56029</xdr:rowOff>
    </xdr:from>
    <xdr:to>
      <xdr:col>4</xdr:col>
      <xdr:colOff>515470</xdr:colOff>
      <xdr:row>16</xdr:row>
      <xdr:rowOff>134471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 rot="16200000">
          <a:off x="2173940" y="2566147"/>
          <a:ext cx="649942" cy="649942"/>
        </a:xfrm>
        <a:prstGeom prst="flowChartDelay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582703</xdr:colOff>
      <xdr:row>13</xdr:row>
      <xdr:rowOff>56029</xdr:rowOff>
    </xdr:from>
    <xdr:to>
      <xdr:col>5</xdr:col>
      <xdr:colOff>627528</xdr:colOff>
      <xdr:row>16</xdr:row>
      <xdr:rowOff>134471</xdr:rowOff>
    </xdr:to>
    <xdr:sp macro="" textlink="">
      <xdr:nvSpPr>
        <xdr:cNvPr id="7" name="Flowchart: Delay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 rot="16200000">
          <a:off x="2891115" y="2566147"/>
          <a:ext cx="649942" cy="649942"/>
        </a:xfrm>
        <a:prstGeom prst="flowChartDelay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5601</xdr:colOff>
      <xdr:row>2</xdr:row>
      <xdr:rowOff>198903</xdr:rowOff>
    </xdr:from>
    <xdr:to>
      <xdr:col>20</xdr:col>
      <xdr:colOff>59390</xdr:colOff>
      <xdr:row>26</xdr:row>
      <xdr:rowOff>174810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10798</xdr:colOff>
      <xdr:row>4</xdr:row>
      <xdr:rowOff>11204</xdr:rowOff>
    </xdr:from>
    <xdr:ext cx="6723937" cy="3907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06710" y="795616"/>
          <a:ext cx="6723937" cy="3907875"/>
        </a:xfrm>
        <a:prstGeom prst="rect">
          <a:avLst/>
        </a:prstGeom>
        <a:noFill/>
      </xdr:spPr>
    </xdr:pic>
    <xdr:clientData/>
  </xdr:oneCellAnchor>
  <xdr:oneCellAnchor>
    <xdr:from>
      <xdr:col>12</xdr:col>
      <xdr:colOff>0</xdr:colOff>
      <xdr:row>28</xdr:row>
      <xdr:rowOff>0</xdr:rowOff>
    </xdr:from>
    <xdr:ext cx="7261411" cy="438912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11</xdr:col>
      <xdr:colOff>593911</xdr:colOff>
      <xdr:row>4</xdr:row>
      <xdr:rowOff>14792</xdr:rowOff>
    </xdr:from>
    <xdr:ext cx="7261411" cy="438912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21</xdr:col>
      <xdr:colOff>201706</xdr:colOff>
      <xdr:row>24</xdr:row>
      <xdr:rowOff>80682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10</xdr:col>
      <xdr:colOff>224118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23</xdr:col>
      <xdr:colOff>201706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10</xdr:col>
      <xdr:colOff>227345</xdr:colOff>
      <xdr:row>58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19</xdr:col>
      <xdr:colOff>201706</xdr:colOff>
      <xdr:row>24</xdr:row>
      <xdr:rowOff>91888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19</xdr:col>
      <xdr:colOff>201706</xdr:colOff>
      <xdr:row>46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10</xdr:col>
      <xdr:colOff>190500</xdr:colOff>
      <xdr:row>41</xdr:row>
      <xdr:rowOff>80682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43</xdr:row>
      <xdr:rowOff>0</xdr:rowOff>
    </xdr:from>
    <xdr:to>
      <xdr:col>10</xdr:col>
      <xdr:colOff>190500</xdr:colOff>
      <xdr:row>64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47</xdr:row>
      <xdr:rowOff>78443</xdr:rowOff>
    </xdr:from>
    <xdr:to>
      <xdr:col>9</xdr:col>
      <xdr:colOff>425823</xdr:colOff>
      <xdr:row>48</xdr:row>
      <xdr:rowOff>156884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/>
      </xdr:nvSpPr>
      <xdr:spPr>
        <a:xfrm>
          <a:off x="5502088" y="9468972"/>
          <a:ext cx="1030941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Static</a:t>
          </a:r>
          <a:r>
            <a:rPr lang="en-US" sz="1100" baseline="0"/>
            <a:t> Legend</a:t>
          </a:r>
          <a:endParaRPr lang="en-US" sz="1100"/>
        </a:p>
      </xdr:txBody>
    </xdr:sp>
    <xdr:clientData/>
  </xdr:twoCellAnchor>
  <xdr:twoCellAnchor>
    <xdr:from>
      <xdr:col>10</xdr:col>
      <xdr:colOff>11204</xdr:colOff>
      <xdr:row>47</xdr:row>
      <xdr:rowOff>67236</xdr:rowOff>
    </xdr:from>
    <xdr:to>
      <xdr:col>13</xdr:col>
      <xdr:colOff>414618</xdr:colOff>
      <xdr:row>48</xdr:row>
      <xdr:rowOff>156883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/>
      </xdr:nvSpPr>
      <xdr:spPr>
        <a:xfrm>
          <a:off x="6723528" y="9457765"/>
          <a:ext cx="2218766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Dynamic and Customizable </a:t>
          </a:r>
          <a:r>
            <a:rPr lang="en-US" sz="1100" baseline="0"/>
            <a:t>Legend</a:t>
          </a:r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12</xdr:col>
      <xdr:colOff>123265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78441</xdr:colOff>
      <xdr:row>2</xdr:row>
      <xdr:rowOff>123265</xdr:rowOff>
    </xdr:from>
    <xdr:to>
      <xdr:col>3</xdr:col>
      <xdr:colOff>605117</xdr:colOff>
      <xdr:row>3</xdr:row>
      <xdr:rowOff>88952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GrpSpPr/>
      </xdr:nvGrpSpPr>
      <xdr:grpSpPr>
        <a:xfrm>
          <a:off x="1411941" y="504265"/>
          <a:ext cx="526676" cy="156187"/>
          <a:chOff x="2980765" y="571500"/>
          <a:chExt cx="3249706" cy="963706"/>
        </a:xfrm>
      </xdr:grpSpPr>
      <xdr:sp macro="" textlink="">
        <xdr:nvSpPr>
          <xdr:cNvPr id="3" name="Flowchart: Data 2">
            <a:extLst>
              <a:ext uri="{FF2B5EF4-FFF2-40B4-BE49-F238E27FC236}">
                <a16:creationId xmlns:a16="http://schemas.microsoft.com/office/drawing/2014/main" id="{00000000-0008-0000-1100-000003000000}"/>
              </a:ext>
            </a:extLst>
          </xdr:cNvPr>
          <xdr:cNvSpPr/>
        </xdr:nvSpPr>
        <xdr:spPr>
          <a:xfrm>
            <a:off x="2980765" y="571500"/>
            <a:ext cx="3249706" cy="963706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0000000-0008-0000-1100-000005000000}"/>
              </a:ext>
            </a:extLst>
          </xdr:cNvPr>
          <xdr:cNvCxnSpPr/>
        </xdr:nvCxnSpPr>
        <xdr:spPr>
          <a:xfrm>
            <a:off x="3653118" y="571500"/>
            <a:ext cx="2577353" cy="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CxnSpPr/>
        </xdr:nvCxnSpPr>
        <xdr:spPr>
          <a:xfrm flipH="1">
            <a:off x="2991971" y="1524000"/>
            <a:ext cx="2599764" cy="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16</xdr:row>
      <xdr:rowOff>0</xdr:rowOff>
    </xdr:from>
    <xdr:to>
      <xdr:col>24</xdr:col>
      <xdr:colOff>201705</xdr:colOff>
      <xdr:row>37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12</xdr:col>
      <xdr:colOff>123265</xdr:colOff>
      <xdr:row>60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0.02507</cdr:x>
      <cdr:y>0.31511</cdr:y>
    </cdr:from>
    <cdr:to>
      <cdr:x>0.12001</cdr:x>
      <cdr:y>0.36203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975E9E54-5427-44A9-A638-485BA4724018}"/>
            </a:ext>
          </a:extLst>
        </cdr:cNvPr>
        <cdr:cNvGrpSpPr/>
      </cdr:nvGrpSpPr>
      <cdr:grpSpPr>
        <a:xfrm xmlns:a="http://schemas.openxmlformats.org/drawingml/2006/main" rot="-2700000">
          <a:off x="171930" y="1296615"/>
          <a:ext cx="651099" cy="193066"/>
          <a:chOff x="0" y="0"/>
          <a:chExt cx="20051396" cy="5946265"/>
        </a:xfrm>
      </cdr:grpSpPr>
      <cdr:sp macro="" textlink="">
        <cdr:nvSpPr>
          <cdr:cNvPr id="3" name="Flowchart: Data 2">
            <a:extLst xmlns:a="http://schemas.openxmlformats.org/drawingml/2006/main">
              <a:ext uri="{FF2B5EF4-FFF2-40B4-BE49-F238E27FC236}">
                <a16:creationId xmlns:a16="http://schemas.microsoft.com/office/drawing/2014/main" id="{CE4321BF-1D64-425F-92FF-4EB401B8576C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0051396" cy="5946265"/>
          </a:xfrm>
          <a:prstGeom xmlns:a="http://schemas.openxmlformats.org/drawingml/2006/main" prst="flowChartInputOutpu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>
            <a:solidFill>
              <a:schemeClr val="bg1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l"/>
            <a:endParaRPr lang="en-US" sz="1100"/>
          </a:p>
        </cdr:txBody>
      </cdr:sp>
      <cdr:cxnSp macro="">
        <cdr:nvCxnSpPr>
          <cdr:cNvPr id="4" name="Straight Connector 3">
            <a:extLst xmlns:a="http://schemas.openxmlformats.org/drawingml/2006/main">
              <a:ext uri="{FF2B5EF4-FFF2-40B4-BE49-F238E27FC236}">
                <a16:creationId xmlns:a16="http://schemas.microsoft.com/office/drawing/2014/main" id="{BA3533BE-4262-402B-A235-E62758251756}"/>
              </a:ext>
            </a:extLst>
          </cdr:cNvPr>
          <cdr:cNvCxnSpPr/>
        </cdr:nvCxnSpPr>
        <cdr:spPr>
          <a:xfrm xmlns:a="http://schemas.openxmlformats.org/drawingml/2006/main">
            <a:off x="4148565" y="0"/>
            <a:ext cx="15902831" cy="0"/>
          </a:xfrm>
          <a:prstGeom xmlns:a="http://schemas.openxmlformats.org/drawingml/2006/main" prst="line">
            <a:avLst/>
          </a:prstGeom>
          <a:ln xmlns:a="http://schemas.openxmlformats.org/drawingml/2006/main" w="25400"/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Straight Connector 4">
            <a:extLst xmlns:a="http://schemas.openxmlformats.org/drawingml/2006/main">
              <a:ext uri="{FF2B5EF4-FFF2-40B4-BE49-F238E27FC236}">
                <a16:creationId xmlns:a16="http://schemas.microsoft.com/office/drawing/2014/main" id="{1877D692-3CA6-48B1-B67F-044D9F6BCDB6}"/>
              </a:ext>
            </a:extLst>
          </cdr:cNvPr>
          <cdr:cNvCxnSpPr/>
        </cdr:nvCxnSpPr>
        <cdr:spPr>
          <a:xfrm xmlns:a="http://schemas.openxmlformats.org/drawingml/2006/main" flipH="1">
            <a:off x="69143" y="5877122"/>
            <a:ext cx="16041112" cy="0"/>
          </a:xfrm>
          <a:prstGeom xmlns:a="http://schemas.openxmlformats.org/drawingml/2006/main" prst="line">
            <a:avLst/>
          </a:prstGeom>
          <a:ln xmlns:a="http://schemas.openxmlformats.org/drawingml/2006/main" w="25400"/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0.07822</cdr:x>
      <cdr:y>0.33974</cdr:y>
    </cdr:from>
    <cdr:to>
      <cdr:x>0.17316</cdr:x>
      <cdr:y>0.383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975E9E54-5427-44A9-A638-485BA4724018}"/>
            </a:ext>
          </a:extLst>
        </cdr:cNvPr>
        <cdr:cNvGrpSpPr/>
      </cdr:nvGrpSpPr>
      <cdr:grpSpPr>
        <a:xfrm xmlns:a="http://schemas.openxmlformats.org/drawingml/2006/main" rot="-2700000">
          <a:off x="536433" y="1397962"/>
          <a:ext cx="651098" cy="178006"/>
          <a:chOff x="0" y="0"/>
          <a:chExt cx="20051396" cy="5946265"/>
        </a:xfrm>
      </cdr:grpSpPr>
      <cdr:sp macro="" textlink="">
        <cdr:nvSpPr>
          <cdr:cNvPr id="3" name="Flowchart: Data 2">
            <a:extLst xmlns:a="http://schemas.openxmlformats.org/drawingml/2006/main">
              <a:ext uri="{FF2B5EF4-FFF2-40B4-BE49-F238E27FC236}">
                <a16:creationId xmlns:a16="http://schemas.microsoft.com/office/drawing/2014/main" id="{CE4321BF-1D64-425F-92FF-4EB401B8576C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0051396" cy="5946265"/>
          </a:xfrm>
          <a:prstGeom xmlns:a="http://schemas.openxmlformats.org/drawingml/2006/main" prst="flowChartInputOutpu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>
            <a:solidFill>
              <a:schemeClr val="bg1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l"/>
            <a:endParaRPr lang="en-US" sz="1100"/>
          </a:p>
        </cdr:txBody>
      </cdr:sp>
      <cdr:cxnSp macro="">
        <cdr:nvCxnSpPr>
          <cdr:cNvPr id="4" name="Straight Connector 3">
            <a:extLst xmlns:a="http://schemas.openxmlformats.org/drawingml/2006/main">
              <a:ext uri="{FF2B5EF4-FFF2-40B4-BE49-F238E27FC236}">
                <a16:creationId xmlns:a16="http://schemas.microsoft.com/office/drawing/2014/main" id="{BA3533BE-4262-402B-A235-E62758251756}"/>
              </a:ext>
            </a:extLst>
          </cdr:cNvPr>
          <cdr:cNvCxnSpPr/>
        </cdr:nvCxnSpPr>
        <cdr:spPr>
          <a:xfrm xmlns:a="http://schemas.openxmlformats.org/drawingml/2006/main">
            <a:off x="4148565" y="0"/>
            <a:ext cx="15902831" cy="0"/>
          </a:xfrm>
          <a:prstGeom xmlns:a="http://schemas.openxmlformats.org/drawingml/2006/main" prst="line">
            <a:avLst/>
          </a:prstGeom>
          <a:ln xmlns:a="http://schemas.openxmlformats.org/drawingml/2006/main" w="25400"/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Straight Connector 4">
            <a:extLst xmlns:a="http://schemas.openxmlformats.org/drawingml/2006/main">
              <a:ext uri="{FF2B5EF4-FFF2-40B4-BE49-F238E27FC236}">
                <a16:creationId xmlns:a16="http://schemas.microsoft.com/office/drawing/2014/main" id="{1877D692-3CA6-48B1-B67F-044D9F6BCDB6}"/>
              </a:ext>
            </a:extLst>
          </cdr:cNvPr>
          <cdr:cNvCxnSpPr/>
        </cdr:nvCxnSpPr>
        <cdr:spPr>
          <a:xfrm xmlns:a="http://schemas.openxmlformats.org/drawingml/2006/main" flipH="1">
            <a:off x="69143" y="5877122"/>
            <a:ext cx="16041112" cy="0"/>
          </a:xfrm>
          <a:prstGeom xmlns:a="http://schemas.openxmlformats.org/drawingml/2006/main" prst="line">
            <a:avLst/>
          </a:prstGeom>
          <a:ln xmlns:a="http://schemas.openxmlformats.org/drawingml/2006/main" w="25400"/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26</xdr:col>
      <xdr:colOff>369795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-v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088"/>
      </a:accent1>
      <a:accent2>
        <a:srgbClr val="005960"/>
      </a:accent2>
      <a:accent3>
        <a:srgbClr val="1D3649"/>
      </a:accent3>
      <a:accent4>
        <a:srgbClr val="BD1E24"/>
      </a:accent4>
      <a:accent5>
        <a:srgbClr val="FF5004"/>
      </a:accent5>
      <a:accent6>
        <a:srgbClr val="FFFF4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ea.europa.eu/data-and-maps/daviz/learn-more/chart-dos-and-don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01DD-6827-4311-A26B-3E5BA104CEC5}">
  <sheetPr>
    <tabColor theme="4"/>
  </sheetPr>
  <dimension ref="B1:Z52"/>
  <sheetViews>
    <sheetView tabSelected="1" zoomScale="85" zoomScaleNormal="85" workbookViewId="0"/>
  </sheetViews>
  <sheetFormatPr defaultRowHeight="15" x14ac:dyDescent="0.25"/>
  <cols>
    <col min="1" max="1" width="0.7109375" customWidth="1"/>
    <col min="3" max="3" width="9.140625" customWidth="1"/>
  </cols>
  <sheetData>
    <row r="1" spans="2:26" x14ac:dyDescent="0.25">
      <c r="B1" s="2" t="str" cm="1">
        <f t="array" aca="1" ref="B1" ca="1">MID(CELL("filename"),SEARCH("[",CELL("filename"))+1,SEARCH(".",CELL("filename"))-SEARCH("[",CELL("filename"))-1)</f>
        <v>Excel Chart and Graph Examples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4" spans="2:26" s="59" customFormat="1" x14ac:dyDescent="0.25">
      <c r="B4" s="2" t="s">
        <v>99</v>
      </c>
      <c r="C4" s="60"/>
      <c r="D4" s="60"/>
      <c r="E4" s="60"/>
      <c r="F4" s="60"/>
      <c r="G4" s="60"/>
      <c r="H4" s="60"/>
      <c r="I4" s="60"/>
      <c r="J4" s="60"/>
      <c r="K4" s="60"/>
    </row>
    <row r="5" spans="2:26" x14ac:dyDescent="0.25">
      <c r="B5" t="s">
        <v>172</v>
      </c>
    </row>
    <row r="6" spans="2:26" x14ac:dyDescent="0.25">
      <c r="B6" t="s">
        <v>170</v>
      </c>
    </row>
    <row r="7" spans="2:26" x14ac:dyDescent="0.25">
      <c r="B7" t="s">
        <v>171</v>
      </c>
    </row>
    <row r="8" spans="2:26" x14ac:dyDescent="0.25">
      <c r="B8" t="s">
        <v>173</v>
      </c>
    </row>
    <row r="11" spans="2:26" x14ac:dyDescent="0.25">
      <c r="B11" s="2" t="s">
        <v>209</v>
      </c>
      <c r="C11" s="2"/>
      <c r="D11" s="2"/>
      <c r="E11" s="2"/>
      <c r="F11" s="2"/>
      <c r="G11" s="2"/>
      <c r="H11" s="2"/>
      <c r="I11" s="2"/>
      <c r="J11" s="2"/>
      <c r="K11" s="2"/>
    </row>
    <row r="12" spans="2:26" x14ac:dyDescent="0.25">
      <c r="B12" t="s">
        <v>253</v>
      </c>
    </row>
    <row r="13" spans="2:26" x14ac:dyDescent="0.25">
      <c r="B13" t="s">
        <v>250</v>
      </c>
      <c r="C13" t="s">
        <v>251</v>
      </c>
    </row>
    <row r="14" spans="2:26" x14ac:dyDescent="0.25">
      <c r="B14" t="s">
        <v>250</v>
      </c>
      <c r="C14" s="59" t="s">
        <v>252</v>
      </c>
    </row>
    <row r="15" spans="2:26" s="59" customFormat="1" x14ac:dyDescent="0.25">
      <c r="B15" t="s">
        <v>237</v>
      </c>
      <c r="C15" s="118"/>
      <c r="D15" s="118"/>
      <c r="E15" s="118"/>
      <c r="F15" s="118"/>
      <c r="G15" s="118"/>
      <c r="H15" s="118"/>
      <c r="I15" s="118"/>
      <c r="J15" s="118"/>
      <c r="K15" s="118"/>
    </row>
    <row r="16" spans="2:26" s="59" customFormat="1" x14ac:dyDescent="0.25">
      <c r="B16" t="s">
        <v>238</v>
      </c>
      <c r="C16" s="118"/>
      <c r="D16" s="118"/>
      <c r="E16" s="118"/>
      <c r="F16" s="118"/>
      <c r="G16" s="118"/>
      <c r="H16" s="118"/>
      <c r="I16" s="118"/>
      <c r="J16" s="118"/>
      <c r="K16" s="118"/>
    </row>
    <row r="17" spans="2:11" s="59" customFormat="1" x14ac:dyDescent="0.25">
      <c r="B17" s="59" t="s">
        <v>254</v>
      </c>
      <c r="C17" s="118"/>
      <c r="D17" s="118"/>
      <c r="E17" s="118"/>
      <c r="F17" s="118"/>
      <c r="G17" s="118"/>
      <c r="H17" s="118"/>
      <c r="I17" s="118"/>
      <c r="J17" s="118"/>
      <c r="K17" s="118"/>
    </row>
    <row r="18" spans="2:11" s="59" customFormat="1" x14ac:dyDescent="0.25">
      <c r="B18" s="59" t="s">
        <v>242</v>
      </c>
      <c r="C18" s="118"/>
      <c r="D18" s="118"/>
      <c r="E18" s="118"/>
      <c r="F18" s="118"/>
      <c r="G18" s="118"/>
      <c r="H18" s="118"/>
      <c r="I18" s="118"/>
      <c r="J18" s="118"/>
      <c r="K18" s="118"/>
    </row>
    <row r="19" spans="2:11" s="59" customFormat="1" x14ac:dyDescent="0.25">
      <c r="B19" s="59" t="s">
        <v>250</v>
      </c>
      <c r="C19" s="59" t="s">
        <v>239</v>
      </c>
      <c r="D19" s="118"/>
      <c r="E19" s="118"/>
      <c r="F19" s="118"/>
      <c r="G19" s="118"/>
      <c r="H19" s="118"/>
      <c r="I19" s="118"/>
      <c r="J19" s="118"/>
      <c r="K19" s="118"/>
    </row>
    <row r="20" spans="2:11" s="59" customFormat="1" x14ac:dyDescent="0.25">
      <c r="B20" s="59" t="s">
        <v>241</v>
      </c>
      <c r="C20" s="118"/>
      <c r="D20" s="118"/>
      <c r="E20" s="118"/>
      <c r="F20" s="118"/>
      <c r="G20" s="118"/>
      <c r="H20" s="118"/>
      <c r="I20" s="118"/>
      <c r="J20" s="118"/>
      <c r="K20" s="118"/>
    </row>
    <row r="21" spans="2:11" x14ac:dyDescent="0.25">
      <c r="B21" t="s">
        <v>240</v>
      </c>
    </row>
    <row r="22" spans="2:11" x14ac:dyDescent="0.25">
      <c r="B22" t="s">
        <v>250</v>
      </c>
      <c r="C22" t="s">
        <v>248</v>
      </c>
      <c r="D22" s="119" t="s">
        <v>243</v>
      </c>
    </row>
    <row r="23" spans="2:11" x14ac:dyDescent="0.25">
      <c r="B23" t="s">
        <v>250</v>
      </c>
      <c r="C23" t="s">
        <v>249</v>
      </c>
      <c r="D23" s="119" t="s">
        <v>243</v>
      </c>
    </row>
    <row r="24" spans="2:11" x14ac:dyDescent="0.25">
      <c r="B24" t="s">
        <v>250</v>
      </c>
      <c r="C24" t="s">
        <v>244</v>
      </c>
      <c r="D24" s="119" t="s">
        <v>245</v>
      </c>
    </row>
    <row r="25" spans="2:11" x14ac:dyDescent="0.25">
      <c r="B25" t="s">
        <v>250</v>
      </c>
      <c r="C25" t="s">
        <v>246</v>
      </c>
      <c r="D25" s="119" t="s">
        <v>243</v>
      </c>
      <c r="E25" s="119" t="s">
        <v>247</v>
      </c>
    </row>
    <row r="26" spans="2:11" x14ac:dyDescent="0.25">
      <c r="B26" t="s">
        <v>210</v>
      </c>
    </row>
    <row r="27" spans="2:11" x14ac:dyDescent="0.25">
      <c r="C27" s="117" t="s">
        <v>236</v>
      </c>
    </row>
    <row r="28" spans="2:11" x14ac:dyDescent="0.25">
      <c r="D28" t="s">
        <v>211</v>
      </c>
    </row>
    <row r="29" spans="2:11" x14ac:dyDescent="0.25">
      <c r="D29" t="s">
        <v>212</v>
      </c>
    </row>
    <row r="30" spans="2:11" x14ac:dyDescent="0.25">
      <c r="D30" t="s">
        <v>213</v>
      </c>
    </row>
    <row r="31" spans="2:11" x14ac:dyDescent="0.25">
      <c r="D31" t="s">
        <v>214</v>
      </c>
    </row>
    <row r="32" spans="2:11" x14ac:dyDescent="0.25">
      <c r="D32" t="s">
        <v>215</v>
      </c>
    </row>
    <row r="33" spans="4:4" x14ac:dyDescent="0.25">
      <c r="D33" t="s">
        <v>216</v>
      </c>
    </row>
    <row r="34" spans="4:4" x14ac:dyDescent="0.25">
      <c r="D34" t="s">
        <v>217</v>
      </c>
    </row>
    <row r="35" spans="4:4" x14ac:dyDescent="0.25">
      <c r="D35" t="s">
        <v>218</v>
      </c>
    </row>
    <row r="36" spans="4:4" x14ac:dyDescent="0.25">
      <c r="D36" t="s">
        <v>219</v>
      </c>
    </row>
    <row r="37" spans="4:4" x14ac:dyDescent="0.25">
      <c r="D37" t="s">
        <v>220</v>
      </c>
    </row>
    <row r="38" spans="4:4" x14ac:dyDescent="0.25">
      <c r="D38" t="s">
        <v>221</v>
      </c>
    </row>
    <row r="39" spans="4:4" x14ac:dyDescent="0.25">
      <c r="D39" t="s">
        <v>222</v>
      </c>
    </row>
    <row r="40" spans="4:4" x14ac:dyDescent="0.25">
      <c r="D40" t="s">
        <v>223</v>
      </c>
    </row>
    <row r="41" spans="4:4" x14ac:dyDescent="0.25">
      <c r="D41" t="s">
        <v>224</v>
      </c>
    </row>
    <row r="42" spans="4:4" x14ac:dyDescent="0.25">
      <c r="D42" t="s">
        <v>225</v>
      </c>
    </row>
    <row r="43" spans="4:4" x14ac:dyDescent="0.25">
      <c r="D43" t="s">
        <v>226</v>
      </c>
    </row>
    <row r="44" spans="4:4" x14ac:dyDescent="0.25">
      <c r="D44" t="s">
        <v>227</v>
      </c>
    </row>
    <row r="45" spans="4:4" x14ac:dyDescent="0.25">
      <c r="D45" t="s">
        <v>228</v>
      </c>
    </row>
    <row r="46" spans="4:4" x14ac:dyDescent="0.25">
      <c r="D46" t="s">
        <v>229</v>
      </c>
    </row>
    <row r="47" spans="4:4" x14ac:dyDescent="0.25">
      <c r="D47" t="s">
        <v>230</v>
      </c>
    </row>
    <row r="48" spans="4:4" x14ac:dyDescent="0.25">
      <c r="D48" t="s">
        <v>231</v>
      </c>
    </row>
    <row r="49" spans="4:4" x14ac:dyDescent="0.25">
      <c r="D49" t="s">
        <v>232</v>
      </c>
    </row>
    <row r="50" spans="4:4" x14ac:dyDescent="0.25">
      <c r="D50" t="s">
        <v>233</v>
      </c>
    </row>
    <row r="51" spans="4:4" x14ac:dyDescent="0.25">
      <c r="D51" t="s">
        <v>234</v>
      </c>
    </row>
    <row r="52" spans="4:4" x14ac:dyDescent="0.25">
      <c r="D52" t="s">
        <v>235</v>
      </c>
    </row>
  </sheetData>
  <hyperlinks>
    <hyperlink ref="C27" r:id="rId1" xr:uid="{E6A437F1-4AAB-42D5-9CCA-F2D4BAD84C5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BE1D-FAE6-494C-9722-94A55407CEDA}">
  <dimension ref="B1:Z13"/>
  <sheetViews>
    <sheetView zoomScale="85" zoomScaleNormal="85" workbookViewId="0"/>
  </sheetViews>
  <sheetFormatPr defaultRowHeight="15" x14ac:dyDescent="0.25"/>
  <cols>
    <col min="1" max="1" width="0.7109375" customWidth="1"/>
    <col min="3" max="3" width="11.7109375" bestFit="1" customWidth="1"/>
  </cols>
  <sheetData>
    <row r="1" spans="2:26" x14ac:dyDescent="0.25">
      <c r="B1" s="2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92" t="s">
        <v>121</v>
      </c>
    </row>
    <row r="3" spans="2:26" ht="15.75" thickBot="1" x14ac:dyDescent="0.3"/>
    <row r="4" spans="2:26" ht="15.75" thickBot="1" x14ac:dyDescent="0.3">
      <c r="B4" s="21" t="s">
        <v>0</v>
      </c>
      <c r="C4" s="22" t="s">
        <v>1</v>
      </c>
      <c r="D4" s="23" t="s">
        <v>2</v>
      </c>
    </row>
    <row r="5" spans="2:26" x14ac:dyDescent="0.25">
      <c r="B5" s="10" t="s">
        <v>3</v>
      </c>
      <c r="C5" s="11" t="s">
        <v>6</v>
      </c>
      <c r="D5" s="12">
        <v>7</v>
      </c>
    </row>
    <row r="6" spans="2:26" x14ac:dyDescent="0.25">
      <c r="B6" s="5"/>
      <c r="C6" s="4" t="s">
        <v>7</v>
      </c>
      <c r="D6" s="6">
        <v>47</v>
      </c>
    </row>
    <row r="7" spans="2:26" x14ac:dyDescent="0.25">
      <c r="B7" s="5"/>
      <c r="C7" s="4" t="s">
        <v>8</v>
      </c>
      <c r="D7" s="6">
        <v>13</v>
      </c>
    </row>
    <row r="8" spans="2:26" x14ac:dyDescent="0.25">
      <c r="B8" s="5" t="s">
        <v>4</v>
      </c>
      <c r="C8" s="4" t="s">
        <v>6</v>
      </c>
      <c r="D8" s="6">
        <v>3</v>
      </c>
    </row>
    <row r="9" spans="2:26" x14ac:dyDescent="0.25">
      <c r="B9" s="5"/>
      <c r="C9" s="4" t="s">
        <v>8</v>
      </c>
      <c r="D9" s="6">
        <v>82</v>
      </c>
    </row>
    <row r="10" spans="2:26" x14ac:dyDescent="0.25">
      <c r="B10" s="5"/>
      <c r="C10" s="4" t="s">
        <v>9</v>
      </c>
      <c r="D10" s="6">
        <v>93</v>
      </c>
    </row>
    <row r="11" spans="2:26" x14ac:dyDescent="0.25">
      <c r="B11" s="5" t="s">
        <v>5</v>
      </c>
      <c r="C11" s="4" t="s">
        <v>6</v>
      </c>
      <c r="D11" s="6">
        <v>38</v>
      </c>
    </row>
    <row r="12" spans="2:26" x14ac:dyDescent="0.25">
      <c r="B12" s="5"/>
      <c r="C12" s="4" t="s">
        <v>10</v>
      </c>
      <c r="D12" s="6">
        <v>9</v>
      </c>
    </row>
    <row r="13" spans="2:26" ht="15.75" thickBot="1" x14ac:dyDescent="0.3">
      <c r="B13" s="7"/>
      <c r="C13" s="8" t="s">
        <v>11</v>
      </c>
      <c r="D13" s="9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AEE4-2EFF-4429-AA68-3D6F9E843402}">
  <dimension ref="B1:AA32"/>
  <sheetViews>
    <sheetView zoomScale="85" zoomScaleNormal="85" workbookViewId="0"/>
  </sheetViews>
  <sheetFormatPr defaultRowHeight="15" x14ac:dyDescent="0.25"/>
  <cols>
    <col min="1" max="1" width="0.7109375" customWidth="1"/>
  </cols>
  <sheetData>
    <row r="1" spans="2:27" x14ac:dyDescent="0.25">
      <c r="B1" s="2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7" x14ac:dyDescent="0.25">
      <c r="B2" s="92" t="s">
        <v>117</v>
      </c>
    </row>
    <row r="3" spans="2:27" ht="15.75" thickBot="1" x14ac:dyDescent="0.3">
      <c r="O3" t="s">
        <v>336</v>
      </c>
    </row>
    <row r="4" spans="2:27" ht="15.75" thickBot="1" x14ac:dyDescent="0.3">
      <c r="B4" s="21" t="s">
        <v>14</v>
      </c>
      <c r="C4" s="22" t="s">
        <v>15</v>
      </c>
      <c r="D4" s="23" t="s">
        <v>16</v>
      </c>
      <c r="G4" s="24" t="s">
        <v>2</v>
      </c>
      <c r="O4" s="165" t="s">
        <v>337</v>
      </c>
    </row>
    <row r="5" spans="2:27" ht="15.75" thickBot="1" x14ac:dyDescent="0.3">
      <c r="B5" s="18">
        <v>25</v>
      </c>
      <c r="C5" s="19">
        <v>50</v>
      </c>
      <c r="D5" s="20">
        <v>100</v>
      </c>
      <c r="G5" s="25">
        <v>35</v>
      </c>
      <c r="O5" s="165" t="s">
        <v>338</v>
      </c>
      <c r="R5" s="72"/>
    </row>
    <row r="6" spans="2:27" ht="15.75" thickBot="1" x14ac:dyDescent="0.3"/>
    <row r="7" spans="2:27" ht="15.75" thickBot="1" x14ac:dyDescent="0.3">
      <c r="B7" s="28" t="s">
        <v>17</v>
      </c>
      <c r="C7" s="26"/>
      <c r="D7" s="26"/>
      <c r="E7" s="27"/>
      <c r="O7" t="s">
        <v>326</v>
      </c>
      <c r="P7" s="168">
        <v>0.67</v>
      </c>
      <c r="Z7" s="59"/>
      <c r="AA7" s="120"/>
    </row>
    <row r="8" spans="2:27" ht="15.75" thickBot="1" x14ac:dyDescent="0.3">
      <c r="B8" s="13">
        <f>B5</f>
        <v>25</v>
      </c>
      <c r="C8" s="14">
        <f>C5-B8</f>
        <v>25</v>
      </c>
      <c r="D8" s="14">
        <f>D5-C8-B8</f>
        <v>50</v>
      </c>
      <c r="E8" s="15">
        <f>SUM(B8:D8)</f>
        <v>100</v>
      </c>
      <c r="O8" t="s">
        <v>327</v>
      </c>
      <c r="P8" s="120">
        <f>1-P7</f>
        <v>0.32999999999999996</v>
      </c>
      <c r="Z8" s="59"/>
      <c r="AA8" s="120"/>
    </row>
    <row r="9" spans="2:27" x14ac:dyDescent="0.25">
      <c r="Z9" s="59"/>
      <c r="AA9" s="59"/>
    </row>
    <row r="10" spans="2:27" ht="15.75" thickBot="1" x14ac:dyDescent="0.3">
      <c r="O10" t="s">
        <v>335</v>
      </c>
    </row>
    <row r="11" spans="2:27" ht="15.75" thickBot="1" x14ac:dyDescent="0.3">
      <c r="B11" s="28" t="s">
        <v>18</v>
      </c>
      <c r="C11" s="26"/>
      <c r="D11" s="26"/>
      <c r="E11" s="27"/>
      <c r="O11" t="s">
        <v>329</v>
      </c>
      <c r="P11">
        <v>0</v>
      </c>
    </row>
    <row r="12" spans="2:27" ht="15.75" thickBot="1" x14ac:dyDescent="0.3">
      <c r="B12" s="13">
        <f>IF(G5-C12&lt;0,0,IF(G5-C12=0,0.5,G5-C12))</f>
        <v>34</v>
      </c>
      <c r="C12" s="14">
        <v>1</v>
      </c>
      <c r="D12" s="14">
        <f>E8*2-C12-B12</f>
        <v>165</v>
      </c>
      <c r="E12" s="29"/>
      <c r="O12" t="s">
        <v>330</v>
      </c>
      <c r="P12">
        <f>SIN(P7*2*PI())</f>
        <v>-0.87630668004386358</v>
      </c>
    </row>
    <row r="13" spans="2:27" x14ac:dyDescent="0.25">
      <c r="O13" t="s">
        <v>332</v>
      </c>
      <c r="P13">
        <v>1</v>
      </c>
    </row>
    <row r="14" spans="2:27" x14ac:dyDescent="0.25">
      <c r="O14" t="s">
        <v>333</v>
      </c>
      <c r="P14">
        <f>COS(P7*2*PI())</f>
        <v>-0.48175367410171527</v>
      </c>
    </row>
    <row r="22" spans="2:16" x14ac:dyDescent="0.25">
      <c r="B22" s="59" t="s">
        <v>326</v>
      </c>
      <c r="C22" s="120">
        <v>0.67</v>
      </c>
      <c r="O22" s="59" t="s">
        <v>335</v>
      </c>
      <c r="P22" s="59"/>
    </row>
    <row r="23" spans="2:16" x14ac:dyDescent="0.25">
      <c r="B23" s="59" t="s">
        <v>327</v>
      </c>
      <c r="C23" s="120">
        <f>1-C22</f>
        <v>0.32999999999999996</v>
      </c>
      <c r="O23" s="59" t="s">
        <v>329</v>
      </c>
      <c r="P23" s="59">
        <v>0</v>
      </c>
    </row>
    <row r="24" spans="2:16" x14ac:dyDescent="0.25">
      <c r="B24" s="59" t="s">
        <v>328</v>
      </c>
      <c r="C24" s="59">
        <v>1</v>
      </c>
      <c r="O24" s="59" t="s">
        <v>330</v>
      </c>
      <c r="P24" s="59">
        <f>-SIN(P7*2*PI())</f>
        <v>0.87630668004386358</v>
      </c>
    </row>
    <row r="25" spans="2:16" x14ac:dyDescent="0.25">
      <c r="O25" s="59" t="s">
        <v>332</v>
      </c>
      <c r="P25" s="59">
        <v>-1.012</v>
      </c>
    </row>
    <row r="26" spans="2:16" x14ac:dyDescent="0.25">
      <c r="B26" s="59" t="s">
        <v>335</v>
      </c>
      <c r="O26" s="59" t="s">
        <v>333</v>
      </c>
      <c r="P26" s="59">
        <f>-COS(P7*2*PI())</f>
        <v>0.48175367410171527</v>
      </c>
    </row>
    <row r="27" spans="2:16" x14ac:dyDescent="0.25">
      <c r="B27" s="59" t="s">
        <v>329</v>
      </c>
      <c r="C27" s="59">
        <v>-1</v>
      </c>
    </row>
    <row r="28" spans="2:16" x14ac:dyDescent="0.25">
      <c r="B28" s="59" t="s">
        <v>330</v>
      </c>
      <c r="C28" s="59">
        <f>-COS(C22*1*PI())</f>
        <v>0.50904141575037132</v>
      </c>
    </row>
    <row r="29" spans="2:16" x14ac:dyDescent="0.25">
      <c r="B29" s="59" t="s">
        <v>331</v>
      </c>
      <c r="C29" s="59">
        <v>1</v>
      </c>
    </row>
    <row r="30" spans="2:16" x14ac:dyDescent="0.25">
      <c r="B30" s="59" t="s">
        <v>332</v>
      </c>
      <c r="C30" s="59">
        <v>0</v>
      </c>
    </row>
    <row r="31" spans="2:16" x14ac:dyDescent="0.25">
      <c r="B31" s="59" t="s">
        <v>333</v>
      </c>
      <c r="C31" s="59">
        <f>SIN(C22*1*PI())</f>
        <v>0.86074202700394364</v>
      </c>
    </row>
    <row r="32" spans="2:16" x14ac:dyDescent="0.25">
      <c r="B32" s="59" t="s">
        <v>334</v>
      </c>
      <c r="C32" s="59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3F50-4D95-467D-BBBB-C4D93690AA41}">
  <dimension ref="B1:Z12"/>
  <sheetViews>
    <sheetView zoomScale="85" zoomScaleNormal="85" workbookViewId="0"/>
  </sheetViews>
  <sheetFormatPr defaultRowHeight="15" x14ac:dyDescent="0.25"/>
  <cols>
    <col min="1" max="1" width="0.7109375" customWidth="1"/>
    <col min="2" max="2" width="10.85546875" bestFit="1" customWidth="1"/>
    <col min="3" max="3" width="31.42578125" bestFit="1" customWidth="1"/>
    <col min="5" max="5" width="10.85546875" bestFit="1" customWidth="1"/>
    <col min="6" max="6" width="31.42578125" bestFit="1" customWidth="1"/>
    <col min="7" max="7" width="15.140625" bestFit="1" customWidth="1"/>
  </cols>
  <sheetData>
    <row r="1" spans="2:26" x14ac:dyDescent="0.25">
      <c r="B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92" t="s">
        <v>140</v>
      </c>
    </row>
    <row r="3" spans="2:26" ht="15.75" thickBot="1" x14ac:dyDescent="0.3"/>
    <row r="4" spans="2:26" ht="15.75" thickBot="1" x14ac:dyDescent="0.3">
      <c r="B4" s="21" t="s">
        <v>20</v>
      </c>
      <c r="C4" s="23" t="s">
        <v>29</v>
      </c>
      <c r="E4" s="3" t="str">
        <f>B4</f>
        <v>Date</v>
      </c>
      <c r="F4" s="3" t="str">
        <f>C4</f>
        <v>Event</v>
      </c>
      <c r="G4" s="3" t="s">
        <v>30</v>
      </c>
    </row>
    <row r="5" spans="2:26" x14ac:dyDescent="0.25">
      <c r="B5" s="36">
        <v>43738</v>
      </c>
      <c r="C5" s="37" t="s">
        <v>22</v>
      </c>
      <c r="E5" s="30">
        <f>IF(B5&lt;&gt;"",B5,"")</f>
        <v>43738</v>
      </c>
      <c r="F5" t="str">
        <f>IF(AND(E5&lt;&gt;"",C5&lt;&gt;""),C5,NA())</f>
        <v>Customer Notification Extension</v>
      </c>
      <c r="G5" s="3">
        <f>IF(F5&lt;&gt;"",10,"")</f>
        <v>10</v>
      </c>
    </row>
    <row r="6" spans="2:26" x14ac:dyDescent="0.25">
      <c r="B6" s="32">
        <v>43769</v>
      </c>
      <c r="C6" s="33" t="s">
        <v>23</v>
      </c>
      <c r="E6" s="30">
        <f t="shared" ref="E6:E12" si="0">IF(B6&lt;&gt;"",B6,"")</f>
        <v>43769</v>
      </c>
      <c r="F6" t="str">
        <f t="shared" ref="F6:F12" si="1">IF(AND(E6&lt;&gt;"",C6&lt;&gt;""),C6,NA())</f>
        <v>Customers Exit</v>
      </c>
      <c r="G6" s="3">
        <f>IF(F6&lt;&gt;"",-10,"")</f>
        <v>-10</v>
      </c>
    </row>
    <row r="7" spans="2:26" x14ac:dyDescent="0.25">
      <c r="B7" s="32">
        <v>43787</v>
      </c>
      <c r="C7" s="33" t="s">
        <v>24</v>
      </c>
      <c r="E7" s="30">
        <f t="shared" si="0"/>
        <v>43787</v>
      </c>
      <c r="F7" t="str">
        <f t="shared" si="1"/>
        <v>All hardware Reclaimed</v>
      </c>
      <c r="G7" s="3">
        <f t="shared" ref="G7" si="2">IF(F7&lt;&gt;"",10,"")</f>
        <v>10</v>
      </c>
    </row>
    <row r="8" spans="2:26" x14ac:dyDescent="0.25">
      <c r="B8" s="32">
        <v>43801</v>
      </c>
      <c r="C8" s="33" t="s">
        <v>25</v>
      </c>
      <c r="E8" s="30">
        <f t="shared" si="0"/>
        <v>43801</v>
      </c>
      <c r="F8" t="str">
        <f t="shared" si="1"/>
        <v>Billing Items Washed</v>
      </c>
      <c r="G8" s="3">
        <f t="shared" ref="G8" si="3">IF(F8&lt;&gt;"",-10,"")</f>
        <v>-10</v>
      </c>
    </row>
    <row r="9" spans="2:26" x14ac:dyDescent="0.25">
      <c r="B9" s="32">
        <v>43808</v>
      </c>
      <c r="C9" s="33" t="s">
        <v>26</v>
      </c>
      <c r="E9" s="30">
        <f t="shared" si="0"/>
        <v>43808</v>
      </c>
      <c r="F9" t="str">
        <f t="shared" si="1"/>
        <v>VLAN/Network relciams</v>
      </c>
      <c r="G9" s="3">
        <f t="shared" ref="G9" si="4">IF(F9&lt;&gt;"",10,"")</f>
        <v>10</v>
      </c>
    </row>
    <row r="10" spans="2:26" x14ac:dyDescent="0.25">
      <c r="B10" s="32">
        <v>43815</v>
      </c>
      <c r="C10" s="33" t="s">
        <v>27</v>
      </c>
      <c r="E10" s="30">
        <f t="shared" si="0"/>
        <v>43815</v>
      </c>
      <c r="F10" t="str">
        <f t="shared" si="1"/>
        <v>Physical Teardown</v>
      </c>
      <c r="G10" s="3">
        <f t="shared" ref="G10" si="5">IF(F10&lt;&gt;"",-10,"")</f>
        <v>-10</v>
      </c>
    </row>
    <row r="11" spans="2:26" x14ac:dyDescent="0.25">
      <c r="B11" s="32">
        <v>43822</v>
      </c>
      <c r="C11" s="33" t="s">
        <v>28</v>
      </c>
      <c r="E11" s="30">
        <f t="shared" si="0"/>
        <v>43822</v>
      </c>
      <c r="F11" t="str">
        <f t="shared" si="1"/>
        <v>DC Exit delayed</v>
      </c>
      <c r="G11" s="3">
        <f t="shared" ref="G11" si="6">IF(F11&lt;&gt;"",10,"")</f>
        <v>10</v>
      </c>
    </row>
    <row r="12" spans="2:26" ht="15.75" thickBot="1" x14ac:dyDescent="0.3">
      <c r="B12" s="34">
        <v>43861</v>
      </c>
      <c r="C12" s="35" t="s">
        <v>21</v>
      </c>
      <c r="E12" s="30">
        <f t="shared" si="0"/>
        <v>43861</v>
      </c>
      <c r="F12" t="str">
        <f t="shared" si="1"/>
        <v>DC Exited</v>
      </c>
      <c r="G12" s="3">
        <f t="shared" ref="G12" si="7">IF(F12&lt;&gt;"",-10,"")</f>
        <v>-10</v>
      </c>
    </row>
  </sheetData>
  <pageMargins left="0.7" right="0.7" top="0.75" bottom="0.75" header="0.3" footer="0.3"/>
  <ignoredErrors>
    <ignoredError sqref="G6:G10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8FF1-8BE3-4AC8-BF14-5C6E44262DF1}">
  <dimension ref="B1:Z12"/>
  <sheetViews>
    <sheetView zoomScale="85" zoomScaleNormal="85" workbookViewId="0"/>
  </sheetViews>
  <sheetFormatPr defaultRowHeight="15" x14ac:dyDescent="0.25"/>
  <cols>
    <col min="1" max="1" width="0.7109375" customWidth="1"/>
    <col min="2" max="2" width="31.42578125" bestFit="1" customWidth="1"/>
    <col min="3" max="3" width="10.85546875" bestFit="1" customWidth="1"/>
  </cols>
  <sheetData>
    <row r="1" spans="2:26" x14ac:dyDescent="0.25">
      <c r="B1" s="2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92" t="s">
        <v>122</v>
      </c>
    </row>
    <row r="3" spans="2:26" ht="15.75" thickBot="1" x14ac:dyDescent="0.3"/>
    <row r="4" spans="2:26" ht="15.75" thickBot="1" x14ac:dyDescent="0.3">
      <c r="B4" s="21" t="s">
        <v>29</v>
      </c>
      <c r="C4" s="22" t="s">
        <v>20</v>
      </c>
      <c r="D4" s="23" t="s">
        <v>31</v>
      </c>
    </row>
    <row r="5" spans="2:26" x14ac:dyDescent="0.25">
      <c r="B5" s="41" t="s">
        <v>22</v>
      </c>
      <c r="C5" s="42">
        <v>43738</v>
      </c>
      <c r="D5" s="12">
        <f>C6-C5</f>
        <v>31</v>
      </c>
    </row>
    <row r="6" spans="2:26" x14ac:dyDescent="0.25">
      <c r="B6" s="38" t="s">
        <v>23</v>
      </c>
      <c r="C6" s="31">
        <v>43769</v>
      </c>
      <c r="D6" s="6">
        <f t="shared" ref="D6:D11" si="0">C7-C6</f>
        <v>18</v>
      </c>
    </row>
    <row r="7" spans="2:26" x14ac:dyDescent="0.25">
      <c r="B7" s="38" t="s">
        <v>24</v>
      </c>
      <c r="C7" s="31">
        <v>43787</v>
      </c>
      <c r="D7" s="6">
        <f t="shared" si="0"/>
        <v>14</v>
      </c>
    </row>
    <row r="8" spans="2:26" x14ac:dyDescent="0.25">
      <c r="B8" s="38" t="s">
        <v>25</v>
      </c>
      <c r="C8" s="31">
        <v>43801</v>
      </c>
      <c r="D8" s="6">
        <f t="shared" si="0"/>
        <v>7</v>
      </c>
    </row>
    <row r="9" spans="2:26" x14ac:dyDescent="0.25">
      <c r="B9" s="38" t="s">
        <v>26</v>
      </c>
      <c r="C9" s="31">
        <v>43808</v>
      </c>
      <c r="D9" s="6">
        <f t="shared" si="0"/>
        <v>7</v>
      </c>
    </row>
    <row r="10" spans="2:26" x14ac:dyDescent="0.25">
      <c r="B10" s="38" t="s">
        <v>27</v>
      </c>
      <c r="C10" s="31">
        <v>43815</v>
      </c>
      <c r="D10" s="6">
        <f t="shared" si="0"/>
        <v>7</v>
      </c>
    </row>
    <row r="11" spans="2:26" x14ac:dyDescent="0.25">
      <c r="B11" s="38" t="s">
        <v>28</v>
      </c>
      <c r="C11" s="31">
        <v>43822</v>
      </c>
      <c r="D11" s="6">
        <f t="shared" si="0"/>
        <v>39</v>
      </c>
    </row>
    <row r="12" spans="2:26" ht="15.75" thickBot="1" x14ac:dyDescent="0.3">
      <c r="B12" s="39" t="s">
        <v>21</v>
      </c>
      <c r="C12" s="40">
        <v>43861</v>
      </c>
      <c r="D12" s="9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97FE-0DCD-4785-BEB5-6348D5C64804}">
  <dimension ref="B1:Z13"/>
  <sheetViews>
    <sheetView zoomScale="85" zoomScaleNormal="85" workbookViewId="0"/>
  </sheetViews>
  <sheetFormatPr defaultRowHeight="15" x14ac:dyDescent="0.25"/>
  <cols>
    <col min="1" max="1" width="0.7109375" customWidth="1"/>
    <col min="3" max="3" width="10.42578125" bestFit="1" customWidth="1"/>
  </cols>
  <sheetData>
    <row r="1" spans="2:26" x14ac:dyDescent="0.25">
      <c r="B1" s="2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92" t="s">
        <v>123</v>
      </c>
    </row>
    <row r="3" spans="2:26" ht="15.75" thickBot="1" x14ac:dyDescent="0.3"/>
    <row r="4" spans="2:26" ht="15.75" thickBot="1" x14ac:dyDescent="0.3">
      <c r="B4" s="21" t="s">
        <v>42</v>
      </c>
      <c r="C4" s="23" t="s">
        <v>43</v>
      </c>
      <c r="E4" s="54" t="s">
        <v>44</v>
      </c>
    </row>
    <row r="5" spans="2:26" x14ac:dyDescent="0.25">
      <c r="B5" s="10" t="s">
        <v>3</v>
      </c>
      <c r="C5" s="12">
        <v>-42</v>
      </c>
    </row>
    <row r="6" spans="2:26" x14ac:dyDescent="0.25">
      <c r="B6" s="5" t="s">
        <v>34</v>
      </c>
      <c r="C6" s="6">
        <v>81</v>
      </c>
    </row>
    <row r="7" spans="2:26" x14ac:dyDescent="0.25">
      <c r="B7" s="5" t="s">
        <v>35</v>
      </c>
      <c r="C7" s="6">
        <v>110</v>
      </c>
    </row>
    <row r="8" spans="2:26" x14ac:dyDescent="0.25">
      <c r="B8" s="5" t="s">
        <v>36</v>
      </c>
      <c r="C8" s="6">
        <v>-47</v>
      </c>
    </row>
    <row r="9" spans="2:26" x14ac:dyDescent="0.25">
      <c r="B9" s="5" t="s">
        <v>37</v>
      </c>
      <c r="C9" s="6">
        <v>46</v>
      </c>
    </row>
    <row r="10" spans="2:26" x14ac:dyDescent="0.25">
      <c r="B10" s="5" t="s">
        <v>38</v>
      </c>
      <c r="C10" s="6">
        <v>34</v>
      </c>
    </row>
    <row r="11" spans="2:26" x14ac:dyDescent="0.25">
      <c r="B11" s="5" t="s">
        <v>39</v>
      </c>
      <c r="C11" s="6">
        <v>-3</v>
      </c>
    </row>
    <row r="12" spans="2:26" x14ac:dyDescent="0.25">
      <c r="B12" s="5" t="s">
        <v>40</v>
      </c>
      <c r="C12" s="6">
        <v>-1</v>
      </c>
    </row>
    <row r="13" spans="2:26" ht="15.75" thickBot="1" x14ac:dyDescent="0.3">
      <c r="B13" s="7" t="s">
        <v>41</v>
      </c>
      <c r="C13" s="9">
        <v>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49F8-298B-431C-93DD-44751150FA77}">
  <dimension ref="B1:Z17"/>
  <sheetViews>
    <sheetView zoomScale="85" zoomScaleNormal="85" workbookViewId="0"/>
  </sheetViews>
  <sheetFormatPr defaultRowHeight="15" x14ac:dyDescent="0.25"/>
  <cols>
    <col min="1" max="1" width="0.7109375" style="59" customWidth="1"/>
    <col min="2" max="2" width="15.5703125" style="59" bestFit="1" customWidth="1"/>
    <col min="3" max="3" width="8.85546875" style="59" bestFit="1" customWidth="1"/>
    <col min="4" max="4" width="9.42578125" style="59" bestFit="1" customWidth="1"/>
    <col min="5" max="5" width="8.85546875" style="59" bestFit="1" customWidth="1"/>
    <col min="6" max="6" width="9.42578125" style="59" bestFit="1" customWidth="1"/>
    <col min="7" max="16384" width="9.140625" style="59"/>
  </cols>
  <sheetData>
    <row r="1" spans="2:26" x14ac:dyDescent="0.25">
      <c r="B1" s="2" t="s">
        <v>45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118</v>
      </c>
    </row>
    <row r="3" spans="2:26" ht="15.75" thickBot="1" x14ac:dyDescent="0.3"/>
    <row r="4" spans="2:26" ht="15.75" thickBot="1" x14ac:dyDescent="0.3">
      <c r="B4" s="24" t="s">
        <v>20</v>
      </c>
      <c r="C4" s="58" t="s">
        <v>60</v>
      </c>
      <c r="D4" s="57" t="s">
        <v>61</v>
      </c>
      <c r="E4" s="21" t="s">
        <v>62</v>
      </c>
      <c r="F4" s="23" t="s">
        <v>63</v>
      </c>
    </row>
    <row r="5" spans="2:26" x14ac:dyDescent="0.25">
      <c r="B5" s="52" t="s">
        <v>47</v>
      </c>
      <c r="C5" s="55">
        <v>3602</v>
      </c>
      <c r="D5" s="46">
        <v>2284</v>
      </c>
      <c r="E5" s="10">
        <v>1230</v>
      </c>
      <c r="F5" s="12">
        <v>1400</v>
      </c>
    </row>
    <row r="6" spans="2:26" x14ac:dyDescent="0.25">
      <c r="B6" s="49" t="s">
        <v>48</v>
      </c>
      <c r="C6" s="43">
        <v>1653</v>
      </c>
      <c r="D6" s="50">
        <v>2343</v>
      </c>
      <c r="E6" s="5">
        <v>2515</v>
      </c>
      <c r="F6" s="6">
        <v>2750</v>
      </c>
    </row>
    <row r="7" spans="2:26" x14ac:dyDescent="0.25">
      <c r="B7" s="49" t="s">
        <v>49</v>
      </c>
      <c r="C7" s="43">
        <v>1719</v>
      </c>
      <c r="D7" s="50">
        <v>1607</v>
      </c>
      <c r="E7" s="5">
        <v>5497</v>
      </c>
      <c r="F7" s="6">
        <v>3145</v>
      </c>
    </row>
    <row r="8" spans="2:26" x14ac:dyDescent="0.25">
      <c r="B8" s="49" t="s">
        <v>50</v>
      </c>
      <c r="C8" s="43">
        <v>918</v>
      </c>
      <c r="D8" s="50">
        <v>1080</v>
      </c>
      <c r="E8" s="5">
        <v>1256</v>
      </c>
      <c r="F8" s="6">
        <v>4167</v>
      </c>
    </row>
    <row r="9" spans="2:26" x14ac:dyDescent="0.25">
      <c r="B9" s="49" t="s">
        <v>51</v>
      </c>
      <c r="C9" s="43">
        <v>1292</v>
      </c>
      <c r="D9" s="50">
        <v>1642</v>
      </c>
      <c r="E9" s="5">
        <v>1948</v>
      </c>
      <c r="F9" s="6">
        <v>1723</v>
      </c>
    </row>
    <row r="10" spans="2:26" x14ac:dyDescent="0.25">
      <c r="B10" s="49" t="s">
        <v>52</v>
      </c>
      <c r="C10" s="43">
        <v>1869</v>
      </c>
      <c r="D10" s="50">
        <v>2515</v>
      </c>
      <c r="E10" s="5">
        <v>2988</v>
      </c>
      <c r="F10" s="6">
        <v>2462</v>
      </c>
    </row>
    <row r="11" spans="2:26" x14ac:dyDescent="0.25">
      <c r="B11" s="49" t="s">
        <v>53</v>
      </c>
      <c r="C11" s="43">
        <v>2140</v>
      </c>
      <c r="D11" s="50">
        <v>1278</v>
      </c>
      <c r="E11" s="5">
        <v>1604</v>
      </c>
      <c r="F11" s="6">
        <v>1715</v>
      </c>
    </row>
    <row r="12" spans="2:26" x14ac:dyDescent="0.25">
      <c r="B12" s="49" t="s">
        <v>54</v>
      </c>
      <c r="C12" s="43">
        <v>4664</v>
      </c>
      <c r="D12" s="50">
        <v>3565</v>
      </c>
      <c r="E12" s="5">
        <v>2372</v>
      </c>
      <c r="F12" s="6">
        <v>1442</v>
      </c>
    </row>
    <row r="13" spans="2:26" x14ac:dyDescent="0.25">
      <c r="B13" s="49" t="s">
        <v>55</v>
      </c>
      <c r="C13" s="43">
        <v>2575</v>
      </c>
      <c r="D13" s="50">
        <v>2004</v>
      </c>
      <c r="E13" s="5">
        <v>4904</v>
      </c>
      <c r="F13" s="6">
        <v>2152</v>
      </c>
    </row>
    <row r="14" spans="2:26" x14ac:dyDescent="0.25">
      <c r="B14" s="49" t="s">
        <v>56</v>
      </c>
      <c r="C14" s="43">
        <v>2376</v>
      </c>
      <c r="D14" s="50">
        <v>1860</v>
      </c>
      <c r="E14" s="5">
        <v>1890</v>
      </c>
      <c r="F14" s="6">
        <v>2881</v>
      </c>
    </row>
    <row r="15" spans="2:26" x14ac:dyDescent="0.25">
      <c r="B15" s="49" t="s">
        <v>57</v>
      </c>
      <c r="C15" s="43">
        <v>1356</v>
      </c>
      <c r="D15" s="50">
        <v>771</v>
      </c>
      <c r="E15" s="5">
        <v>1938</v>
      </c>
      <c r="F15" s="6">
        <v>2580</v>
      </c>
    </row>
    <row r="16" spans="2:26" ht="15.75" thickBot="1" x14ac:dyDescent="0.3">
      <c r="B16" s="48" t="s">
        <v>58</v>
      </c>
      <c r="C16" s="51">
        <v>751</v>
      </c>
      <c r="D16" s="56">
        <v>692</v>
      </c>
      <c r="E16" s="44">
        <v>2164</v>
      </c>
      <c r="F16" s="45">
        <v>2153</v>
      </c>
    </row>
    <row r="17" spans="2:6" ht="15.75" thickBot="1" x14ac:dyDescent="0.3">
      <c r="B17" s="24" t="s">
        <v>59</v>
      </c>
      <c r="C17" s="53">
        <v>24915</v>
      </c>
      <c r="D17" s="47">
        <v>21641</v>
      </c>
      <c r="E17" s="16">
        <v>30306</v>
      </c>
      <c r="F17" s="17">
        <v>28570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04B5-C67B-4B42-A248-F0224E133D67}">
  <dimension ref="B1:Z48"/>
  <sheetViews>
    <sheetView zoomScale="85" zoomScaleNormal="85" workbookViewId="0"/>
  </sheetViews>
  <sheetFormatPr defaultRowHeight="15" x14ac:dyDescent="0.25"/>
  <cols>
    <col min="1" max="1" width="0.7109375" customWidth="1"/>
    <col min="3" max="3" width="13.140625" style="59" bestFit="1" customWidth="1"/>
    <col min="4" max="4" width="14.140625" style="59" bestFit="1" customWidth="1"/>
    <col min="5" max="5" width="11" customWidth="1"/>
    <col min="11" max="17" width="9.140625" style="59"/>
  </cols>
  <sheetData>
    <row r="1" spans="2:26" x14ac:dyDescent="0.25">
      <c r="B1" s="2" t="s">
        <v>98</v>
      </c>
      <c r="C1" s="2"/>
      <c r="D1" s="2"/>
      <c r="E1" s="1"/>
      <c r="F1" s="1"/>
      <c r="G1" s="1"/>
      <c r="H1" s="1"/>
      <c r="I1" s="1"/>
      <c r="J1" s="1"/>
      <c r="K1" s="60"/>
      <c r="L1" s="60"/>
      <c r="M1" s="60"/>
      <c r="N1" s="60"/>
      <c r="O1" s="60"/>
      <c r="P1" s="60"/>
      <c r="Q1" s="60"/>
      <c r="R1" s="1"/>
      <c r="S1" s="1"/>
      <c r="T1" s="1"/>
      <c r="U1" s="1"/>
      <c r="V1" s="1"/>
      <c r="W1" s="1"/>
      <c r="X1" s="1"/>
      <c r="Y1" s="1"/>
      <c r="Z1" s="1"/>
    </row>
    <row r="2" spans="2:26" x14ac:dyDescent="0.25">
      <c r="B2" s="92" t="s">
        <v>141</v>
      </c>
    </row>
    <row r="3" spans="2:26" ht="15.75" thickBot="1" x14ac:dyDescent="0.3"/>
    <row r="4" spans="2:26" ht="30.75" thickBot="1" x14ac:dyDescent="0.3">
      <c r="B4" s="69" t="s">
        <v>42</v>
      </c>
      <c r="C4" s="68" t="s">
        <v>107</v>
      </c>
      <c r="D4" s="66" t="s">
        <v>108</v>
      </c>
      <c r="E4" s="67" t="s">
        <v>109</v>
      </c>
      <c r="G4" s="70" t="s">
        <v>64</v>
      </c>
    </row>
    <row r="5" spans="2:26" x14ac:dyDescent="0.25">
      <c r="B5" s="73" t="s">
        <v>65</v>
      </c>
      <c r="C5" s="74">
        <v>16627167.119999999</v>
      </c>
      <c r="D5" s="75">
        <v>9135400.8300000001</v>
      </c>
      <c r="E5" s="76">
        <v>0.5494261748900976</v>
      </c>
      <c r="G5" s="71" t="s">
        <v>66</v>
      </c>
    </row>
    <row r="6" spans="2:26" x14ac:dyDescent="0.25">
      <c r="B6" s="77" t="s">
        <v>66</v>
      </c>
      <c r="C6" s="78">
        <v>53444030.159999996</v>
      </c>
      <c r="D6" s="79">
        <v>27728059.397999998</v>
      </c>
      <c r="E6" s="80">
        <v>0.5188242599779268</v>
      </c>
    </row>
    <row r="7" spans="2:26" x14ac:dyDescent="0.25">
      <c r="B7" s="77" t="s">
        <v>67</v>
      </c>
      <c r="C7" s="78">
        <v>14247379.52</v>
      </c>
      <c r="D7" s="79">
        <v>7552287.3410000019</v>
      </c>
      <c r="E7" s="80">
        <v>0.53008255520942293</v>
      </c>
      <c r="G7" s="72" t="s">
        <v>110</v>
      </c>
    </row>
    <row r="8" spans="2:26" x14ac:dyDescent="0.25">
      <c r="B8" s="77" t="s">
        <v>68</v>
      </c>
      <c r="C8" s="78">
        <v>16803546.48</v>
      </c>
      <c r="D8" s="79">
        <v>6910721.3860000027</v>
      </c>
      <c r="E8" s="80">
        <v>0.41126564527466364</v>
      </c>
      <c r="G8">
        <f>INDEX(D:D,MATCH($G$5,$B:$B,0))</f>
        <v>27728059.397999998</v>
      </c>
    </row>
    <row r="9" spans="2:26" x14ac:dyDescent="0.25">
      <c r="B9" s="77" t="s">
        <v>69</v>
      </c>
      <c r="C9" s="78">
        <v>22162884.399999999</v>
      </c>
      <c r="D9" s="79">
        <v>5170468.1070000008</v>
      </c>
      <c r="E9" s="80">
        <v>0.23329400693891636</v>
      </c>
    </row>
    <row r="10" spans="2:26" x14ac:dyDescent="0.25">
      <c r="B10" s="77" t="s">
        <v>70</v>
      </c>
      <c r="C10" s="78">
        <v>1635264</v>
      </c>
      <c r="D10" s="79">
        <v>201845.842</v>
      </c>
      <c r="E10" s="80">
        <v>0.12343318387734335</v>
      </c>
      <c r="G10" s="72" t="s">
        <v>111</v>
      </c>
    </row>
    <row r="11" spans="2:26" x14ac:dyDescent="0.25">
      <c r="B11" s="77" t="s">
        <v>71</v>
      </c>
      <c r="C11" s="78">
        <v>94153546.159999996</v>
      </c>
      <c r="D11" s="79">
        <v>34738806.73400002</v>
      </c>
      <c r="E11" s="80">
        <v>0.36895909023932638</v>
      </c>
      <c r="G11" s="59">
        <f>INDEX(E:E,MATCH($G$5,$B:$B,0))</f>
        <v>0.5188242599779268</v>
      </c>
    </row>
    <row r="12" spans="2:26" x14ac:dyDescent="0.25">
      <c r="B12" s="77" t="s">
        <v>3</v>
      </c>
      <c r="C12" s="78">
        <v>174474394.24000001</v>
      </c>
      <c r="D12" s="79">
        <v>131763658.33799991</v>
      </c>
      <c r="E12" s="80">
        <v>0.75520341487330844</v>
      </c>
    </row>
    <row r="13" spans="2:26" x14ac:dyDescent="0.25">
      <c r="B13" s="77" t="s">
        <v>34</v>
      </c>
      <c r="C13" s="78">
        <v>129330246.23999999</v>
      </c>
      <c r="D13" s="79">
        <v>99254416.018999964</v>
      </c>
      <c r="E13" s="80">
        <v>0.76744937015593495</v>
      </c>
    </row>
    <row r="14" spans="2:26" x14ac:dyDescent="0.25">
      <c r="B14" s="77" t="s">
        <v>35</v>
      </c>
      <c r="C14" s="78">
        <v>154266433.44</v>
      </c>
      <c r="D14" s="79">
        <v>102019383.59699997</v>
      </c>
      <c r="E14" s="80">
        <v>0.66131938959150915</v>
      </c>
    </row>
    <row r="15" spans="2:26" x14ac:dyDescent="0.25">
      <c r="B15" s="77" t="s">
        <v>36</v>
      </c>
      <c r="C15" s="78">
        <v>68857546.959999993</v>
      </c>
      <c r="D15" s="79">
        <v>51444241.619000025</v>
      </c>
      <c r="E15" s="80">
        <v>0.74711115760316693</v>
      </c>
    </row>
    <row r="16" spans="2:26" x14ac:dyDescent="0.25">
      <c r="B16" s="77" t="s">
        <v>37</v>
      </c>
      <c r="C16" s="78">
        <v>24119060.559999999</v>
      </c>
      <c r="D16" s="79">
        <v>20230725.867000017</v>
      </c>
      <c r="E16" s="80">
        <v>0.83878581492313387</v>
      </c>
    </row>
    <row r="17" spans="2:5" x14ac:dyDescent="0.25">
      <c r="B17" s="77" t="s">
        <v>38</v>
      </c>
      <c r="C17" s="78">
        <v>22510060.879999995</v>
      </c>
      <c r="D17" s="79">
        <v>16860286.705000013</v>
      </c>
      <c r="E17" s="80">
        <v>0.74901115527325113</v>
      </c>
    </row>
    <row r="18" spans="2:5" x14ac:dyDescent="0.25">
      <c r="B18" s="77" t="s">
        <v>72</v>
      </c>
      <c r="C18" s="78">
        <v>21976625.52</v>
      </c>
      <c r="D18" s="79">
        <v>6037226.8309999956</v>
      </c>
      <c r="E18" s="80">
        <v>0.27471127564628928</v>
      </c>
    </row>
    <row r="19" spans="2:5" x14ac:dyDescent="0.25">
      <c r="B19" s="77" t="s">
        <v>73</v>
      </c>
      <c r="C19" s="78">
        <v>27047764.239999998</v>
      </c>
      <c r="D19" s="79">
        <v>12487370.412000012</v>
      </c>
      <c r="E19" s="80">
        <v>0.46167847002795426</v>
      </c>
    </row>
    <row r="20" spans="2:5" x14ac:dyDescent="0.25">
      <c r="B20" s="77" t="s">
        <v>74</v>
      </c>
      <c r="C20" s="78">
        <v>60885314</v>
      </c>
      <c r="D20" s="79">
        <v>28013375.527000017</v>
      </c>
      <c r="E20" s="80">
        <v>0.46010069894687605</v>
      </c>
    </row>
    <row r="21" spans="2:5" x14ac:dyDescent="0.25">
      <c r="B21" s="77" t="s">
        <v>39</v>
      </c>
      <c r="C21" s="78">
        <v>31358828.160000004</v>
      </c>
      <c r="D21" s="79">
        <v>20837377.901000001</v>
      </c>
      <c r="E21" s="80">
        <v>0.66448203340644207</v>
      </c>
    </row>
    <row r="22" spans="2:5" x14ac:dyDescent="0.25">
      <c r="B22" s="77" t="s">
        <v>40</v>
      </c>
      <c r="C22" s="78">
        <v>12151965.600000001</v>
      </c>
      <c r="D22" s="79">
        <v>7951253.1439999929</v>
      </c>
      <c r="E22" s="80">
        <v>0.65431827292203593</v>
      </c>
    </row>
    <row r="23" spans="2:5" x14ac:dyDescent="0.25">
      <c r="B23" s="77" t="s">
        <v>41</v>
      </c>
      <c r="C23" s="78">
        <v>20948412.640000001</v>
      </c>
      <c r="D23" s="79">
        <v>12942944.540999997</v>
      </c>
      <c r="E23" s="80">
        <v>0.61784846247901659</v>
      </c>
    </row>
    <row r="24" spans="2:5" x14ac:dyDescent="0.25">
      <c r="B24" s="77" t="s">
        <v>75</v>
      </c>
      <c r="C24" s="78">
        <v>14248106.479999999</v>
      </c>
      <c r="D24" s="79">
        <v>6794945.0530000031</v>
      </c>
      <c r="E24" s="80">
        <v>0.47690161935117736</v>
      </c>
    </row>
    <row r="25" spans="2:5" x14ac:dyDescent="0.25">
      <c r="B25" s="77" t="s">
        <v>76</v>
      </c>
      <c r="C25" s="78">
        <v>16313760.479999999</v>
      </c>
      <c r="D25" s="79">
        <v>8925763.0899999905</v>
      </c>
      <c r="E25" s="80">
        <v>0.54713093899733356</v>
      </c>
    </row>
    <row r="26" spans="2:5" x14ac:dyDescent="0.25">
      <c r="B26" s="77" t="s">
        <v>77</v>
      </c>
      <c r="C26" s="78">
        <v>23358530.559999999</v>
      </c>
      <c r="D26" s="79">
        <v>9311419.7829999961</v>
      </c>
      <c r="E26" s="80">
        <v>0.39863037441855231</v>
      </c>
    </row>
    <row r="27" spans="2:5" x14ac:dyDescent="0.25">
      <c r="B27" s="77" t="s">
        <v>78</v>
      </c>
      <c r="C27" s="78">
        <v>19455320.560000002</v>
      </c>
      <c r="D27" s="79">
        <v>11810194.155999996</v>
      </c>
      <c r="E27" s="80">
        <v>0.60704186906494206</v>
      </c>
    </row>
    <row r="28" spans="2:5" x14ac:dyDescent="0.25">
      <c r="B28" s="77" t="s">
        <v>79</v>
      </c>
      <c r="C28" s="78">
        <v>10616864</v>
      </c>
      <c r="D28" s="79">
        <v>3989473.639</v>
      </c>
      <c r="E28" s="80">
        <v>0.37576761263966457</v>
      </c>
    </row>
    <row r="29" spans="2:5" x14ac:dyDescent="0.25">
      <c r="B29" s="77" t="s">
        <v>80</v>
      </c>
      <c r="C29" s="78">
        <v>21826078.16</v>
      </c>
      <c r="D29" s="79">
        <v>16107065.25</v>
      </c>
      <c r="E29" s="80">
        <v>0.73797340648760879</v>
      </c>
    </row>
    <row r="30" spans="2:5" x14ac:dyDescent="0.25">
      <c r="B30" s="77" t="s">
        <v>81</v>
      </c>
      <c r="C30" s="78">
        <v>23564417.68</v>
      </c>
      <c r="D30" s="79">
        <v>12124591.643000005</v>
      </c>
      <c r="E30" s="80">
        <v>0.51452965261647854</v>
      </c>
    </row>
    <row r="31" spans="2:5" x14ac:dyDescent="0.25">
      <c r="B31" s="77" t="s">
        <v>82</v>
      </c>
      <c r="C31" s="78">
        <v>1085760</v>
      </c>
      <c r="D31" s="79">
        <v>672231.98599999957</v>
      </c>
      <c r="E31" s="80">
        <v>0.61913497089596192</v>
      </c>
    </row>
    <row r="32" spans="2:5" x14ac:dyDescent="0.25">
      <c r="B32" s="77" t="s">
        <v>83</v>
      </c>
      <c r="C32" s="78">
        <v>22976666.400000002</v>
      </c>
      <c r="D32" s="79">
        <v>14931200.215000009</v>
      </c>
      <c r="E32" s="80">
        <v>0.64984188546167898</v>
      </c>
    </row>
    <row r="33" spans="2:5" x14ac:dyDescent="0.25">
      <c r="B33" s="77" t="s">
        <v>84</v>
      </c>
      <c r="C33" s="78">
        <v>13652638.48</v>
      </c>
      <c r="D33" s="79">
        <v>4645085.2390000001</v>
      </c>
      <c r="E33" s="80">
        <v>0.34023351938928659</v>
      </c>
    </row>
    <row r="34" spans="2:5" x14ac:dyDescent="0.25">
      <c r="B34" s="77" t="s">
        <v>85</v>
      </c>
      <c r="C34" s="78">
        <v>46600670.159999996</v>
      </c>
      <c r="D34" s="79">
        <v>19775977.926000006</v>
      </c>
      <c r="E34" s="80">
        <v>0.42437110578239823</v>
      </c>
    </row>
    <row r="35" spans="2:5" x14ac:dyDescent="0.25">
      <c r="B35" s="77" t="s">
        <v>86</v>
      </c>
      <c r="C35" s="78">
        <v>23269802.879999999</v>
      </c>
      <c r="D35" s="79">
        <v>13428284.581000004</v>
      </c>
      <c r="E35" s="80">
        <v>0.57706911615230683</v>
      </c>
    </row>
    <row r="36" spans="2:5" x14ac:dyDescent="0.25">
      <c r="B36" s="77" t="s">
        <v>87</v>
      </c>
      <c r="C36" s="78">
        <v>20629002.240000002</v>
      </c>
      <c r="D36" s="79">
        <v>11685480.893000007</v>
      </c>
      <c r="E36" s="80">
        <v>0.56645885036270205</v>
      </c>
    </row>
    <row r="37" spans="2:5" x14ac:dyDescent="0.25">
      <c r="B37" s="77" t="s">
        <v>88</v>
      </c>
      <c r="C37" s="78">
        <v>25388498.32</v>
      </c>
      <c r="D37" s="79">
        <v>11460702.438000012</v>
      </c>
      <c r="E37" s="80">
        <v>0.45141316723611608</v>
      </c>
    </row>
    <row r="38" spans="2:5" x14ac:dyDescent="0.25">
      <c r="B38" s="77" t="s">
        <v>89</v>
      </c>
      <c r="C38" s="78">
        <v>15830293.039999999</v>
      </c>
      <c r="D38" s="79">
        <v>10413730.417000001</v>
      </c>
      <c r="E38" s="80">
        <v>0.65783560611838188</v>
      </c>
    </row>
    <row r="39" spans="2:5" x14ac:dyDescent="0.25">
      <c r="B39" s="77" t="s">
        <v>90</v>
      </c>
      <c r="C39" s="78">
        <v>9305830</v>
      </c>
      <c r="D39" s="79">
        <v>2920981.5689999992</v>
      </c>
      <c r="E39" s="80">
        <v>0.31388726948590284</v>
      </c>
    </row>
    <row r="40" spans="2:5" x14ac:dyDescent="0.25">
      <c r="B40" s="77" t="s">
        <v>4</v>
      </c>
      <c r="C40" s="78">
        <v>41173473.200000003</v>
      </c>
      <c r="D40" s="79">
        <v>27832163.074000008</v>
      </c>
      <c r="E40" s="80">
        <v>0.67597316696615251</v>
      </c>
    </row>
    <row r="41" spans="2:5" x14ac:dyDescent="0.25">
      <c r="B41" s="77" t="s">
        <v>91</v>
      </c>
      <c r="C41" s="78">
        <v>10823555.039999999</v>
      </c>
      <c r="D41" s="79">
        <v>7680276.4520000033</v>
      </c>
      <c r="E41" s="80">
        <v>0.7095890789686421</v>
      </c>
    </row>
    <row r="42" spans="2:5" x14ac:dyDescent="0.25">
      <c r="B42" s="77" t="s">
        <v>92</v>
      </c>
      <c r="C42" s="78">
        <v>15318912</v>
      </c>
      <c r="D42" s="79">
        <v>7746435.4680000022</v>
      </c>
      <c r="E42" s="80">
        <v>0.5056779142017398</v>
      </c>
    </row>
    <row r="43" spans="2:5" x14ac:dyDescent="0.25">
      <c r="B43" s="77" t="s">
        <v>93</v>
      </c>
      <c r="C43" s="78">
        <v>58941746.560000002</v>
      </c>
      <c r="D43" s="79">
        <v>21342403.609999973</v>
      </c>
      <c r="E43" s="80">
        <v>0.36209316580523082</v>
      </c>
    </row>
    <row r="44" spans="2:5" x14ac:dyDescent="0.25">
      <c r="B44" s="77" t="s">
        <v>94</v>
      </c>
      <c r="C44" s="78">
        <v>32963976.400000002</v>
      </c>
      <c r="D44" s="79">
        <v>10636823.84</v>
      </c>
      <c r="E44" s="80">
        <v>0.32268024072484164</v>
      </c>
    </row>
    <row r="45" spans="2:5" x14ac:dyDescent="0.25">
      <c r="B45" s="77" t="s">
        <v>95</v>
      </c>
      <c r="C45" s="78">
        <v>1816896</v>
      </c>
      <c r="D45" s="79">
        <v>175900.21099999995</v>
      </c>
      <c r="E45" s="80">
        <v>9.681358261562574E-2</v>
      </c>
    </row>
    <row r="46" spans="2:5" x14ac:dyDescent="0.25">
      <c r="B46" s="77" t="s">
        <v>96</v>
      </c>
      <c r="C46" s="78">
        <v>129207063.83999999</v>
      </c>
      <c r="D46" s="79">
        <v>72548202.17900002</v>
      </c>
      <c r="E46" s="80">
        <v>0.56148789410490818</v>
      </c>
    </row>
    <row r="47" spans="2:5" x14ac:dyDescent="0.25">
      <c r="B47" s="77" t="s">
        <v>97</v>
      </c>
      <c r="C47" s="78">
        <v>41137580.159999989</v>
      </c>
      <c r="D47" s="79">
        <v>28574955.476000041</v>
      </c>
      <c r="E47" s="80">
        <v>0.69461925968569294</v>
      </c>
    </row>
    <row r="48" spans="2:5" ht="15.75" thickBot="1" x14ac:dyDescent="0.3">
      <c r="B48" s="81" t="s">
        <v>5</v>
      </c>
      <c r="C48" s="82">
        <v>53932275.520000003</v>
      </c>
      <c r="D48" s="83">
        <v>39471011.336000018</v>
      </c>
      <c r="E48" s="84">
        <v>0.73186252490612536</v>
      </c>
    </row>
  </sheetData>
  <conditionalFormatting sqref="B5:E48">
    <cfRule type="expression" dxfId="13" priority="1">
      <formula>$B5=$G$5</formula>
    </cfRule>
  </conditionalFormatting>
  <dataValidations disablePrompts="1" count="1">
    <dataValidation type="list" allowBlank="1" showInputMessage="1" sqref="G5" xr:uid="{471FC258-2BC6-465A-BDB8-523966F31C04}">
      <formula1>$B$5:$B$48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DD84-60F3-4FE0-89A1-87616FBB8517}">
  <dimension ref="B1:Z17"/>
  <sheetViews>
    <sheetView zoomScale="85" zoomScaleNormal="85" workbookViewId="0"/>
  </sheetViews>
  <sheetFormatPr defaultRowHeight="15" x14ac:dyDescent="0.25"/>
  <cols>
    <col min="1" max="1" width="0.7109375" customWidth="1"/>
    <col min="2" max="3" width="11" bestFit="1" customWidth="1"/>
  </cols>
  <sheetData>
    <row r="1" spans="2:26" x14ac:dyDescent="0.25">
      <c r="B1" s="2" t="s">
        <v>112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142</v>
      </c>
    </row>
    <row r="3" spans="2:26" ht="15.75" thickBot="1" x14ac:dyDescent="0.3"/>
    <row r="4" spans="2:26" ht="15.75" thickBot="1" x14ac:dyDescent="0.3">
      <c r="B4" s="24" t="s">
        <v>20</v>
      </c>
      <c r="C4" s="89" t="s">
        <v>46</v>
      </c>
      <c r="D4" t="s">
        <v>114</v>
      </c>
      <c r="F4" s="24" t="s">
        <v>113</v>
      </c>
    </row>
    <row r="5" spans="2:26" ht="15.75" thickBot="1" x14ac:dyDescent="0.3">
      <c r="B5" s="62" t="s">
        <v>47</v>
      </c>
      <c r="C5" s="86">
        <v>2284</v>
      </c>
      <c r="D5">
        <f t="shared" ref="D5:D16" si="0">IF(C5&lt;$F$5,NA(),C5)</f>
        <v>2284</v>
      </c>
      <c r="F5" s="90">
        <f>4000-F8</f>
        <v>1710</v>
      </c>
    </row>
    <row r="6" spans="2:26" x14ac:dyDescent="0.25">
      <c r="B6" s="63" t="s">
        <v>48</v>
      </c>
      <c r="C6" s="87">
        <v>2343</v>
      </c>
      <c r="D6">
        <f t="shared" si="0"/>
        <v>2343</v>
      </c>
    </row>
    <row r="7" spans="2:26" x14ac:dyDescent="0.25">
      <c r="B7" s="63" t="s">
        <v>49</v>
      </c>
      <c r="C7" s="87">
        <v>1607</v>
      </c>
      <c r="D7" t="e">
        <f t="shared" si="0"/>
        <v>#N/A</v>
      </c>
      <c r="F7" t="s">
        <v>115</v>
      </c>
    </row>
    <row r="8" spans="2:26" x14ac:dyDescent="0.25">
      <c r="B8" s="63" t="s">
        <v>50</v>
      </c>
      <c r="C8" s="87">
        <v>1080</v>
      </c>
      <c r="D8" t="e">
        <f t="shared" si="0"/>
        <v>#N/A</v>
      </c>
      <c r="F8" s="3">
        <v>2290</v>
      </c>
    </row>
    <row r="9" spans="2:26" x14ac:dyDescent="0.25">
      <c r="B9" s="63" t="s">
        <v>51</v>
      </c>
      <c r="C9" s="87">
        <v>1642</v>
      </c>
      <c r="D9" t="e">
        <f t="shared" si="0"/>
        <v>#N/A</v>
      </c>
    </row>
    <row r="10" spans="2:26" x14ac:dyDescent="0.25">
      <c r="B10" s="63" t="s">
        <v>52</v>
      </c>
      <c r="C10" s="87">
        <v>2515</v>
      </c>
      <c r="D10">
        <f t="shared" si="0"/>
        <v>2515</v>
      </c>
    </row>
    <row r="11" spans="2:26" x14ac:dyDescent="0.25">
      <c r="B11" s="63" t="s">
        <v>53</v>
      </c>
      <c r="C11" s="87">
        <v>1278</v>
      </c>
      <c r="D11" t="e">
        <f t="shared" si="0"/>
        <v>#N/A</v>
      </c>
    </row>
    <row r="12" spans="2:26" x14ac:dyDescent="0.25">
      <c r="B12" s="63" t="s">
        <v>54</v>
      </c>
      <c r="C12" s="87">
        <v>3565</v>
      </c>
      <c r="D12">
        <f t="shared" si="0"/>
        <v>3565</v>
      </c>
    </row>
    <row r="13" spans="2:26" x14ac:dyDescent="0.25">
      <c r="B13" s="63" t="s">
        <v>55</v>
      </c>
      <c r="C13" s="87">
        <v>2004</v>
      </c>
      <c r="D13">
        <f t="shared" si="0"/>
        <v>2004</v>
      </c>
    </row>
    <row r="14" spans="2:26" x14ac:dyDescent="0.25">
      <c r="B14" s="63" t="s">
        <v>56</v>
      </c>
      <c r="C14" s="87">
        <v>1860</v>
      </c>
      <c r="D14">
        <f t="shared" si="0"/>
        <v>1860</v>
      </c>
    </row>
    <row r="15" spans="2:26" x14ac:dyDescent="0.25">
      <c r="B15" s="63" t="s">
        <v>57</v>
      </c>
      <c r="C15" s="87">
        <v>771</v>
      </c>
      <c r="D15" t="e">
        <f t="shared" si="0"/>
        <v>#N/A</v>
      </c>
    </row>
    <row r="16" spans="2:26" ht="15.75" thickBot="1" x14ac:dyDescent="0.3">
      <c r="B16" s="64" t="s">
        <v>58</v>
      </c>
      <c r="C16" s="88">
        <v>692</v>
      </c>
      <c r="D16" t="e">
        <f t="shared" si="0"/>
        <v>#N/A</v>
      </c>
    </row>
    <row r="17" spans="2:3" ht="15.75" thickBot="1" x14ac:dyDescent="0.3">
      <c r="B17" s="24" t="s">
        <v>59</v>
      </c>
      <c r="C17" s="85">
        <v>21641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defaultSize="0" autoPict="0">
                <anchor moveWithCells="1">
                  <from>
                    <xdr:col>19</xdr:col>
                    <xdr:colOff>66675</xdr:colOff>
                    <xdr:row>3</xdr:row>
                    <xdr:rowOff>19050</xdr:rowOff>
                  </from>
                  <to>
                    <xdr:col>19</xdr:col>
                    <xdr:colOff>428625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8A63-6D30-4EB5-9932-930C94A13D5B}">
  <dimension ref="B1:Z32"/>
  <sheetViews>
    <sheetView zoomScale="85" zoomScaleNormal="85" workbookViewId="0"/>
  </sheetViews>
  <sheetFormatPr defaultRowHeight="15" x14ac:dyDescent="0.25"/>
  <cols>
    <col min="1" max="1" width="0.7109375" customWidth="1"/>
    <col min="2" max="2" width="10.85546875" style="61" bestFit="1" customWidth="1"/>
    <col min="3" max="3" width="13.140625" customWidth="1"/>
    <col min="4" max="4" width="63.5703125" bestFit="1" customWidth="1"/>
    <col min="5" max="5" width="10.42578125" bestFit="1" customWidth="1"/>
  </cols>
  <sheetData>
    <row r="1" spans="2:26" x14ac:dyDescent="0.25">
      <c r="B1" s="93" t="s">
        <v>119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4" t="s">
        <v>120</v>
      </c>
    </row>
    <row r="3" spans="2:26" ht="15.75" thickBot="1" x14ac:dyDescent="0.3"/>
    <row r="4" spans="2:26" ht="30.75" thickBot="1" x14ac:dyDescent="0.3">
      <c r="B4" s="91" t="s">
        <v>20</v>
      </c>
      <c r="C4" s="66" t="s">
        <v>100</v>
      </c>
      <c r="D4" s="65" t="s">
        <v>99</v>
      </c>
      <c r="E4" t="s">
        <v>116</v>
      </c>
    </row>
    <row r="5" spans="2:26" x14ac:dyDescent="0.25">
      <c r="B5" s="36">
        <v>43276</v>
      </c>
      <c r="C5" s="11">
        <v>1130</v>
      </c>
      <c r="D5" s="12"/>
      <c r="E5" t="e">
        <f>IF(ISBLANK(D5),NA(),C5)</f>
        <v>#N/A</v>
      </c>
    </row>
    <row r="6" spans="2:26" x14ac:dyDescent="0.25">
      <c r="B6" s="32">
        <v>43305</v>
      </c>
      <c r="C6" s="4">
        <v>1094</v>
      </c>
      <c r="D6" s="6"/>
      <c r="E6" t="e">
        <f t="shared" ref="E6:E32" si="0">IF(ISBLANK(D6),NA(),C6)</f>
        <v>#N/A</v>
      </c>
    </row>
    <row r="7" spans="2:26" x14ac:dyDescent="0.25">
      <c r="B7" s="32">
        <v>43340</v>
      </c>
      <c r="C7" s="4">
        <v>1028</v>
      </c>
      <c r="D7" s="6"/>
      <c r="E7" t="e">
        <f t="shared" si="0"/>
        <v>#N/A</v>
      </c>
    </row>
    <row r="8" spans="2:26" x14ac:dyDescent="0.25">
      <c r="B8" s="32">
        <v>43368</v>
      </c>
      <c r="C8" s="4">
        <v>578</v>
      </c>
      <c r="D8" s="6"/>
      <c r="E8" t="e">
        <f t="shared" si="0"/>
        <v>#N/A</v>
      </c>
    </row>
    <row r="9" spans="2:26" x14ac:dyDescent="0.25">
      <c r="B9" s="32">
        <v>43403</v>
      </c>
      <c r="C9" s="4">
        <v>493</v>
      </c>
      <c r="D9" s="6"/>
      <c r="E9" t="e">
        <f t="shared" si="0"/>
        <v>#N/A</v>
      </c>
    </row>
    <row r="10" spans="2:26" x14ac:dyDescent="0.25">
      <c r="B10" s="32">
        <v>43434</v>
      </c>
      <c r="C10" s="4">
        <v>381</v>
      </c>
      <c r="D10" s="6"/>
      <c r="E10" t="e">
        <f t="shared" si="0"/>
        <v>#N/A</v>
      </c>
    </row>
    <row r="11" spans="2:26" x14ac:dyDescent="0.25">
      <c r="B11" s="32">
        <v>43452</v>
      </c>
      <c r="C11" s="4">
        <v>157</v>
      </c>
      <c r="D11" s="6"/>
      <c r="E11" t="e">
        <f t="shared" si="0"/>
        <v>#N/A</v>
      </c>
    </row>
    <row r="12" spans="2:26" x14ac:dyDescent="0.25">
      <c r="B12" s="32">
        <v>43473</v>
      </c>
      <c r="C12" s="4">
        <v>114</v>
      </c>
      <c r="D12" s="6" t="s">
        <v>101</v>
      </c>
      <c r="E12">
        <f t="shared" si="0"/>
        <v>114</v>
      </c>
    </row>
    <row r="13" spans="2:26" x14ac:dyDescent="0.25">
      <c r="B13" s="32">
        <v>43494</v>
      </c>
      <c r="C13" s="4">
        <v>101</v>
      </c>
      <c r="D13" s="6"/>
      <c r="E13" t="e">
        <f t="shared" si="0"/>
        <v>#N/A</v>
      </c>
    </row>
    <row r="14" spans="2:26" x14ac:dyDescent="0.25">
      <c r="B14" s="32">
        <v>43521</v>
      </c>
      <c r="C14" s="4">
        <v>88</v>
      </c>
      <c r="D14" s="6"/>
      <c r="E14" t="e">
        <f t="shared" si="0"/>
        <v>#N/A</v>
      </c>
    </row>
    <row r="15" spans="2:26" x14ac:dyDescent="0.25">
      <c r="B15" s="32">
        <v>43528</v>
      </c>
      <c r="C15" s="4">
        <v>84</v>
      </c>
      <c r="D15" s="6"/>
      <c r="E15" t="e">
        <f t="shared" si="0"/>
        <v>#N/A</v>
      </c>
    </row>
    <row r="16" spans="2:26" x14ac:dyDescent="0.25">
      <c r="B16" s="32">
        <v>43549</v>
      </c>
      <c r="C16" s="4">
        <v>6</v>
      </c>
      <c r="D16" s="6"/>
      <c r="E16" t="e">
        <f t="shared" si="0"/>
        <v>#N/A</v>
      </c>
    </row>
    <row r="17" spans="2:5" x14ac:dyDescent="0.25">
      <c r="B17" s="32">
        <v>43584</v>
      </c>
      <c r="C17" s="4">
        <v>5</v>
      </c>
      <c r="D17" s="6"/>
      <c r="E17" t="e">
        <f t="shared" si="0"/>
        <v>#N/A</v>
      </c>
    </row>
    <row r="18" spans="2:5" x14ac:dyDescent="0.25">
      <c r="B18" s="32">
        <v>43591</v>
      </c>
      <c r="C18" s="4">
        <v>0</v>
      </c>
      <c r="D18" s="6" t="s">
        <v>102</v>
      </c>
      <c r="E18">
        <f t="shared" si="0"/>
        <v>0</v>
      </c>
    </row>
    <row r="19" spans="2:5" x14ac:dyDescent="0.25">
      <c r="B19" s="32">
        <v>43598</v>
      </c>
      <c r="C19" s="4">
        <v>1104</v>
      </c>
      <c r="D19" s="6" t="s">
        <v>103</v>
      </c>
      <c r="E19">
        <f t="shared" si="0"/>
        <v>1104</v>
      </c>
    </row>
    <row r="20" spans="2:5" x14ac:dyDescent="0.25">
      <c r="B20" s="32">
        <v>43605</v>
      </c>
      <c r="C20" s="4">
        <v>1100</v>
      </c>
      <c r="D20" s="6"/>
      <c r="E20" t="e">
        <f t="shared" si="0"/>
        <v>#N/A</v>
      </c>
    </row>
    <row r="21" spans="2:5" x14ac:dyDescent="0.25">
      <c r="B21" s="32">
        <v>43606</v>
      </c>
      <c r="C21" s="4">
        <v>1919</v>
      </c>
      <c r="D21" s="6" t="s">
        <v>104</v>
      </c>
      <c r="E21">
        <f t="shared" si="0"/>
        <v>1919</v>
      </c>
    </row>
    <row r="22" spans="2:5" x14ac:dyDescent="0.25">
      <c r="B22" s="32">
        <v>43614</v>
      </c>
      <c r="C22" s="4">
        <v>1914</v>
      </c>
      <c r="D22" s="6"/>
      <c r="E22" t="e">
        <f t="shared" si="0"/>
        <v>#N/A</v>
      </c>
    </row>
    <row r="23" spans="2:5" x14ac:dyDescent="0.25">
      <c r="B23" s="32">
        <v>43640</v>
      </c>
      <c r="C23" s="4">
        <v>1866</v>
      </c>
      <c r="D23" s="6"/>
      <c r="E23" t="e">
        <f t="shared" si="0"/>
        <v>#N/A</v>
      </c>
    </row>
    <row r="24" spans="2:5" x14ac:dyDescent="0.25">
      <c r="B24" s="32">
        <v>43668</v>
      </c>
      <c r="C24" s="4">
        <v>628</v>
      </c>
      <c r="D24" s="6" t="s">
        <v>105</v>
      </c>
      <c r="E24">
        <f t="shared" si="0"/>
        <v>628</v>
      </c>
    </row>
    <row r="25" spans="2:5" x14ac:dyDescent="0.25">
      <c r="B25" s="32">
        <v>43677</v>
      </c>
      <c r="C25" s="4">
        <v>623</v>
      </c>
      <c r="D25" s="6"/>
      <c r="E25" t="e">
        <f t="shared" si="0"/>
        <v>#N/A</v>
      </c>
    </row>
    <row r="26" spans="2:5" x14ac:dyDescent="0.25">
      <c r="B26" s="32">
        <v>43703</v>
      </c>
      <c r="C26" s="4">
        <v>598</v>
      </c>
      <c r="D26" s="6"/>
      <c r="E26" t="e">
        <f t="shared" si="0"/>
        <v>#N/A</v>
      </c>
    </row>
    <row r="27" spans="2:5" x14ac:dyDescent="0.25">
      <c r="B27" s="32">
        <v>43738</v>
      </c>
      <c r="C27" s="4">
        <v>533</v>
      </c>
      <c r="D27" s="6"/>
      <c r="E27" t="e">
        <f t="shared" si="0"/>
        <v>#N/A</v>
      </c>
    </row>
    <row r="28" spans="2:5" x14ac:dyDescent="0.25">
      <c r="B28" s="32">
        <v>43766</v>
      </c>
      <c r="C28" s="4">
        <v>441</v>
      </c>
      <c r="D28" s="6"/>
      <c r="E28" t="e">
        <f t="shared" si="0"/>
        <v>#N/A</v>
      </c>
    </row>
    <row r="29" spans="2:5" x14ac:dyDescent="0.25">
      <c r="B29" s="32">
        <v>43788</v>
      </c>
      <c r="C29" s="4">
        <v>231</v>
      </c>
      <c r="D29" s="6"/>
      <c r="E29" t="e">
        <f t="shared" si="0"/>
        <v>#N/A</v>
      </c>
    </row>
    <row r="30" spans="2:5" x14ac:dyDescent="0.25">
      <c r="B30" s="32">
        <v>43815</v>
      </c>
      <c r="C30" s="4">
        <v>6</v>
      </c>
      <c r="D30" s="6"/>
      <c r="E30" t="e">
        <f t="shared" si="0"/>
        <v>#N/A</v>
      </c>
    </row>
    <row r="31" spans="2:5" x14ac:dyDescent="0.25">
      <c r="B31" s="32">
        <v>43857</v>
      </c>
      <c r="C31" s="4">
        <v>3</v>
      </c>
      <c r="D31" s="6"/>
      <c r="E31" t="e">
        <f t="shared" si="0"/>
        <v>#N/A</v>
      </c>
    </row>
    <row r="32" spans="2:5" ht="15.75" thickBot="1" x14ac:dyDescent="0.3">
      <c r="B32" s="34">
        <v>43885</v>
      </c>
      <c r="C32" s="8">
        <v>3</v>
      </c>
      <c r="D32" s="9" t="s">
        <v>106</v>
      </c>
      <c r="E32">
        <f t="shared" si="0"/>
        <v>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1C9-480F-40B9-B9F2-5A1A80539C80}">
  <dimension ref="B1:Z9"/>
  <sheetViews>
    <sheetView zoomScale="85" zoomScaleNormal="85" workbookViewId="0"/>
  </sheetViews>
  <sheetFormatPr defaultRowHeight="15" x14ac:dyDescent="0.25"/>
  <cols>
    <col min="1" max="1" width="0.7109375" customWidth="1"/>
    <col min="2" max="2" width="15.7109375" bestFit="1" customWidth="1"/>
    <col min="3" max="8" width="10.85546875" bestFit="1" customWidth="1"/>
    <col min="10" max="10" width="12.140625" bestFit="1" customWidth="1"/>
  </cols>
  <sheetData>
    <row r="1" spans="2:26" x14ac:dyDescent="0.25">
      <c r="B1" s="2" t="s">
        <v>132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133</v>
      </c>
    </row>
    <row r="3" spans="2:26" ht="15.75" thickBot="1" x14ac:dyDescent="0.3"/>
    <row r="4" spans="2:26" ht="15.75" thickBot="1" x14ac:dyDescent="0.3">
      <c r="B4" s="24" t="s">
        <v>125</v>
      </c>
      <c r="C4" s="58" t="s">
        <v>129</v>
      </c>
      <c r="D4" s="22" t="s">
        <v>126</v>
      </c>
      <c r="E4" s="22" t="s">
        <v>127</v>
      </c>
      <c r="F4" s="22" t="s">
        <v>128</v>
      </c>
      <c r="G4" s="22" t="s">
        <v>131</v>
      </c>
      <c r="H4" s="57" t="s">
        <v>130</v>
      </c>
      <c r="I4" s="24" t="s">
        <v>59</v>
      </c>
      <c r="J4" s="3" t="s">
        <v>124</v>
      </c>
    </row>
    <row r="5" spans="2:26" x14ac:dyDescent="0.25">
      <c r="B5" s="62">
        <v>201912</v>
      </c>
      <c r="C5" s="55">
        <v>22</v>
      </c>
      <c r="D5" s="11">
        <v>116</v>
      </c>
      <c r="E5" s="11">
        <v>102</v>
      </c>
      <c r="F5" s="11">
        <v>37</v>
      </c>
      <c r="G5" s="11">
        <v>2</v>
      </c>
      <c r="H5" s="46">
        <v>6</v>
      </c>
      <c r="I5" s="62">
        <v>285</v>
      </c>
      <c r="J5" s="3">
        <v>0</v>
      </c>
    </row>
    <row r="6" spans="2:26" x14ac:dyDescent="0.25">
      <c r="B6" s="63">
        <v>202001</v>
      </c>
      <c r="C6" s="43">
        <v>2</v>
      </c>
      <c r="D6" s="4">
        <v>60</v>
      </c>
      <c r="E6" s="4">
        <v>120</v>
      </c>
      <c r="F6" s="4">
        <v>34</v>
      </c>
      <c r="G6" s="4">
        <v>10</v>
      </c>
      <c r="H6" s="50">
        <v>5</v>
      </c>
      <c r="I6" s="63">
        <v>231</v>
      </c>
      <c r="J6" s="3">
        <v>0</v>
      </c>
    </row>
    <row r="7" spans="2:26" ht="15.75" thickBot="1" x14ac:dyDescent="0.3">
      <c r="B7" s="64">
        <v>202002</v>
      </c>
      <c r="C7" s="51">
        <v>7</v>
      </c>
      <c r="D7" s="96">
        <v>45</v>
      </c>
      <c r="E7" s="96">
        <v>92</v>
      </c>
      <c r="F7" s="96">
        <v>24</v>
      </c>
      <c r="G7" s="96">
        <v>13</v>
      </c>
      <c r="H7" s="56">
        <v>7</v>
      </c>
      <c r="I7" s="64">
        <v>188</v>
      </c>
      <c r="J7" s="3">
        <v>0</v>
      </c>
    </row>
    <row r="8" spans="2:26" ht="15.75" thickBot="1" x14ac:dyDescent="0.3">
      <c r="B8" s="97" t="s">
        <v>59</v>
      </c>
      <c r="C8" s="53">
        <v>31</v>
      </c>
      <c r="D8" s="95">
        <v>221</v>
      </c>
      <c r="E8" s="95">
        <v>314</v>
      </c>
      <c r="F8" s="95">
        <v>95</v>
      </c>
      <c r="G8" s="95">
        <v>25</v>
      </c>
      <c r="H8" s="47">
        <v>18</v>
      </c>
      <c r="I8" s="97">
        <v>704</v>
      </c>
      <c r="J8" s="3">
        <v>0</v>
      </c>
    </row>
    <row r="9" spans="2:26" x14ac:dyDescent="0.25">
      <c r="B9" s="3" t="s">
        <v>124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/>
    </row>
  </sheetData>
  <sortState xmlns:xlrd2="http://schemas.microsoft.com/office/spreadsheetml/2017/richdata2" ref="B5:B10">
    <sortCondition ref="B5"/>
  </sortState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7C48-2D0C-4238-8C8B-73B1A27AD17A}">
  <dimension ref="B1:AA13"/>
  <sheetViews>
    <sheetView zoomScale="85" zoomScaleNormal="85" workbookViewId="0"/>
  </sheetViews>
  <sheetFormatPr defaultRowHeight="15" x14ac:dyDescent="0.25"/>
  <cols>
    <col min="1" max="1" width="0.7109375" customWidth="1"/>
    <col min="2" max="2" width="15.7109375" bestFit="1" customWidth="1"/>
    <col min="6" max="6" width="11" style="59" bestFit="1" customWidth="1"/>
    <col min="7" max="7" width="11" bestFit="1" customWidth="1"/>
    <col min="26" max="26" width="8.5703125" customWidth="1"/>
  </cols>
  <sheetData>
    <row r="1" spans="2:27" x14ac:dyDescent="0.25">
      <c r="B1" s="2" t="s">
        <v>139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2:27" x14ac:dyDescent="0.25">
      <c r="B2" s="92" t="s">
        <v>143</v>
      </c>
    </row>
    <row r="3" spans="2:27" ht="15.75" thickBot="1" x14ac:dyDescent="0.3"/>
    <row r="4" spans="2:27" ht="15.75" thickBot="1" x14ac:dyDescent="0.3">
      <c r="B4" s="24" t="s">
        <v>125</v>
      </c>
      <c r="C4" s="24" t="s">
        <v>59</v>
      </c>
      <c r="D4" t="s">
        <v>135</v>
      </c>
      <c r="E4" t="s">
        <v>134</v>
      </c>
      <c r="F4" s="59" t="s">
        <v>136</v>
      </c>
      <c r="G4" s="98" t="s">
        <v>137</v>
      </c>
    </row>
    <row r="5" spans="2:27" x14ac:dyDescent="0.25">
      <c r="B5" s="62" t="s">
        <v>129</v>
      </c>
      <c r="C5" s="62">
        <v>310</v>
      </c>
      <c r="D5">
        <f>C5-E5</f>
        <v>262.5</v>
      </c>
      <c r="E5">
        <f t="shared" ref="E5:E10" si="0">MIN($C$5:$C$10)/2</f>
        <v>47.5</v>
      </c>
      <c r="F5" s="59">
        <f t="shared" ref="F5:F10" si="1">IF(C5=MAX($C$5:$C$10),D5,0)</f>
        <v>0</v>
      </c>
      <c r="G5">
        <f t="shared" ref="G5:G10" si="2">IF(D5=MAX($D$5:$D$10),E5,0)</f>
        <v>0</v>
      </c>
    </row>
    <row r="6" spans="2:27" x14ac:dyDescent="0.25">
      <c r="B6" s="63" t="s">
        <v>126</v>
      </c>
      <c r="C6" s="63">
        <v>221</v>
      </c>
      <c r="D6">
        <f t="shared" ref="D6:D10" si="3">C6-E6</f>
        <v>173.5</v>
      </c>
      <c r="E6">
        <f t="shared" si="0"/>
        <v>47.5</v>
      </c>
      <c r="F6" s="59">
        <f t="shared" si="1"/>
        <v>0</v>
      </c>
      <c r="G6">
        <f t="shared" si="2"/>
        <v>0</v>
      </c>
    </row>
    <row r="7" spans="2:27" x14ac:dyDescent="0.25">
      <c r="B7" s="63" t="s">
        <v>127</v>
      </c>
      <c r="C7" s="63">
        <v>314</v>
      </c>
      <c r="D7">
        <f t="shared" si="3"/>
        <v>266.5</v>
      </c>
      <c r="E7">
        <f t="shared" si="0"/>
        <v>47.5</v>
      </c>
      <c r="F7" s="59">
        <f t="shared" si="1"/>
        <v>266.5</v>
      </c>
      <c r="G7">
        <f t="shared" si="2"/>
        <v>47.5</v>
      </c>
    </row>
    <row r="8" spans="2:27" x14ac:dyDescent="0.25">
      <c r="B8" s="63" t="s">
        <v>128</v>
      </c>
      <c r="C8" s="63">
        <v>95</v>
      </c>
      <c r="D8">
        <f t="shared" si="3"/>
        <v>47.5</v>
      </c>
      <c r="E8">
        <f t="shared" si="0"/>
        <v>47.5</v>
      </c>
      <c r="F8" s="59">
        <f t="shared" si="1"/>
        <v>0</v>
      </c>
      <c r="G8">
        <f t="shared" si="2"/>
        <v>0</v>
      </c>
    </row>
    <row r="9" spans="2:27" x14ac:dyDescent="0.25">
      <c r="B9" s="63" t="s">
        <v>131</v>
      </c>
      <c r="C9" s="63">
        <v>251</v>
      </c>
      <c r="D9">
        <f t="shared" si="3"/>
        <v>203.5</v>
      </c>
      <c r="E9">
        <f t="shared" si="0"/>
        <v>47.5</v>
      </c>
      <c r="F9" s="59">
        <f t="shared" si="1"/>
        <v>0</v>
      </c>
      <c r="G9">
        <f t="shared" si="2"/>
        <v>0</v>
      </c>
    </row>
    <row r="10" spans="2:27" ht="15.75" thickBot="1" x14ac:dyDescent="0.3">
      <c r="B10" s="25" t="s">
        <v>130</v>
      </c>
      <c r="C10" s="25">
        <v>182</v>
      </c>
      <c r="D10">
        <f t="shared" si="3"/>
        <v>134.5</v>
      </c>
      <c r="E10">
        <f t="shared" si="0"/>
        <v>47.5</v>
      </c>
      <c r="F10" s="59">
        <f t="shared" si="1"/>
        <v>0</v>
      </c>
      <c r="G10">
        <f t="shared" si="2"/>
        <v>0</v>
      </c>
    </row>
    <row r="13" spans="2:27" x14ac:dyDescent="0.25">
      <c r="D13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A31F-DD92-44FA-B10B-B04CE578846A}">
  <dimension ref="B1:AA29"/>
  <sheetViews>
    <sheetView zoomScale="85" zoomScaleNormal="85" workbookViewId="0"/>
  </sheetViews>
  <sheetFormatPr defaultRowHeight="15" x14ac:dyDescent="0.25"/>
  <cols>
    <col min="1" max="1" width="0.7109375" style="59" customWidth="1"/>
    <col min="2" max="3" width="20.140625" style="59" customWidth="1"/>
    <col min="4" max="5" width="9.140625" style="59" customWidth="1"/>
    <col min="6" max="6" width="15.7109375" style="59" bestFit="1" customWidth="1"/>
    <col min="7" max="7" width="10.5703125" style="59" bestFit="1" customWidth="1"/>
    <col min="8" max="16384" width="9.140625" style="59"/>
  </cols>
  <sheetData>
    <row r="1" spans="2:27" x14ac:dyDescent="0.25">
      <c r="B1" s="2" t="s">
        <v>151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2:27" x14ac:dyDescent="0.25">
      <c r="B2" s="92" t="s">
        <v>150</v>
      </c>
    </row>
    <row r="3" spans="2:27" ht="15.75" thickBot="1" x14ac:dyDescent="0.3"/>
    <row r="4" spans="2:27" ht="15.75" thickBot="1" x14ac:dyDescent="0.3">
      <c r="B4" s="59" t="s">
        <v>167</v>
      </c>
      <c r="H4" s="59" t="s">
        <v>149</v>
      </c>
      <c r="M4" s="99" t="s">
        <v>166</v>
      </c>
      <c r="N4" s="100"/>
      <c r="O4" s="166" t="s">
        <v>154</v>
      </c>
      <c r="P4" s="167"/>
      <c r="Z4" s="59" t="s">
        <v>144</v>
      </c>
    </row>
    <row r="5" spans="2:27" ht="15.75" thickBot="1" x14ac:dyDescent="0.3">
      <c r="B5" s="59" t="s">
        <v>153</v>
      </c>
      <c r="C5" s="59" t="s">
        <v>148</v>
      </c>
      <c r="D5" s="59" t="s">
        <v>164</v>
      </c>
      <c r="F5" s="21" t="s">
        <v>148</v>
      </c>
      <c r="G5" s="23" t="s">
        <v>147</v>
      </c>
      <c r="H5" s="59" t="s">
        <v>146</v>
      </c>
      <c r="I5" s="59" t="s">
        <v>145</v>
      </c>
      <c r="J5" s="98" t="s">
        <v>152</v>
      </c>
      <c r="K5" s="98" t="s">
        <v>168</v>
      </c>
      <c r="Y5"/>
    </row>
    <row r="6" spans="2:27" x14ac:dyDescent="0.25">
      <c r="B6" s="59" t="s">
        <v>154</v>
      </c>
      <c r="C6" s="59" t="s">
        <v>158</v>
      </c>
      <c r="D6" s="59">
        <v>601</v>
      </c>
      <c r="F6" s="10" t="s">
        <v>158</v>
      </c>
      <c r="G6" s="12">
        <f t="shared" ref="G6:G11" si="0">SUMIFS($D$6:$D$29,$C$6:$C$29,$F6,$B$6:$B$29,$O$4)</f>
        <v>601</v>
      </c>
      <c r="H6" s="59">
        <v>2</v>
      </c>
      <c r="I6" s="59">
        <v>5.2</v>
      </c>
      <c r="J6" s="59">
        <f>IF($G6=MAX($G$6:$G$11),$G6,NA())</f>
        <v>601</v>
      </c>
      <c r="K6" s="59" t="str">
        <f>F6&amp;", "&amp;G6</f>
        <v>Dallas, 601</v>
      </c>
      <c r="Y6"/>
    </row>
    <row r="7" spans="2:27" x14ac:dyDescent="0.25">
      <c r="B7" s="59" t="s">
        <v>154</v>
      </c>
      <c r="C7" s="59" t="s">
        <v>159</v>
      </c>
      <c r="D7" s="59">
        <v>312</v>
      </c>
      <c r="F7" s="5" t="s">
        <v>159</v>
      </c>
      <c r="G7" s="6">
        <f t="shared" si="0"/>
        <v>312</v>
      </c>
      <c r="H7" s="59">
        <v>4.9000000000000004</v>
      </c>
      <c r="I7" s="59">
        <v>6.6</v>
      </c>
      <c r="J7" s="59" t="e">
        <f t="shared" ref="J7:J12" si="1">IF($G7=MAX($G$6:$G$11),$G7,NA())</f>
        <v>#N/A</v>
      </c>
      <c r="K7" s="59" t="str">
        <f t="shared" ref="K7:K12" si="2">F7&amp;", "&amp;G7</f>
        <v>Frankfurt, 312</v>
      </c>
      <c r="Y7"/>
    </row>
    <row r="8" spans="2:27" x14ac:dyDescent="0.25">
      <c r="B8" s="59" t="s">
        <v>154</v>
      </c>
      <c r="C8" s="59" t="s">
        <v>160</v>
      </c>
      <c r="D8" s="59">
        <v>344</v>
      </c>
      <c r="F8" s="5" t="s">
        <v>160</v>
      </c>
      <c r="G8" s="6">
        <f t="shared" si="0"/>
        <v>344</v>
      </c>
      <c r="H8" s="59">
        <v>4.7</v>
      </c>
      <c r="I8" s="59">
        <v>6.8</v>
      </c>
      <c r="J8" s="59" t="e">
        <f t="shared" si="1"/>
        <v>#N/A</v>
      </c>
      <c r="K8" s="59" t="str">
        <f t="shared" si="2"/>
        <v>London, 344</v>
      </c>
      <c r="Y8"/>
    </row>
    <row r="9" spans="2:27" x14ac:dyDescent="0.25">
      <c r="B9" s="59" t="s">
        <v>154</v>
      </c>
      <c r="C9" s="59" t="s">
        <v>161</v>
      </c>
      <c r="D9" s="59">
        <v>144</v>
      </c>
      <c r="F9" s="5" t="s">
        <v>161</v>
      </c>
      <c r="G9" s="6">
        <f t="shared" si="0"/>
        <v>144</v>
      </c>
      <c r="H9" s="59">
        <v>8.9</v>
      </c>
      <c r="I9" s="59">
        <v>1.6</v>
      </c>
      <c r="J9" s="59" t="e">
        <f t="shared" si="1"/>
        <v>#N/A</v>
      </c>
      <c r="K9" s="59" t="str">
        <f t="shared" si="2"/>
        <v>Sydney, 144</v>
      </c>
      <c r="Y9"/>
    </row>
    <row r="10" spans="2:27" x14ac:dyDescent="0.25">
      <c r="B10" s="59" t="s">
        <v>154</v>
      </c>
      <c r="C10" s="59" t="s">
        <v>162</v>
      </c>
      <c r="D10" s="59">
        <v>356</v>
      </c>
      <c r="F10" s="5" t="s">
        <v>162</v>
      </c>
      <c r="G10" s="6">
        <f t="shared" si="0"/>
        <v>356</v>
      </c>
      <c r="H10" s="59">
        <v>8.6</v>
      </c>
      <c r="I10" s="59">
        <v>5.7</v>
      </c>
      <c r="J10" s="59" t="e">
        <f t="shared" si="1"/>
        <v>#N/A</v>
      </c>
      <c r="K10" s="59" t="str">
        <f t="shared" si="2"/>
        <v>Tokyo, 356</v>
      </c>
      <c r="Y10"/>
    </row>
    <row r="11" spans="2:27" ht="15.75" thickBot="1" x14ac:dyDescent="0.3">
      <c r="B11" s="59" t="s">
        <v>154</v>
      </c>
      <c r="C11" s="59" t="s">
        <v>163</v>
      </c>
      <c r="D11" s="59">
        <v>193</v>
      </c>
      <c r="F11" s="7" t="s">
        <v>163</v>
      </c>
      <c r="G11" s="9">
        <f t="shared" si="0"/>
        <v>193</v>
      </c>
      <c r="H11" s="59">
        <v>2.6</v>
      </c>
      <c r="I11" s="59">
        <v>5.9</v>
      </c>
      <c r="J11" s="59" t="e">
        <f t="shared" si="1"/>
        <v>#N/A</v>
      </c>
      <c r="K11" s="59" t="str">
        <f t="shared" si="2"/>
        <v>Washington, DC, 193</v>
      </c>
      <c r="Y11"/>
    </row>
    <row r="12" spans="2:27" x14ac:dyDescent="0.25">
      <c r="B12" s="59" t="s">
        <v>155</v>
      </c>
      <c r="C12" s="59" t="s">
        <v>158</v>
      </c>
      <c r="D12" s="59">
        <v>313</v>
      </c>
      <c r="F12" t="s">
        <v>169</v>
      </c>
      <c r="G12">
        <f>MAX(G6:G11)</f>
        <v>601</v>
      </c>
      <c r="H12">
        <f>INDEX(H$6:H$11,MATCH($G$12,$G$6:$G$11,0))</f>
        <v>2</v>
      </c>
      <c r="I12" s="59">
        <f>INDEX(I$6:I$11,MATCH($G$12,$G$6:$G$11,0))</f>
        <v>5.2</v>
      </c>
      <c r="J12" s="59">
        <f t="shared" si="1"/>
        <v>601</v>
      </c>
      <c r="K12" s="59" t="str">
        <f t="shared" si="2"/>
        <v>Max Spotter, 601</v>
      </c>
      <c r="Y12"/>
    </row>
    <row r="13" spans="2:27" x14ac:dyDescent="0.25">
      <c r="B13" s="59" t="s">
        <v>155</v>
      </c>
      <c r="C13" s="59" t="s">
        <v>159</v>
      </c>
      <c r="D13" s="59">
        <v>420</v>
      </c>
      <c r="Y13"/>
    </row>
    <row r="14" spans="2:27" x14ac:dyDescent="0.25">
      <c r="B14" s="59" t="s">
        <v>155</v>
      </c>
      <c r="C14" s="59" t="s">
        <v>160</v>
      </c>
      <c r="D14" s="59">
        <v>478</v>
      </c>
      <c r="F14" s="59" t="s">
        <v>165</v>
      </c>
      <c r="Y14"/>
    </row>
    <row r="15" spans="2:27" x14ac:dyDescent="0.25">
      <c r="B15" s="59" t="s">
        <v>155</v>
      </c>
      <c r="C15" s="59" t="s">
        <v>161</v>
      </c>
      <c r="D15" s="59">
        <v>636</v>
      </c>
      <c r="F15" s="59" t="s">
        <v>154</v>
      </c>
    </row>
    <row r="16" spans="2:27" x14ac:dyDescent="0.25">
      <c r="B16" s="59" t="s">
        <v>155</v>
      </c>
      <c r="C16" s="59" t="s">
        <v>162</v>
      </c>
      <c r="D16" s="59">
        <v>136</v>
      </c>
      <c r="F16" s="59" t="s">
        <v>155</v>
      </c>
    </row>
    <row r="17" spans="2:6" x14ac:dyDescent="0.25">
      <c r="B17" s="59" t="s">
        <v>155</v>
      </c>
      <c r="C17" s="59" t="s">
        <v>163</v>
      </c>
      <c r="D17" s="59">
        <v>518</v>
      </c>
      <c r="F17" s="59" t="s">
        <v>156</v>
      </c>
    </row>
    <row r="18" spans="2:6" x14ac:dyDescent="0.25">
      <c r="B18" s="59" t="s">
        <v>156</v>
      </c>
      <c r="C18" s="59" t="s">
        <v>158</v>
      </c>
      <c r="D18" s="59">
        <v>458</v>
      </c>
      <c r="F18" s="59" t="s">
        <v>157</v>
      </c>
    </row>
    <row r="19" spans="2:6" x14ac:dyDescent="0.25">
      <c r="B19" s="59" t="s">
        <v>156</v>
      </c>
      <c r="C19" s="59" t="s">
        <v>159</v>
      </c>
      <c r="D19" s="59">
        <v>90</v>
      </c>
      <c r="F19"/>
    </row>
    <row r="20" spans="2:6" x14ac:dyDescent="0.25">
      <c r="B20" s="59" t="s">
        <v>156</v>
      </c>
      <c r="C20" s="59" t="s">
        <v>160</v>
      </c>
      <c r="D20" s="59">
        <v>579</v>
      </c>
      <c r="F20"/>
    </row>
    <row r="21" spans="2:6" x14ac:dyDescent="0.25">
      <c r="B21" s="59" t="s">
        <v>156</v>
      </c>
      <c r="C21" s="59" t="s">
        <v>161</v>
      </c>
      <c r="D21" s="59">
        <v>485</v>
      </c>
      <c r="F21"/>
    </row>
    <row r="22" spans="2:6" x14ac:dyDescent="0.25">
      <c r="B22" s="59" t="s">
        <v>156</v>
      </c>
      <c r="C22" s="59" t="s">
        <v>162</v>
      </c>
      <c r="D22" s="59">
        <v>87</v>
      </c>
      <c r="F22"/>
    </row>
    <row r="23" spans="2:6" x14ac:dyDescent="0.25">
      <c r="B23" s="59" t="s">
        <v>156</v>
      </c>
      <c r="C23" s="59" t="s">
        <v>163</v>
      </c>
      <c r="D23" s="59">
        <v>627</v>
      </c>
      <c r="F23"/>
    </row>
    <row r="24" spans="2:6" x14ac:dyDescent="0.25">
      <c r="B24" s="59" t="s">
        <v>157</v>
      </c>
      <c r="C24" s="59" t="s">
        <v>158</v>
      </c>
      <c r="D24" s="59">
        <v>559</v>
      </c>
      <c r="F24"/>
    </row>
    <row r="25" spans="2:6" x14ac:dyDescent="0.25">
      <c r="B25" s="59" t="s">
        <v>157</v>
      </c>
      <c r="C25" s="59" t="s">
        <v>159</v>
      </c>
      <c r="D25" s="59">
        <v>557</v>
      </c>
      <c r="F25"/>
    </row>
    <row r="26" spans="2:6" x14ac:dyDescent="0.25">
      <c r="B26" s="59" t="s">
        <v>157</v>
      </c>
      <c r="C26" s="59" t="s">
        <v>160</v>
      </c>
      <c r="D26" s="59">
        <v>564</v>
      </c>
      <c r="F26"/>
    </row>
    <row r="27" spans="2:6" x14ac:dyDescent="0.25">
      <c r="B27" s="59" t="s">
        <v>157</v>
      </c>
      <c r="C27" s="59" t="s">
        <v>161</v>
      </c>
      <c r="D27" s="59">
        <v>289</v>
      </c>
      <c r="F27"/>
    </row>
    <row r="28" spans="2:6" x14ac:dyDescent="0.25">
      <c r="B28" s="59" t="s">
        <v>157</v>
      </c>
      <c r="C28" s="59" t="s">
        <v>162</v>
      </c>
      <c r="D28" s="59">
        <v>209</v>
      </c>
      <c r="F28"/>
    </row>
    <row r="29" spans="2:6" x14ac:dyDescent="0.25">
      <c r="B29" s="59" t="s">
        <v>157</v>
      </c>
      <c r="C29" s="59" t="s">
        <v>163</v>
      </c>
      <c r="D29" s="59">
        <v>185</v>
      </c>
    </row>
  </sheetData>
  <mergeCells count="1">
    <mergeCell ref="O4:P4"/>
  </mergeCells>
  <phoneticPr fontId="21" type="noConversion"/>
  <dataValidations count="1">
    <dataValidation type="list" allowBlank="1" showInputMessage="1" showErrorMessage="1" sqref="O4" xr:uid="{08EBF9C6-DB41-4D1F-BC44-9975B382AAE5}">
      <formula1>$F$15:$F$18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77E-F335-4359-8504-51573987180C}">
  <dimension ref="B1:Z43"/>
  <sheetViews>
    <sheetView zoomScale="85" zoomScaleNormal="85" workbookViewId="0"/>
  </sheetViews>
  <sheetFormatPr defaultRowHeight="15" x14ac:dyDescent="0.25"/>
  <cols>
    <col min="1" max="1" width="0.7109375" customWidth="1"/>
    <col min="2" max="2" width="11" bestFit="1" customWidth="1"/>
    <col min="3" max="4" width="9.42578125" bestFit="1" customWidth="1"/>
    <col min="6" max="6" width="16" bestFit="1" customWidth="1"/>
    <col min="7" max="8" width="9.5703125" bestFit="1" customWidth="1"/>
    <col min="9" max="9" width="16.28515625" bestFit="1" customWidth="1"/>
  </cols>
  <sheetData>
    <row r="1" spans="2:26" x14ac:dyDescent="0.25">
      <c r="B1" s="2" t="s">
        <v>174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175</v>
      </c>
    </row>
    <row r="3" spans="2:26" ht="15.75" thickBot="1" x14ac:dyDescent="0.3"/>
    <row r="4" spans="2:26" ht="15.75" thickBot="1" x14ac:dyDescent="0.3">
      <c r="B4" s="24" t="s">
        <v>20</v>
      </c>
      <c r="C4" s="58" t="s">
        <v>61</v>
      </c>
      <c r="D4" s="23" t="s">
        <v>63</v>
      </c>
      <c r="G4" t="s">
        <v>61</v>
      </c>
      <c r="H4" t="s">
        <v>63</v>
      </c>
    </row>
    <row r="5" spans="2:26" x14ac:dyDescent="0.25">
      <c r="B5" s="52" t="s">
        <v>47</v>
      </c>
      <c r="C5" s="101">
        <v>2284</v>
      </c>
      <c r="D5" s="105">
        <v>1400</v>
      </c>
      <c r="F5" t="s">
        <v>176</v>
      </c>
      <c r="G5" s="109">
        <f>MIN(C5:C16)</f>
        <v>692</v>
      </c>
      <c r="H5" s="109">
        <f>MIN(D5:D16)</f>
        <v>1400</v>
      </c>
    </row>
    <row r="6" spans="2:26" x14ac:dyDescent="0.25">
      <c r="B6" s="49" t="s">
        <v>48</v>
      </c>
      <c r="C6" s="102">
        <v>2343</v>
      </c>
      <c r="D6" s="106">
        <v>2750</v>
      </c>
      <c r="F6" t="s">
        <v>177</v>
      </c>
      <c r="G6" s="109">
        <f>_xlfn.QUARTILE.INC(C5:C16,1)</f>
        <v>1228.5</v>
      </c>
      <c r="H6" s="109">
        <f>_xlfn.QUARTILE.INC(D5:D16,1)</f>
        <v>1721</v>
      </c>
    </row>
    <row r="7" spans="2:26" x14ac:dyDescent="0.25">
      <c r="B7" s="49" t="s">
        <v>49</v>
      </c>
      <c r="C7" s="102">
        <v>1607</v>
      </c>
      <c r="D7" s="106">
        <v>3145</v>
      </c>
      <c r="F7" t="s">
        <v>178</v>
      </c>
      <c r="G7" s="109">
        <f>MEDIAN(C5:C16)</f>
        <v>1751</v>
      </c>
      <c r="H7" s="109">
        <f>MEDIAN(D5:D16)</f>
        <v>2307.5</v>
      </c>
    </row>
    <row r="8" spans="2:26" x14ac:dyDescent="0.25">
      <c r="B8" s="49" t="s">
        <v>50</v>
      </c>
      <c r="C8" s="102">
        <v>1080</v>
      </c>
      <c r="D8" s="106">
        <v>4167</v>
      </c>
      <c r="F8" t="s">
        <v>179</v>
      </c>
      <c r="G8" s="109">
        <f>_xlfn.QUARTILE.INC(C5:C16,3)</f>
        <v>2298.75</v>
      </c>
      <c r="H8" s="109">
        <f>_xlfn.QUARTILE.INC(D5:D16,3)</f>
        <v>2782.75</v>
      </c>
    </row>
    <row r="9" spans="2:26" x14ac:dyDescent="0.25">
      <c r="B9" s="49" t="s">
        <v>51</v>
      </c>
      <c r="C9" s="102">
        <v>1642</v>
      </c>
      <c r="D9" s="106">
        <v>1723</v>
      </c>
      <c r="F9" t="s">
        <v>152</v>
      </c>
      <c r="G9" s="109">
        <f>MAX(C5:C16)</f>
        <v>3565</v>
      </c>
      <c r="H9" s="109">
        <f>MAX(D5:D16)</f>
        <v>4167</v>
      </c>
    </row>
    <row r="10" spans="2:26" x14ac:dyDescent="0.25">
      <c r="B10" s="49" t="s">
        <v>52</v>
      </c>
      <c r="C10" s="102">
        <v>2515</v>
      </c>
      <c r="D10" s="106">
        <v>2462</v>
      </c>
    </row>
    <row r="11" spans="2:26" x14ac:dyDescent="0.25">
      <c r="B11" s="49" t="s">
        <v>53</v>
      </c>
      <c r="C11" s="102">
        <v>1278</v>
      </c>
      <c r="D11" s="106">
        <v>1715</v>
      </c>
      <c r="F11" t="s">
        <v>180</v>
      </c>
      <c r="G11" s="109">
        <f>G6</f>
        <v>1228.5</v>
      </c>
      <c r="H11" s="109">
        <f>H6</f>
        <v>1721</v>
      </c>
      <c r="I11" t="s">
        <v>177</v>
      </c>
    </row>
    <row r="12" spans="2:26" x14ac:dyDescent="0.25">
      <c r="B12" s="49" t="s">
        <v>54</v>
      </c>
      <c r="C12" s="102">
        <v>3565</v>
      </c>
      <c r="D12" s="106">
        <v>1442</v>
      </c>
      <c r="F12" t="s">
        <v>181</v>
      </c>
      <c r="G12" s="109">
        <f>G7-G6</f>
        <v>522.5</v>
      </c>
      <c r="H12" s="109">
        <f>H7-H6</f>
        <v>586.5</v>
      </c>
      <c r="I12" t="s">
        <v>185</v>
      </c>
    </row>
    <row r="13" spans="2:26" x14ac:dyDescent="0.25">
      <c r="B13" s="49" t="s">
        <v>55</v>
      </c>
      <c r="C13" s="102">
        <v>2004</v>
      </c>
      <c r="D13" s="106">
        <v>2152</v>
      </c>
      <c r="F13" t="s">
        <v>182</v>
      </c>
      <c r="G13" s="109">
        <f>G8-G7</f>
        <v>547.75</v>
      </c>
      <c r="H13" s="109">
        <f>H8-H7</f>
        <v>475.25</v>
      </c>
      <c r="I13" t="s">
        <v>186</v>
      </c>
    </row>
    <row r="14" spans="2:26" x14ac:dyDescent="0.25">
      <c r="B14" s="49" t="s">
        <v>56</v>
      </c>
      <c r="C14" s="102">
        <v>1860</v>
      </c>
      <c r="D14" s="106">
        <v>2881</v>
      </c>
      <c r="F14" t="s">
        <v>203</v>
      </c>
      <c r="G14" s="109">
        <f>AVERAGE(C5:C16)</f>
        <v>1803.4166666666667</v>
      </c>
      <c r="H14" s="109">
        <f>AVERAGE(D5:D16)</f>
        <v>2380.8333333333335</v>
      </c>
      <c r="I14" t="s">
        <v>204</v>
      </c>
    </row>
    <row r="15" spans="2:26" x14ac:dyDescent="0.25">
      <c r="B15" s="49" t="s">
        <v>57</v>
      </c>
      <c r="C15" s="102">
        <v>771</v>
      </c>
      <c r="D15" s="106">
        <v>2580</v>
      </c>
    </row>
    <row r="16" spans="2:26" ht="15.75" thickBot="1" x14ac:dyDescent="0.3">
      <c r="B16" s="48" t="s">
        <v>58</v>
      </c>
      <c r="C16" s="103">
        <v>692</v>
      </c>
      <c r="D16" s="107">
        <v>2153</v>
      </c>
      <c r="F16" t="s">
        <v>183</v>
      </c>
      <c r="G16" s="109">
        <f>G9-G8</f>
        <v>1266.25</v>
      </c>
      <c r="H16" s="109">
        <f>H9-H8</f>
        <v>1384.25</v>
      </c>
      <c r="I16" t="s">
        <v>187</v>
      </c>
    </row>
    <row r="17" spans="2:11" ht="15.75" thickBot="1" x14ac:dyDescent="0.3">
      <c r="B17" s="24" t="s">
        <v>59</v>
      </c>
      <c r="C17" s="104">
        <v>21641</v>
      </c>
      <c r="D17" s="108">
        <v>28570</v>
      </c>
      <c r="F17" t="s">
        <v>184</v>
      </c>
      <c r="G17" s="109">
        <f>G6-G5</f>
        <v>536.5</v>
      </c>
      <c r="H17" s="109">
        <f>H6-H5</f>
        <v>321</v>
      </c>
      <c r="I17" t="s">
        <v>188</v>
      </c>
    </row>
    <row r="27" spans="2:11" x14ac:dyDescent="0.25">
      <c r="K27" s="72" t="s">
        <v>189</v>
      </c>
    </row>
    <row r="28" spans="2:11" x14ac:dyDescent="0.25">
      <c r="K28" t="s">
        <v>190</v>
      </c>
    </row>
    <row r="29" spans="2:11" x14ac:dyDescent="0.25">
      <c r="K29" t="s">
        <v>191</v>
      </c>
    </row>
    <row r="30" spans="2:11" x14ac:dyDescent="0.25">
      <c r="K30" t="s">
        <v>192</v>
      </c>
    </row>
    <row r="31" spans="2:11" x14ac:dyDescent="0.25">
      <c r="K31" t="s">
        <v>193</v>
      </c>
    </row>
    <row r="32" spans="2:11" x14ac:dyDescent="0.25">
      <c r="K32" t="s">
        <v>194</v>
      </c>
    </row>
    <row r="33" spans="11:11" x14ac:dyDescent="0.25">
      <c r="K33" t="s">
        <v>196</v>
      </c>
    </row>
    <row r="34" spans="11:11" x14ac:dyDescent="0.25">
      <c r="K34" t="s">
        <v>195</v>
      </c>
    </row>
    <row r="36" spans="11:11" x14ac:dyDescent="0.25">
      <c r="K36" s="72" t="s">
        <v>197</v>
      </c>
    </row>
    <row r="37" spans="11:11" x14ac:dyDescent="0.25">
      <c r="K37" t="s">
        <v>198</v>
      </c>
    </row>
    <row r="38" spans="11:11" x14ac:dyDescent="0.25">
      <c r="K38" t="s">
        <v>191</v>
      </c>
    </row>
    <row r="39" spans="11:11" x14ac:dyDescent="0.25">
      <c r="K39" t="s">
        <v>199</v>
      </c>
    </row>
    <row r="40" spans="11:11" x14ac:dyDescent="0.25">
      <c r="K40" t="s">
        <v>193</v>
      </c>
    </row>
    <row r="41" spans="11:11" x14ac:dyDescent="0.25">
      <c r="K41" t="s">
        <v>200</v>
      </c>
    </row>
    <row r="42" spans="11:11" x14ac:dyDescent="0.25">
      <c r="K42" t="s">
        <v>201</v>
      </c>
    </row>
    <row r="43" spans="11:11" x14ac:dyDescent="0.25">
      <c r="K43" t="s">
        <v>202</v>
      </c>
    </row>
  </sheetData>
  <pageMargins left="0.7" right="0.7" top="0.75" bottom="0.75" header="0.3" footer="0.3"/>
  <pageSetup orientation="portrait" horizontalDpi="4294967293" verticalDpi="4294967293" r:id="rId1"/>
  <ignoredErrors>
    <ignoredError sqref="G5:H9 G14:H14" formulaRange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353C-7C92-43F2-8DAE-49FE5543FF6F}">
  <dimension ref="B1:Z46"/>
  <sheetViews>
    <sheetView zoomScale="85" zoomScaleNormal="85" workbookViewId="0"/>
  </sheetViews>
  <sheetFormatPr defaultRowHeight="15" x14ac:dyDescent="0.25"/>
  <cols>
    <col min="1" max="1" width="0.7109375" customWidth="1"/>
    <col min="2" max="2" width="15.7109375" bestFit="1" customWidth="1"/>
    <col min="3" max="7" width="12.5703125" bestFit="1" customWidth="1"/>
    <col min="8" max="8" width="11.5703125" bestFit="1" customWidth="1"/>
    <col min="9" max="10" width="12.5703125" bestFit="1" customWidth="1"/>
    <col min="12" max="12" width="9.140625" style="59"/>
  </cols>
  <sheetData>
    <row r="1" spans="2:26" x14ac:dyDescent="0.25">
      <c r="B1" s="2" t="s">
        <v>207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208</v>
      </c>
    </row>
    <row r="4" spans="2:26" ht="15.75" thickBot="1" x14ac:dyDescent="0.3">
      <c r="B4" t="s">
        <v>167</v>
      </c>
      <c r="C4" t="s">
        <v>205</v>
      </c>
      <c r="G4" t="s">
        <v>206</v>
      </c>
      <c r="M4" t="s">
        <v>325</v>
      </c>
    </row>
    <row r="5" spans="2:26" ht="15.75" thickBot="1" x14ac:dyDescent="0.3">
      <c r="B5" s="24" t="s">
        <v>148</v>
      </c>
      <c r="C5" s="116" t="s">
        <v>47</v>
      </c>
      <c r="D5" s="116" t="s">
        <v>48</v>
      </c>
      <c r="E5" s="116" t="s">
        <v>49</v>
      </c>
      <c r="F5" s="89" t="s">
        <v>50</v>
      </c>
      <c r="G5" s="59" t="s">
        <v>47</v>
      </c>
      <c r="H5" s="59" t="s">
        <v>48</v>
      </c>
      <c r="I5" s="59" t="s">
        <v>49</v>
      </c>
      <c r="J5" s="59" t="s">
        <v>50</v>
      </c>
      <c r="M5" t="s">
        <v>148</v>
      </c>
      <c r="N5" t="s">
        <v>47</v>
      </c>
      <c r="O5" t="s">
        <v>48</v>
      </c>
      <c r="P5" t="s">
        <v>49</v>
      </c>
      <c r="Q5" t="s">
        <v>50</v>
      </c>
      <c r="R5" t="s">
        <v>47</v>
      </c>
      <c r="S5" t="s">
        <v>48</v>
      </c>
      <c r="T5" t="s">
        <v>49</v>
      </c>
      <c r="U5" t="s">
        <v>50</v>
      </c>
    </row>
    <row r="6" spans="2:26" x14ac:dyDescent="0.25">
      <c r="B6" s="115" t="s">
        <v>158</v>
      </c>
      <c r="C6" s="111">
        <v>202084</v>
      </c>
      <c r="D6" s="111">
        <v>42539.9467</v>
      </c>
      <c r="E6" s="111">
        <v>34073.19999999999</v>
      </c>
      <c r="F6" s="112">
        <v>49176.649999999994</v>
      </c>
      <c r="G6" s="110">
        <v>85000</v>
      </c>
      <c r="H6" s="110">
        <v>42539.9467</v>
      </c>
      <c r="I6" s="110">
        <v>34073.19999999999</v>
      </c>
      <c r="J6" s="110">
        <v>49176.649999999994</v>
      </c>
      <c r="M6" t="s">
        <v>158</v>
      </c>
      <c r="N6">
        <v>202084</v>
      </c>
      <c r="O6">
        <v>0</v>
      </c>
      <c r="P6">
        <v>0</v>
      </c>
      <c r="Q6">
        <v>0</v>
      </c>
      <c r="R6">
        <v>85000</v>
      </c>
      <c r="S6">
        <v>42539.9467</v>
      </c>
      <c r="T6">
        <v>34073.19999999999</v>
      </c>
      <c r="U6">
        <v>49176.649999999994</v>
      </c>
    </row>
    <row r="7" spans="2:26" x14ac:dyDescent="0.25">
      <c r="B7" s="115" t="s">
        <v>159</v>
      </c>
      <c r="C7" s="111">
        <v>152350.72469999999</v>
      </c>
      <c r="D7" s="111">
        <v>72066.899999999994</v>
      </c>
      <c r="E7" s="111">
        <v>26460.65</v>
      </c>
      <c r="F7" s="112">
        <v>34810.887500000004</v>
      </c>
      <c r="G7" s="110">
        <v>85000</v>
      </c>
      <c r="H7" s="110">
        <v>72066.899999999994</v>
      </c>
      <c r="I7" s="110">
        <v>26460.65</v>
      </c>
      <c r="J7" s="110">
        <v>34810.887500000004</v>
      </c>
      <c r="M7" t="s">
        <v>159</v>
      </c>
      <c r="N7">
        <v>152350.72469999999</v>
      </c>
      <c r="O7">
        <v>0</v>
      </c>
      <c r="P7">
        <v>0</v>
      </c>
      <c r="Q7">
        <v>0</v>
      </c>
      <c r="R7">
        <v>85000</v>
      </c>
      <c r="S7">
        <v>72066.899999999994</v>
      </c>
      <c r="T7">
        <v>26460.65</v>
      </c>
      <c r="U7">
        <v>34810.887500000004</v>
      </c>
    </row>
    <row r="8" spans="2:26" x14ac:dyDescent="0.25">
      <c r="B8" s="115" t="s">
        <v>160</v>
      </c>
      <c r="C8" s="111">
        <v>47356.11</v>
      </c>
      <c r="D8" s="111">
        <v>198086.715</v>
      </c>
      <c r="E8" s="111">
        <v>50632.799999999996</v>
      </c>
      <c r="F8" s="112">
        <v>64811.902500000004</v>
      </c>
      <c r="G8" s="110">
        <v>47356.11</v>
      </c>
      <c r="H8" s="110">
        <v>85000</v>
      </c>
      <c r="I8" s="110">
        <v>50632.799999999996</v>
      </c>
      <c r="J8" s="110">
        <v>64811.902500000004</v>
      </c>
      <c r="M8" t="s">
        <v>160</v>
      </c>
      <c r="N8">
        <v>0</v>
      </c>
      <c r="O8">
        <v>198086.715</v>
      </c>
      <c r="P8">
        <v>0</v>
      </c>
      <c r="Q8">
        <v>0</v>
      </c>
      <c r="R8">
        <v>47356.11</v>
      </c>
      <c r="S8">
        <v>85000</v>
      </c>
      <c r="T8">
        <v>50632.799999999996</v>
      </c>
      <c r="U8">
        <v>64811.902500000004</v>
      </c>
    </row>
    <row r="9" spans="2:26" x14ac:dyDescent="0.25">
      <c r="B9" s="115" t="s">
        <v>161</v>
      </c>
      <c r="C9" s="111">
        <v>56812.08</v>
      </c>
      <c r="D9" s="111">
        <v>68299.319999999992</v>
      </c>
      <c r="E9" s="111">
        <v>121176.26</v>
      </c>
      <c r="F9" s="112">
        <v>54178.750000000007</v>
      </c>
      <c r="G9" s="110">
        <v>56812.08</v>
      </c>
      <c r="H9" s="110">
        <v>68299.319999999992</v>
      </c>
      <c r="I9" s="110">
        <v>85000</v>
      </c>
      <c r="J9" s="110">
        <v>54178.750000000007</v>
      </c>
      <c r="M9" t="s">
        <v>161</v>
      </c>
      <c r="N9">
        <v>0</v>
      </c>
      <c r="O9">
        <v>0</v>
      </c>
      <c r="P9">
        <v>121176.26</v>
      </c>
      <c r="Q9">
        <v>0</v>
      </c>
      <c r="R9">
        <v>56812.08</v>
      </c>
      <c r="S9">
        <v>68299.319999999992</v>
      </c>
      <c r="T9">
        <v>85000</v>
      </c>
      <c r="U9">
        <v>54178.750000000007</v>
      </c>
    </row>
    <row r="10" spans="2:26" x14ac:dyDescent="0.25">
      <c r="B10" s="115" t="s">
        <v>162</v>
      </c>
      <c r="C10" s="111">
        <v>32163.38</v>
      </c>
      <c r="D10" s="111">
        <v>54799.58</v>
      </c>
      <c r="E10" s="111">
        <v>45457.116999999998</v>
      </c>
      <c r="F10" s="112">
        <v>65982.98</v>
      </c>
      <c r="G10" s="110">
        <v>32163.38</v>
      </c>
      <c r="H10" s="110">
        <v>54799.58</v>
      </c>
      <c r="I10" s="110">
        <v>45457.116999999998</v>
      </c>
      <c r="J10" s="110">
        <v>65982.98</v>
      </c>
      <c r="M10" t="s">
        <v>162</v>
      </c>
      <c r="N10">
        <v>0</v>
      </c>
      <c r="O10">
        <v>0</v>
      </c>
      <c r="P10">
        <v>0</v>
      </c>
      <c r="Q10">
        <v>0</v>
      </c>
      <c r="R10">
        <v>32163.38</v>
      </c>
      <c r="S10">
        <v>54799.58</v>
      </c>
      <c r="T10">
        <v>45457.116999999998</v>
      </c>
      <c r="U10">
        <v>65982.98</v>
      </c>
    </row>
    <row r="11" spans="2:26" ht="15.75" thickBot="1" x14ac:dyDescent="0.3">
      <c r="B11" s="90" t="s">
        <v>163</v>
      </c>
      <c r="C11" s="113">
        <v>38678.362199999996</v>
      </c>
      <c r="D11" s="113">
        <v>52832.57</v>
      </c>
      <c r="E11" s="113">
        <v>42482.591400000005</v>
      </c>
      <c r="F11" s="114">
        <v>148350.78</v>
      </c>
      <c r="G11" s="110">
        <v>38678.362199999996</v>
      </c>
      <c r="H11" s="110">
        <v>52832.57</v>
      </c>
      <c r="I11" s="110">
        <v>42482.591400000005</v>
      </c>
      <c r="J11" s="110">
        <v>85000</v>
      </c>
      <c r="M11" t="s">
        <v>163</v>
      </c>
      <c r="N11">
        <v>0</v>
      </c>
      <c r="O11">
        <v>0</v>
      </c>
      <c r="P11">
        <v>0</v>
      </c>
      <c r="Q11">
        <v>148350.78</v>
      </c>
      <c r="R11">
        <v>38678.362199999996</v>
      </c>
      <c r="S11">
        <v>52832.57</v>
      </c>
      <c r="T11">
        <v>42482.591400000005</v>
      </c>
      <c r="U11">
        <v>85000</v>
      </c>
    </row>
    <row r="13" spans="2:26" x14ac:dyDescent="0.25">
      <c r="B13" s="164" t="s">
        <v>323</v>
      </c>
      <c r="M13" t="s">
        <v>324</v>
      </c>
    </row>
    <row r="39" spans="12:16" x14ac:dyDescent="0.25">
      <c r="L39" t="s">
        <v>206</v>
      </c>
      <c r="M39" s="59"/>
    </row>
    <row r="40" spans="12:16" x14ac:dyDescent="0.25">
      <c r="L40" t="s">
        <v>148</v>
      </c>
      <c r="M40" s="59" t="s">
        <v>47</v>
      </c>
      <c r="N40" t="s">
        <v>48</v>
      </c>
      <c r="O40" t="s">
        <v>49</v>
      </c>
      <c r="P40" t="s">
        <v>50</v>
      </c>
    </row>
    <row r="41" spans="12:16" x14ac:dyDescent="0.25">
      <c r="L41" t="s">
        <v>158</v>
      </c>
      <c r="M41" s="59">
        <v>100000</v>
      </c>
      <c r="N41">
        <v>42539.9467</v>
      </c>
      <c r="O41">
        <v>34073.19999999999</v>
      </c>
      <c r="P41">
        <v>49176.649999999994</v>
      </c>
    </row>
    <row r="42" spans="12:16" x14ac:dyDescent="0.25">
      <c r="L42" t="s">
        <v>159</v>
      </c>
      <c r="M42" s="59">
        <v>100000</v>
      </c>
      <c r="N42">
        <v>72066.899999999994</v>
      </c>
      <c r="O42">
        <v>26460.65</v>
      </c>
      <c r="P42">
        <v>34810.887500000004</v>
      </c>
    </row>
    <row r="43" spans="12:16" x14ac:dyDescent="0.25">
      <c r="L43" t="s">
        <v>160</v>
      </c>
      <c r="M43" s="59">
        <v>47356.11</v>
      </c>
      <c r="N43" s="59">
        <v>100000</v>
      </c>
      <c r="O43">
        <v>50632.799999999996</v>
      </c>
      <c r="P43">
        <v>64811.902500000004</v>
      </c>
    </row>
    <row r="44" spans="12:16" x14ac:dyDescent="0.25">
      <c r="L44" t="s">
        <v>161</v>
      </c>
      <c r="M44" s="59">
        <v>56812.08</v>
      </c>
      <c r="N44">
        <v>68299.319999999992</v>
      </c>
      <c r="O44" s="59">
        <v>100000</v>
      </c>
      <c r="P44">
        <v>54178.750000000007</v>
      </c>
    </row>
    <row r="45" spans="12:16" x14ac:dyDescent="0.25">
      <c r="L45" t="s">
        <v>162</v>
      </c>
      <c r="M45" s="59">
        <v>32163.38</v>
      </c>
      <c r="N45">
        <v>54799.58</v>
      </c>
      <c r="O45">
        <v>45457.116999999998</v>
      </c>
      <c r="P45">
        <v>65982.98</v>
      </c>
    </row>
    <row r="46" spans="12:16" x14ac:dyDescent="0.25">
      <c r="L46" t="s">
        <v>163</v>
      </c>
      <c r="M46" s="59">
        <v>38678.362199999996</v>
      </c>
      <c r="N46">
        <v>52832.57</v>
      </c>
      <c r="O46">
        <v>42482.591400000005</v>
      </c>
      <c r="P46" s="59">
        <v>100000</v>
      </c>
    </row>
  </sheetData>
  <conditionalFormatting sqref="G6:J11">
    <cfRule type="cellIs" dxfId="12" priority="1" operator="greaterThan">
      <formula>75000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74C0-C7AA-4BC7-8CE6-7AA806523AED}">
  <dimension ref="B1:Z10"/>
  <sheetViews>
    <sheetView zoomScale="85" zoomScaleNormal="85" workbookViewId="0"/>
  </sheetViews>
  <sheetFormatPr defaultRowHeight="15" x14ac:dyDescent="0.25"/>
  <cols>
    <col min="1" max="1" width="0.7109375" customWidth="1"/>
    <col min="3" max="3" width="11.28515625" bestFit="1" customWidth="1"/>
  </cols>
  <sheetData>
    <row r="1" spans="2:26" x14ac:dyDescent="0.25">
      <c r="B1" s="2" t="s">
        <v>255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256</v>
      </c>
    </row>
    <row r="4" spans="2:26" ht="15.75" thickBot="1" x14ac:dyDescent="0.3">
      <c r="B4" t="s">
        <v>265</v>
      </c>
      <c r="E4" t="s">
        <v>266</v>
      </c>
    </row>
    <row r="5" spans="2:26" ht="30.75" thickBot="1" x14ac:dyDescent="0.3">
      <c r="B5" s="128" t="s">
        <v>148</v>
      </c>
      <c r="C5" s="129" t="s">
        <v>262</v>
      </c>
      <c r="E5" s="121" t="s">
        <v>263</v>
      </c>
      <c r="F5" t="s">
        <v>146</v>
      </c>
      <c r="G5" t="s">
        <v>264</v>
      </c>
    </row>
    <row r="6" spans="2:26" x14ac:dyDescent="0.25">
      <c r="B6" s="122" t="s">
        <v>257</v>
      </c>
      <c r="C6" s="123">
        <v>53</v>
      </c>
      <c r="E6" s="120">
        <v>1</v>
      </c>
      <c r="F6">
        <v>0</v>
      </c>
      <c r="G6">
        <v>1</v>
      </c>
      <c r="J6" s="120"/>
    </row>
    <row r="7" spans="2:26" x14ac:dyDescent="0.25">
      <c r="B7" s="124" t="s">
        <v>258</v>
      </c>
      <c r="C7" s="125">
        <v>79</v>
      </c>
      <c r="E7">
        <v>80</v>
      </c>
      <c r="F7">
        <v>0</v>
      </c>
      <c r="G7">
        <v>0.8</v>
      </c>
      <c r="J7" s="120"/>
    </row>
    <row r="8" spans="2:26" x14ac:dyDescent="0.25">
      <c r="B8" s="124" t="s">
        <v>259</v>
      </c>
      <c r="C8" s="125">
        <v>25</v>
      </c>
      <c r="E8">
        <v>60</v>
      </c>
      <c r="F8">
        <v>0</v>
      </c>
      <c r="G8">
        <v>0.6</v>
      </c>
      <c r="J8" s="120"/>
    </row>
    <row r="9" spans="2:26" x14ac:dyDescent="0.25">
      <c r="B9" s="124" t="s">
        <v>260</v>
      </c>
      <c r="C9" s="125">
        <v>44</v>
      </c>
      <c r="E9">
        <v>40</v>
      </c>
      <c r="F9">
        <v>0</v>
      </c>
      <c r="G9">
        <v>0.4</v>
      </c>
    </row>
    <row r="10" spans="2:26" ht="15.75" thickBot="1" x14ac:dyDescent="0.3">
      <c r="B10" s="126" t="s">
        <v>261</v>
      </c>
      <c r="C10" s="127">
        <v>87</v>
      </c>
      <c r="E10">
        <v>20</v>
      </c>
      <c r="F10" s="59">
        <v>0</v>
      </c>
      <c r="G10">
        <v>0.2</v>
      </c>
      <c r="J10" s="120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76C2-AD3E-423C-82ED-BC84C4082C49}">
  <dimension ref="B1:Z65"/>
  <sheetViews>
    <sheetView zoomScale="85" zoomScaleNormal="85" workbookViewId="0"/>
  </sheetViews>
  <sheetFormatPr defaultRowHeight="15" x14ac:dyDescent="0.25"/>
  <cols>
    <col min="1" max="1" width="0.7109375" customWidth="1"/>
    <col min="2" max="2" width="22" bestFit="1" customWidth="1"/>
    <col min="3" max="3" width="10.5703125" bestFit="1" customWidth="1"/>
    <col min="4" max="4" width="11.5703125" bestFit="1" customWidth="1"/>
    <col min="6" max="6" width="9.140625" customWidth="1"/>
    <col min="8" max="8" width="10.42578125" bestFit="1" customWidth="1"/>
    <col min="11" max="11" width="9.140625" customWidth="1"/>
    <col min="17" max="17" width="22" bestFit="1" customWidth="1"/>
  </cols>
  <sheetData>
    <row r="1" spans="2:26" x14ac:dyDescent="0.25">
      <c r="B1" s="2" t="s">
        <v>291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267</v>
      </c>
    </row>
    <row r="4" spans="2:26" s="59" customFormat="1" x14ac:dyDescent="0.25">
      <c r="B4" s="59" t="s">
        <v>280</v>
      </c>
    </row>
    <row r="5" spans="2:26" s="59" customFormat="1" x14ac:dyDescent="0.25">
      <c r="B5" s="59" t="s">
        <v>268</v>
      </c>
      <c r="C5" s="59" t="s">
        <v>3</v>
      </c>
      <c r="D5" s="59" t="s">
        <v>35</v>
      </c>
      <c r="E5" s="59" t="s">
        <v>37</v>
      </c>
      <c r="F5" s="59" t="s">
        <v>40</v>
      </c>
      <c r="G5" s="59" t="s">
        <v>81</v>
      </c>
      <c r="H5" s="59" t="s">
        <v>287</v>
      </c>
      <c r="I5" s="59" t="s">
        <v>288</v>
      </c>
      <c r="J5" s="59" t="s">
        <v>88</v>
      </c>
      <c r="K5" s="59" t="s">
        <v>89</v>
      </c>
      <c r="L5" s="59" t="s">
        <v>4</v>
      </c>
      <c r="M5" s="59" t="s">
        <v>93</v>
      </c>
      <c r="N5" s="59" t="s">
        <v>289</v>
      </c>
      <c r="O5" s="59" t="s">
        <v>96</v>
      </c>
      <c r="P5" s="59" t="s">
        <v>97</v>
      </c>
      <c r="Q5" s="59" t="s">
        <v>59</v>
      </c>
    </row>
    <row r="6" spans="2:26" s="59" customFormat="1" x14ac:dyDescent="0.25">
      <c r="B6" s="59" t="s">
        <v>269</v>
      </c>
      <c r="C6" s="59" t="e">
        <v>#N/A</v>
      </c>
      <c r="D6" s="59" t="e">
        <v>#N/A</v>
      </c>
      <c r="E6" s="59" t="e">
        <v>#N/A</v>
      </c>
      <c r="F6" s="59" t="e">
        <v>#N/A</v>
      </c>
      <c r="G6" s="59" t="e">
        <v>#N/A</v>
      </c>
      <c r="H6" s="59" t="e">
        <v>#N/A</v>
      </c>
      <c r="I6" s="59" t="e">
        <v>#N/A</v>
      </c>
      <c r="J6" s="59" t="e">
        <v>#N/A</v>
      </c>
      <c r="K6" s="59" t="e">
        <v>#N/A</v>
      </c>
      <c r="L6" s="59">
        <v>1</v>
      </c>
      <c r="M6" s="59" t="e">
        <v>#N/A</v>
      </c>
      <c r="N6" s="59" t="e">
        <v>#N/A</v>
      </c>
      <c r="O6" s="59" t="e">
        <v>#N/A</v>
      </c>
      <c r="P6" s="59" t="e">
        <v>#N/A</v>
      </c>
      <c r="Q6" s="59">
        <v>1</v>
      </c>
    </row>
    <row r="7" spans="2:26" s="59" customFormat="1" x14ac:dyDescent="0.25">
      <c r="B7" s="59" t="s">
        <v>270</v>
      </c>
      <c r="C7" s="59">
        <v>1</v>
      </c>
      <c r="D7" s="59" t="e">
        <v>#N/A</v>
      </c>
      <c r="E7" s="59" t="e">
        <v>#N/A</v>
      </c>
      <c r="F7" s="59" t="e">
        <v>#N/A</v>
      </c>
      <c r="G7" s="59" t="e">
        <v>#N/A</v>
      </c>
      <c r="H7" s="59" t="e">
        <v>#N/A</v>
      </c>
      <c r="I7" s="59" t="e">
        <v>#N/A</v>
      </c>
      <c r="J7" s="59" t="e">
        <v>#N/A</v>
      </c>
      <c r="K7" s="59" t="e">
        <v>#N/A</v>
      </c>
      <c r="L7" s="59" t="e">
        <v>#N/A</v>
      </c>
      <c r="M7" s="59" t="e">
        <v>#N/A</v>
      </c>
      <c r="N7" s="59" t="e">
        <v>#N/A</v>
      </c>
      <c r="O7" s="59" t="e">
        <v>#N/A</v>
      </c>
      <c r="P7" s="59" t="e">
        <v>#N/A</v>
      </c>
      <c r="Q7" s="59">
        <v>1</v>
      </c>
    </row>
    <row r="8" spans="2:26" s="59" customFormat="1" x14ac:dyDescent="0.25">
      <c r="B8" s="59" t="s">
        <v>271</v>
      </c>
      <c r="C8" s="59">
        <v>1</v>
      </c>
      <c r="D8" s="59" t="e">
        <v>#N/A</v>
      </c>
      <c r="E8" s="59" t="e">
        <v>#N/A</v>
      </c>
      <c r="F8" s="59" t="e">
        <v>#N/A</v>
      </c>
      <c r="G8" s="59" t="e">
        <v>#N/A</v>
      </c>
      <c r="H8" s="59" t="e">
        <v>#N/A</v>
      </c>
      <c r="I8" s="59" t="e">
        <v>#N/A</v>
      </c>
      <c r="J8" s="59" t="e">
        <v>#N/A</v>
      </c>
      <c r="K8" s="59" t="e">
        <v>#N/A</v>
      </c>
      <c r="L8" s="59" t="e">
        <v>#N/A</v>
      </c>
      <c r="M8" s="59" t="e">
        <v>#N/A</v>
      </c>
      <c r="N8" s="59" t="e">
        <v>#N/A</v>
      </c>
      <c r="O8" s="59" t="e">
        <v>#N/A</v>
      </c>
      <c r="P8" s="59" t="e">
        <v>#N/A</v>
      </c>
      <c r="Q8" s="59">
        <v>1</v>
      </c>
    </row>
    <row r="9" spans="2:26" s="59" customFormat="1" x14ac:dyDescent="0.25">
      <c r="B9" s="59" t="s">
        <v>272</v>
      </c>
      <c r="C9" s="59" t="e">
        <v>#N/A</v>
      </c>
      <c r="D9" s="59" t="e">
        <v>#N/A</v>
      </c>
      <c r="E9" s="59" t="e">
        <v>#N/A</v>
      </c>
      <c r="F9" s="59" t="e">
        <v>#N/A</v>
      </c>
      <c r="G9" s="59" t="e">
        <v>#N/A</v>
      </c>
      <c r="H9" s="59" t="e">
        <v>#N/A</v>
      </c>
      <c r="I9" s="59" t="e">
        <v>#N/A</v>
      </c>
      <c r="J9" s="59" t="e">
        <v>#N/A</v>
      </c>
      <c r="K9" s="59" t="e">
        <v>#N/A</v>
      </c>
      <c r="L9" s="59" t="e">
        <v>#N/A</v>
      </c>
      <c r="M9" s="59" t="e">
        <v>#N/A</v>
      </c>
      <c r="N9" s="59" t="e">
        <v>#N/A</v>
      </c>
      <c r="O9" s="59">
        <v>1</v>
      </c>
      <c r="P9" s="59">
        <v>1</v>
      </c>
      <c r="Q9" s="59">
        <v>2</v>
      </c>
    </row>
    <row r="10" spans="2:26" s="59" customFormat="1" x14ac:dyDescent="0.25">
      <c r="B10" s="59" t="s">
        <v>273</v>
      </c>
      <c r="C10" s="59" t="e">
        <v>#N/A</v>
      </c>
      <c r="D10" s="59">
        <v>1</v>
      </c>
      <c r="E10" s="59" t="e">
        <v>#N/A</v>
      </c>
      <c r="F10" s="59" t="e">
        <v>#N/A</v>
      </c>
      <c r="G10" s="59" t="e">
        <v>#N/A</v>
      </c>
      <c r="H10" s="59" t="e">
        <v>#N/A</v>
      </c>
      <c r="I10" s="59" t="e">
        <v>#N/A</v>
      </c>
      <c r="J10" s="59" t="e">
        <v>#N/A</v>
      </c>
      <c r="K10" s="59">
        <v>2</v>
      </c>
      <c r="L10" s="59" t="e">
        <v>#N/A</v>
      </c>
      <c r="M10" s="59" t="e">
        <v>#N/A</v>
      </c>
      <c r="N10" s="59" t="e">
        <v>#N/A</v>
      </c>
      <c r="O10" s="59" t="e">
        <v>#N/A</v>
      </c>
      <c r="P10" s="59" t="e">
        <v>#N/A</v>
      </c>
      <c r="Q10" s="59">
        <v>3</v>
      </c>
    </row>
    <row r="11" spans="2:26" s="59" customFormat="1" x14ac:dyDescent="0.25">
      <c r="B11" s="59" t="s">
        <v>274</v>
      </c>
      <c r="C11" s="59" t="e">
        <v>#N/A</v>
      </c>
      <c r="D11" s="59" t="e">
        <v>#N/A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 t="e">
        <v>#N/A</v>
      </c>
      <c r="L11" s="59" t="e">
        <v>#N/A</v>
      </c>
      <c r="M11" s="59">
        <v>1</v>
      </c>
      <c r="N11" s="59">
        <v>1</v>
      </c>
      <c r="O11" s="59" t="e">
        <v>#N/A</v>
      </c>
      <c r="P11" s="59" t="e">
        <v>#N/A</v>
      </c>
      <c r="Q11" s="59">
        <v>8</v>
      </c>
    </row>
    <row r="12" spans="2:26" s="59" customFormat="1" x14ac:dyDescent="0.25"/>
    <row r="13" spans="2:26" ht="15.75" thickBot="1" x14ac:dyDescent="0.3">
      <c r="B13" t="s">
        <v>290</v>
      </c>
      <c r="K13" t="s">
        <v>281</v>
      </c>
      <c r="O13" t="s">
        <v>286</v>
      </c>
    </row>
    <row r="14" spans="2:26" ht="30.75" thickBot="1" x14ac:dyDescent="0.3">
      <c r="B14" s="69" t="s">
        <v>268</v>
      </c>
      <c r="C14" s="139" t="s">
        <v>269</v>
      </c>
      <c r="D14" s="139" t="s">
        <v>270</v>
      </c>
      <c r="E14" s="139" t="s">
        <v>271</v>
      </c>
      <c r="F14" s="139" t="s">
        <v>272</v>
      </c>
      <c r="G14" s="139" t="s">
        <v>273</v>
      </c>
      <c r="H14" s="139" t="s">
        <v>274</v>
      </c>
      <c r="I14" s="69" t="s">
        <v>59</v>
      </c>
      <c r="K14" s="134" t="s">
        <v>279</v>
      </c>
      <c r="L14" t="s">
        <v>282</v>
      </c>
      <c r="M14" t="s">
        <v>2</v>
      </c>
      <c r="N14" t="s">
        <v>283</v>
      </c>
      <c r="O14" t="s">
        <v>282</v>
      </c>
      <c r="P14" t="s">
        <v>284</v>
      </c>
      <c r="Q14" t="s">
        <v>285</v>
      </c>
    </row>
    <row r="15" spans="2:26" ht="15.75" thickTop="1" x14ac:dyDescent="0.25">
      <c r="B15" s="137" t="s">
        <v>275</v>
      </c>
      <c r="C15" s="135">
        <v>0</v>
      </c>
      <c r="D15" s="135">
        <v>0</v>
      </c>
      <c r="E15" s="135">
        <v>0</v>
      </c>
      <c r="F15" s="135">
        <v>1</v>
      </c>
      <c r="G15" s="135">
        <v>3</v>
      </c>
      <c r="H15" s="135">
        <v>5</v>
      </c>
      <c r="I15" s="115">
        <f>SUM(C15:H15)</f>
        <v>9</v>
      </c>
      <c r="K15" s="130"/>
      <c r="L15" s="141">
        <v>1</v>
      </c>
      <c r="M15" cm="1">
        <f t="array" ref="M15">INDEX($I$15:$I$18,$L15)+ROW()*0.0001</f>
        <v>9.0015000000000001</v>
      </c>
      <c r="N15">
        <f>RANK($M15,$M$15:$M$18)</f>
        <v>1</v>
      </c>
      <c r="O15">
        <v>1</v>
      </c>
      <c r="P15">
        <f>MATCH($O15,$N$15:$N$18,0)</f>
        <v>1</v>
      </c>
      <c r="Q15" s="3" t="str" cm="1">
        <f t="array" ref="Q15">INDEX($B$15:$B$18,$P15)</f>
        <v>Under Review</v>
      </c>
      <c r="R15" s="142"/>
    </row>
    <row r="16" spans="2:26" ht="15.75" thickBot="1" x14ac:dyDescent="0.3">
      <c r="B16" s="137" t="s">
        <v>276</v>
      </c>
      <c r="C16" s="135">
        <v>1</v>
      </c>
      <c r="D16" s="135">
        <v>0</v>
      </c>
      <c r="E16" s="135">
        <v>1</v>
      </c>
      <c r="F16" s="135">
        <v>1</v>
      </c>
      <c r="G16" s="135">
        <v>0</v>
      </c>
      <c r="H16" s="135">
        <v>0</v>
      </c>
      <c r="I16" s="115">
        <f t="shared" ref="I16:I18" si="0">SUM(C16:H16)</f>
        <v>3</v>
      </c>
      <c r="K16" s="131"/>
      <c r="L16" s="141">
        <v>2</v>
      </c>
      <c r="M16" cm="1">
        <f t="array" ref="M16">INDEX($I$15:$I$18,$L16)+ROW()*0.0001</f>
        <v>3.0015999999999998</v>
      </c>
      <c r="N16">
        <f t="shared" ref="N16:N18" si="1">RANK($M16,$M$15:$M$18)</f>
        <v>3</v>
      </c>
      <c r="O16">
        <f>O15</f>
        <v>1</v>
      </c>
      <c r="P16">
        <f t="shared" ref="P16:P22" si="2">MATCH($O16,$N$15:$N$18,0)</f>
        <v>1</v>
      </c>
      <c r="Q16" s="3" cm="1">
        <f t="array" ref="Q16">INDEX($I$15:$I$18,$P16)</f>
        <v>9</v>
      </c>
      <c r="R16" s="143"/>
    </row>
    <row r="17" spans="2:18" ht="15.75" thickTop="1" x14ac:dyDescent="0.25">
      <c r="B17" s="137" t="s">
        <v>277</v>
      </c>
      <c r="C17" s="135">
        <v>0</v>
      </c>
      <c r="D17" s="135">
        <v>1</v>
      </c>
      <c r="E17" s="135">
        <v>0</v>
      </c>
      <c r="F17" s="135">
        <v>0</v>
      </c>
      <c r="G17" s="135">
        <v>0</v>
      </c>
      <c r="H17" s="135">
        <v>0</v>
      </c>
      <c r="I17" s="115">
        <f t="shared" si="0"/>
        <v>1</v>
      </c>
      <c r="K17" s="132"/>
      <c r="L17" s="141">
        <v>3</v>
      </c>
      <c r="M17" cm="1">
        <f t="array" ref="M17">INDEX($I$15:$I$18,$L17)+ROW()*0.0001</f>
        <v>1.0017</v>
      </c>
      <c r="N17">
        <f t="shared" si="1"/>
        <v>4</v>
      </c>
      <c r="O17">
        <f>O16+1</f>
        <v>2</v>
      </c>
      <c r="P17">
        <f t="shared" si="2"/>
        <v>4</v>
      </c>
      <c r="Q17" s="3" t="str" cm="1">
        <f t="array" ref="Q17">INDEX($B$15:$B$18,$P17)</f>
        <v>Cancelled</v>
      </c>
      <c r="R17" s="142"/>
    </row>
    <row r="18" spans="2:18" ht="15.75" thickBot="1" x14ac:dyDescent="0.3">
      <c r="B18" s="138" t="s">
        <v>278</v>
      </c>
      <c r="C18" s="136">
        <v>0</v>
      </c>
      <c r="D18" s="136">
        <v>0</v>
      </c>
      <c r="E18" s="136">
        <v>0</v>
      </c>
      <c r="F18" s="136">
        <v>0</v>
      </c>
      <c r="G18" s="136">
        <v>0</v>
      </c>
      <c r="H18" s="136">
        <v>3</v>
      </c>
      <c r="I18" s="90">
        <f t="shared" si="0"/>
        <v>3</v>
      </c>
      <c r="K18" s="133"/>
      <c r="L18" s="141">
        <v>4</v>
      </c>
      <c r="M18" cm="1">
        <f t="array" ref="M18">INDEX($I$15:$I$18,$L18)+ROW()*0.0001</f>
        <v>3.0017999999999998</v>
      </c>
      <c r="N18">
        <f t="shared" si="1"/>
        <v>2</v>
      </c>
      <c r="O18" s="59">
        <f t="shared" ref="O18" si="3">O17</f>
        <v>2</v>
      </c>
      <c r="P18">
        <f t="shared" si="2"/>
        <v>4</v>
      </c>
      <c r="Q18" s="3" cm="1">
        <f t="array" ref="Q18">INDEX($I$15:$I$18,$P18)</f>
        <v>3</v>
      </c>
      <c r="R18" s="143"/>
    </row>
    <row r="19" spans="2:18" ht="16.5" thickTop="1" thickBot="1" x14ac:dyDescent="0.3">
      <c r="B19" s="24" t="s">
        <v>59</v>
      </c>
      <c r="C19" s="140">
        <f>SUM(C15:C18)</f>
        <v>1</v>
      </c>
      <c r="D19" s="140">
        <f t="shared" ref="D19:I19" si="4">SUM(D15:D18)</f>
        <v>1</v>
      </c>
      <c r="E19" s="140">
        <f t="shared" si="4"/>
        <v>1</v>
      </c>
      <c r="F19" s="140">
        <f t="shared" si="4"/>
        <v>2</v>
      </c>
      <c r="G19" s="140">
        <f t="shared" si="4"/>
        <v>3</v>
      </c>
      <c r="H19" s="140">
        <f t="shared" si="4"/>
        <v>8</v>
      </c>
      <c r="I19" s="97">
        <f t="shared" si="4"/>
        <v>16</v>
      </c>
      <c r="O19" s="59">
        <f t="shared" ref="O19" si="5">O18+1</f>
        <v>3</v>
      </c>
      <c r="P19">
        <f t="shared" si="2"/>
        <v>2</v>
      </c>
      <c r="Q19" s="3" t="str" cm="1">
        <f t="array" ref="Q19">INDEX($B$15:$B$18,$P19)</f>
        <v>Approved to Procure</v>
      </c>
      <c r="R19" s="142"/>
    </row>
    <row r="20" spans="2:18" ht="15.75" thickBot="1" x14ac:dyDescent="0.3">
      <c r="O20" s="59">
        <f t="shared" ref="O20" si="6">O19</f>
        <v>3</v>
      </c>
      <c r="P20">
        <f t="shared" si="2"/>
        <v>2</v>
      </c>
      <c r="Q20" s="3" cm="1">
        <f t="array" ref="Q20">INDEX($I$15:$I$18,$P20)</f>
        <v>3</v>
      </c>
      <c r="R20" s="143"/>
    </row>
    <row r="21" spans="2:18" ht="15.75" thickTop="1" x14ac:dyDescent="0.25">
      <c r="B21" s="144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6"/>
      <c r="O21" s="59">
        <f t="shared" ref="O21" si="7">O20+1</f>
        <v>4</v>
      </c>
      <c r="P21">
        <f t="shared" si="2"/>
        <v>3</v>
      </c>
      <c r="Q21" s="3" t="str" cm="1">
        <f t="array" ref="Q21">INDEX($B$15:$B$18,$P21)</f>
        <v>Deployment Complete</v>
      </c>
      <c r="R21" s="142"/>
    </row>
    <row r="22" spans="2:18" ht="15.75" thickBot="1" x14ac:dyDescent="0.3">
      <c r="B22" s="147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9"/>
      <c r="O22" s="59">
        <f t="shared" ref="O22" si="8">O21</f>
        <v>4</v>
      </c>
      <c r="P22">
        <f t="shared" si="2"/>
        <v>3</v>
      </c>
      <c r="Q22" s="3" cm="1">
        <f t="array" ref="Q22">INDEX($I$15:$I$18,$P22)</f>
        <v>1</v>
      </c>
      <c r="R22" s="143"/>
    </row>
    <row r="23" spans="2:18" ht="15.75" thickTop="1" x14ac:dyDescent="0.25">
      <c r="B23" s="147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9"/>
      <c r="O23" s="59"/>
    </row>
    <row r="24" spans="2:18" x14ac:dyDescent="0.25">
      <c r="B24" s="147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9"/>
    </row>
    <row r="25" spans="2:18" x14ac:dyDescent="0.25"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9"/>
    </row>
    <row r="26" spans="2:18" ht="15.75" thickBot="1" x14ac:dyDescent="0.3">
      <c r="B26" s="147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9"/>
    </row>
    <row r="27" spans="2:18" ht="15.75" thickTop="1" x14ac:dyDescent="0.25">
      <c r="B27" s="147"/>
      <c r="C27" s="148"/>
      <c r="D27" s="148"/>
      <c r="E27" s="148"/>
      <c r="F27" s="148"/>
      <c r="G27" s="148"/>
      <c r="H27" s="148"/>
      <c r="I27" s="148"/>
      <c r="J27" s="148"/>
      <c r="K27" s="150"/>
      <c r="L27" s="148" t="str">
        <f>Q15</f>
        <v>Under Review</v>
      </c>
      <c r="M27" s="148"/>
      <c r="N27" s="149"/>
    </row>
    <row r="28" spans="2:18" ht="15.75" thickBot="1" x14ac:dyDescent="0.3">
      <c r="B28" s="147"/>
      <c r="C28" s="148"/>
      <c r="D28" s="148"/>
      <c r="E28" s="148"/>
      <c r="F28" s="148"/>
      <c r="G28" s="148"/>
      <c r="H28" s="148"/>
      <c r="I28" s="148"/>
      <c r="J28" s="148"/>
      <c r="K28" s="151"/>
      <c r="L28" s="148" t="str">
        <f>Q16&amp;" CAPREQ JIRA's"</f>
        <v>9 CAPREQ JIRA's</v>
      </c>
      <c r="M28" s="148"/>
      <c r="N28" s="149"/>
    </row>
    <row r="29" spans="2:18" ht="15.75" thickTop="1" x14ac:dyDescent="0.25">
      <c r="B29" s="147"/>
      <c r="C29" s="148"/>
      <c r="D29" s="148"/>
      <c r="E29" s="148"/>
      <c r="F29" s="148"/>
      <c r="G29" s="148"/>
      <c r="H29" s="148"/>
      <c r="I29" s="148"/>
      <c r="J29" s="148"/>
      <c r="K29" s="150"/>
      <c r="L29" s="148" t="str">
        <f>Q17</f>
        <v>Cancelled</v>
      </c>
      <c r="M29" s="148"/>
      <c r="N29" s="149"/>
    </row>
    <row r="30" spans="2:18" ht="15.75" thickBot="1" x14ac:dyDescent="0.3">
      <c r="B30" s="147"/>
      <c r="C30" s="148"/>
      <c r="D30" s="148"/>
      <c r="E30" s="148"/>
      <c r="F30" s="148"/>
      <c r="G30" s="148"/>
      <c r="H30" s="148"/>
      <c r="I30" s="148"/>
      <c r="J30" s="148"/>
      <c r="K30" s="151"/>
      <c r="L30" s="148" t="str">
        <f>Q18&amp;" CAPREQ JIRA's"</f>
        <v>3 CAPREQ JIRA's</v>
      </c>
      <c r="M30" s="148"/>
      <c r="N30" s="149"/>
    </row>
    <row r="31" spans="2:18" ht="15.75" thickTop="1" x14ac:dyDescent="0.25">
      <c r="B31" s="147"/>
      <c r="C31" s="148"/>
      <c r="D31" s="148"/>
      <c r="E31" s="148"/>
      <c r="F31" s="148"/>
      <c r="G31" s="148"/>
      <c r="H31" s="148"/>
      <c r="I31" s="148"/>
      <c r="J31" s="148"/>
      <c r="K31" s="150"/>
      <c r="L31" s="148" t="str">
        <f>Q19</f>
        <v>Approved to Procure</v>
      </c>
      <c r="M31" s="148"/>
      <c r="N31" s="149"/>
    </row>
    <row r="32" spans="2:18" ht="15.75" thickBot="1" x14ac:dyDescent="0.3">
      <c r="B32" s="147"/>
      <c r="C32" s="148"/>
      <c r="D32" s="148"/>
      <c r="E32" s="148"/>
      <c r="F32" s="148"/>
      <c r="G32" s="148"/>
      <c r="H32" s="148"/>
      <c r="I32" s="148"/>
      <c r="J32" s="148"/>
      <c r="K32" s="151"/>
      <c r="L32" s="148" t="str">
        <f>Q20&amp;" CAPREQ JIRA's"</f>
        <v>3 CAPREQ JIRA's</v>
      </c>
      <c r="M32" s="148"/>
      <c r="N32" s="149"/>
    </row>
    <row r="33" spans="2:14" ht="15.75" thickTop="1" x14ac:dyDescent="0.25">
      <c r="B33" s="147"/>
      <c r="C33" s="148"/>
      <c r="D33" s="148"/>
      <c r="E33" s="148"/>
      <c r="F33" s="148"/>
      <c r="G33" s="148"/>
      <c r="H33" s="148"/>
      <c r="I33" s="148"/>
      <c r="J33" s="148"/>
      <c r="K33" s="150"/>
      <c r="L33" s="148" t="str">
        <f>Q21</f>
        <v>Deployment Complete</v>
      </c>
      <c r="M33" s="148"/>
      <c r="N33" s="149"/>
    </row>
    <row r="34" spans="2:14" ht="15.75" thickBot="1" x14ac:dyDescent="0.3">
      <c r="B34" s="147"/>
      <c r="C34" s="148"/>
      <c r="D34" s="148"/>
      <c r="E34" s="148"/>
      <c r="F34" s="148"/>
      <c r="G34" s="148"/>
      <c r="H34" s="148"/>
      <c r="I34" s="148"/>
      <c r="J34" s="148"/>
      <c r="K34" s="151"/>
      <c r="L34" s="148" t="str">
        <f>Q22&amp;" CAPREQ JIRA's"</f>
        <v>1 CAPREQ JIRA's</v>
      </c>
      <c r="M34" s="148"/>
      <c r="N34" s="149"/>
    </row>
    <row r="35" spans="2:14" ht="15.75" thickTop="1" x14ac:dyDescent="0.25">
      <c r="B35" s="147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9"/>
    </row>
    <row r="36" spans="2:14" x14ac:dyDescent="0.25">
      <c r="B36" s="147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9"/>
    </row>
    <row r="37" spans="2:14" x14ac:dyDescent="0.25">
      <c r="B37" s="147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9"/>
    </row>
    <row r="38" spans="2:14" x14ac:dyDescent="0.25">
      <c r="B38" s="147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9"/>
    </row>
    <row r="39" spans="2:14" x14ac:dyDescent="0.25">
      <c r="B39" s="147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9"/>
    </row>
    <row r="40" spans="2:14" x14ac:dyDescent="0.25">
      <c r="B40" s="147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9"/>
    </row>
    <row r="41" spans="2:14" x14ac:dyDescent="0.25">
      <c r="B41" s="147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9"/>
    </row>
    <row r="42" spans="2:14" x14ac:dyDescent="0.25">
      <c r="B42" s="152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4"/>
    </row>
    <row r="44" spans="2:14" x14ac:dyDescent="0.25">
      <c r="B44" s="144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6"/>
    </row>
    <row r="45" spans="2:14" x14ac:dyDescent="0.25">
      <c r="B45" s="147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9"/>
    </row>
    <row r="46" spans="2:14" x14ac:dyDescent="0.25">
      <c r="B46" s="147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9"/>
    </row>
    <row r="47" spans="2:14" x14ac:dyDescent="0.25">
      <c r="B47" s="147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9"/>
    </row>
    <row r="48" spans="2:14" x14ac:dyDescent="0.25">
      <c r="B48" s="147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9"/>
    </row>
    <row r="49" spans="2:14" ht="15.75" thickBot="1" x14ac:dyDescent="0.3">
      <c r="B49" s="147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9"/>
    </row>
    <row r="50" spans="2:14" ht="15.75" thickTop="1" x14ac:dyDescent="0.25">
      <c r="B50" s="147"/>
      <c r="C50" s="148"/>
      <c r="D50" s="148"/>
      <c r="E50" s="148"/>
      <c r="F50" s="148"/>
      <c r="G50" s="148"/>
      <c r="H50" s="148"/>
      <c r="I50" s="148"/>
      <c r="J50" s="148"/>
      <c r="K50" s="150"/>
      <c r="L50" s="148" t="str">
        <f>Q15</f>
        <v>Under Review</v>
      </c>
      <c r="M50" s="148"/>
      <c r="N50" s="149"/>
    </row>
    <row r="51" spans="2:14" ht="15.75" thickBot="1" x14ac:dyDescent="0.3">
      <c r="B51" s="147"/>
      <c r="C51" s="148"/>
      <c r="D51" s="148"/>
      <c r="E51" s="148"/>
      <c r="F51" s="148"/>
      <c r="G51" s="148"/>
      <c r="H51" s="148"/>
      <c r="I51" s="148"/>
      <c r="J51" s="148"/>
      <c r="K51" s="151"/>
      <c r="L51" s="148">
        <f t="shared" ref="L51:L57" si="9">Q16</f>
        <v>9</v>
      </c>
      <c r="M51" s="148"/>
      <c r="N51" s="149"/>
    </row>
    <row r="52" spans="2:14" ht="15.75" thickTop="1" x14ac:dyDescent="0.25">
      <c r="B52" s="147"/>
      <c r="C52" s="148"/>
      <c r="D52" s="148"/>
      <c r="E52" s="148"/>
      <c r="F52" s="148"/>
      <c r="G52" s="148"/>
      <c r="H52" s="148"/>
      <c r="I52" s="148"/>
      <c r="J52" s="148"/>
      <c r="K52" s="150"/>
      <c r="L52" s="148" t="str">
        <f t="shared" si="9"/>
        <v>Cancelled</v>
      </c>
      <c r="M52" s="148"/>
      <c r="N52" s="149"/>
    </row>
    <row r="53" spans="2:14" ht="15.75" thickBot="1" x14ac:dyDescent="0.3">
      <c r="B53" s="147"/>
      <c r="C53" s="148"/>
      <c r="D53" s="148"/>
      <c r="E53" s="148"/>
      <c r="F53" s="148"/>
      <c r="G53" s="148"/>
      <c r="H53" s="148"/>
      <c r="I53" s="148"/>
      <c r="J53" s="148"/>
      <c r="K53" s="151"/>
      <c r="L53" s="148">
        <f t="shared" si="9"/>
        <v>3</v>
      </c>
      <c r="M53" s="148"/>
      <c r="N53" s="149"/>
    </row>
    <row r="54" spans="2:14" ht="15.75" thickTop="1" x14ac:dyDescent="0.25">
      <c r="B54" s="147"/>
      <c r="C54" s="148"/>
      <c r="D54" s="148"/>
      <c r="E54" s="148"/>
      <c r="F54" s="148"/>
      <c r="G54" s="148"/>
      <c r="H54" s="148"/>
      <c r="I54" s="148"/>
      <c r="J54" s="148"/>
      <c r="K54" s="150"/>
      <c r="L54" s="148" t="str">
        <f t="shared" si="9"/>
        <v>Approved to Procure</v>
      </c>
      <c r="M54" s="148"/>
      <c r="N54" s="149"/>
    </row>
    <row r="55" spans="2:14" ht="15.75" thickBot="1" x14ac:dyDescent="0.3">
      <c r="B55" s="147"/>
      <c r="C55" s="148"/>
      <c r="D55" s="148"/>
      <c r="E55" s="148"/>
      <c r="F55" s="148"/>
      <c r="G55" s="148"/>
      <c r="H55" s="148"/>
      <c r="I55" s="148"/>
      <c r="J55" s="148"/>
      <c r="K55" s="151"/>
      <c r="L55" s="148">
        <f t="shared" si="9"/>
        <v>3</v>
      </c>
      <c r="M55" s="148"/>
      <c r="N55" s="149"/>
    </row>
    <row r="56" spans="2:14" ht="15.75" thickTop="1" x14ac:dyDescent="0.25">
      <c r="B56" s="147"/>
      <c r="C56" s="148"/>
      <c r="D56" s="148"/>
      <c r="E56" s="148"/>
      <c r="F56" s="148"/>
      <c r="G56" s="148"/>
      <c r="H56" s="148"/>
      <c r="I56" s="148"/>
      <c r="J56" s="148"/>
      <c r="K56" s="150"/>
      <c r="L56" s="148" t="str">
        <f t="shared" si="9"/>
        <v>Deployment Complete</v>
      </c>
      <c r="M56" s="148"/>
      <c r="N56" s="149"/>
    </row>
    <row r="57" spans="2:14" ht="15.75" thickBot="1" x14ac:dyDescent="0.3">
      <c r="B57" s="147"/>
      <c r="C57" s="148"/>
      <c r="D57" s="148"/>
      <c r="E57" s="148"/>
      <c r="F57" s="148"/>
      <c r="G57" s="148"/>
      <c r="H57" s="148"/>
      <c r="I57" s="148"/>
      <c r="J57" s="148"/>
      <c r="K57" s="151"/>
      <c r="L57" s="148">
        <f t="shared" si="9"/>
        <v>1</v>
      </c>
      <c r="M57" s="148"/>
      <c r="N57" s="149"/>
    </row>
    <row r="58" spans="2:14" ht="15.75" thickTop="1" x14ac:dyDescent="0.25">
      <c r="B58" s="147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9"/>
    </row>
    <row r="59" spans="2:14" x14ac:dyDescent="0.25">
      <c r="B59" s="147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9"/>
    </row>
    <row r="60" spans="2:14" x14ac:dyDescent="0.25">
      <c r="B60" s="147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9"/>
    </row>
    <row r="61" spans="2:14" x14ac:dyDescent="0.25">
      <c r="B61" s="147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9"/>
    </row>
    <row r="62" spans="2:14" x14ac:dyDescent="0.25">
      <c r="B62" s="147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9"/>
    </row>
    <row r="63" spans="2:14" x14ac:dyDescent="0.25">
      <c r="B63" s="147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9"/>
    </row>
    <row r="64" spans="2:14" x14ac:dyDescent="0.25">
      <c r="B64" s="147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9"/>
    </row>
    <row r="65" spans="2:14" x14ac:dyDescent="0.25">
      <c r="B65" s="152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4"/>
    </row>
  </sheetData>
  <conditionalFormatting sqref="R15:R22">
    <cfRule type="expression" dxfId="11" priority="9">
      <formula>$P15=4</formula>
    </cfRule>
    <cfRule type="expression" dxfId="10" priority="10">
      <formula>$P15=3</formula>
    </cfRule>
    <cfRule type="expression" dxfId="9" priority="11">
      <formula>$P15=2</formula>
    </cfRule>
    <cfRule type="expression" dxfId="8" priority="12">
      <formula>$P15=1</formula>
    </cfRule>
  </conditionalFormatting>
  <conditionalFormatting sqref="K27:K34">
    <cfRule type="expression" dxfId="7" priority="5">
      <formula>$P15=4</formula>
    </cfRule>
    <cfRule type="expression" dxfId="6" priority="6">
      <formula>$P15=3</formula>
    </cfRule>
    <cfRule type="expression" dxfId="5" priority="7">
      <formula>$P15=2</formula>
    </cfRule>
    <cfRule type="expression" dxfId="4" priority="8">
      <formula>$P15=1</formula>
    </cfRule>
  </conditionalFormatting>
  <conditionalFormatting sqref="K50:K57">
    <cfRule type="expression" dxfId="3" priority="1">
      <formula>$P15=4</formula>
    </cfRule>
    <cfRule type="expression" dxfId="2" priority="2">
      <formula>$P15=3</formula>
    </cfRule>
    <cfRule type="expression" dxfId="1" priority="3">
      <formula>$P15=2</formula>
    </cfRule>
    <cfRule type="expression" dxfId="0" priority="4">
      <formula>$P15=1</formula>
    </cfRule>
  </conditionalFormatting>
  <pageMargins left="0.7" right="0.7" top="0.75" bottom="0.75" header="0.3" footer="0.3"/>
  <pageSetup orientation="portrait" horizontalDpi="4294967293" verticalDpi="4294967293" r:id="rId1"/>
  <ignoredErrors>
    <ignoredError sqref="O17:O22 Q16:Q22 L28:L34" formula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8734-B21A-4373-8028-9C672AD1C51D}">
  <dimension ref="B1:Z15"/>
  <sheetViews>
    <sheetView zoomScale="85" zoomScaleNormal="85" workbookViewId="0"/>
  </sheetViews>
  <sheetFormatPr defaultRowHeight="15" x14ac:dyDescent="0.25"/>
  <cols>
    <col min="1" max="1" width="0.7109375" customWidth="1"/>
    <col min="3" max="3" width="10.28515625" bestFit="1" customWidth="1"/>
  </cols>
  <sheetData>
    <row r="1" spans="2:26" x14ac:dyDescent="0.25">
      <c r="B1" s="2" t="s">
        <v>299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x14ac:dyDescent="0.25">
      <c r="B2" s="92" t="s">
        <v>298</v>
      </c>
    </row>
    <row r="4" spans="2:26" s="59" customFormat="1" ht="15.75" thickBot="1" x14ac:dyDescent="0.3">
      <c r="B4" s="59" t="s">
        <v>303</v>
      </c>
      <c r="F4" s="59" t="s">
        <v>304</v>
      </c>
      <c r="J4" s="59" t="s">
        <v>305</v>
      </c>
      <c r="Q4" t="s">
        <v>300</v>
      </c>
      <c r="R4" t="s">
        <v>301</v>
      </c>
      <c r="S4" t="s">
        <v>302</v>
      </c>
    </row>
    <row r="5" spans="2:26" ht="15.75" thickBot="1" x14ac:dyDescent="0.3">
      <c r="B5" s="157" t="s">
        <v>148</v>
      </c>
      <c r="C5" s="89" t="s">
        <v>296</v>
      </c>
      <c r="D5" t="s">
        <v>297</v>
      </c>
      <c r="F5" t="s">
        <v>300</v>
      </c>
      <c r="G5" t="s">
        <v>301</v>
      </c>
      <c r="H5" t="s">
        <v>302</v>
      </c>
      <c r="J5" t="s">
        <v>306</v>
      </c>
      <c r="K5" t="s">
        <v>307</v>
      </c>
      <c r="L5" t="s">
        <v>308</v>
      </c>
      <c r="N5" t="s">
        <v>152</v>
      </c>
      <c r="O5">
        <v>1200</v>
      </c>
      <c r="Q5">
        <v>0</v>
      </c>
      <c r="R5">
        <v>0</v>
      </c>
      <c r="S5">
        <v>0</v>
      </c>
    </row>
    <row r="6" spans="2:26" x14ac:dyDescent="0.25">
      <c r="B6" s="124" t="s">
        <v>257</v>
      </c>
      <c r="C6" s="155">
        <v>1095</v>
      </c>
      <c r="D6" s="158">
        <v>895</v>
      </c>
      <c r="E6" t="s">
        <v>310</v>
      </c>
      <c r="F6">
        <v>0</v>
      </c>
      <c r="G6">
        <v>0</v>
      </c>
      <c r="H6">
        <v>0</v>
      </c>
      <c r="J6">
        <f>IF($C6&gt;$O$7,$O$7,$C6)</f>
        <v>600</v>
      </c>
      <c r="K6">
        <f>IF($C6&gt;$O$7,100,NA())</f>
        <v>100</v>
      </c>
      <c r="L6">
        <f>IF($C6&gt;$O$7,$C6-$O$6-1,NA())</f>
        <v>194</v>
      </c>
      <c r="N6" t="s">
        <v>309</v>
      </c>
      <c r="O6">
        <v>900</v>
      </c>
      <c r="Q6">
        <v>0</v>
      </c>
      <c r="R6">
        <v>100</v>
      </c>
      <c r="S6">
        <v>100</v>
      </c>
    </row>
    <row r="7" spans="2:26" x14ac:dyDescent="0.25">
      <c r="B7" s="124" t="s">
        <v>258</v>
      </c>
      <c r="C7" s="155">
        <v>448</v>
      </c>
      <c r="D7">
        <f t="shared" ref="D7:D14" si="0">IF(LARGE($C$6:$C$14,1)&lt;&gt;$C7,$C7,LARGE($C$6:$C$14,2)*2)</f>
        <v>448</v>
      </c>
      <c r="F7">
        <v>0</v>
      </c>
      <c r="G7">
        <v>100</v>
      </c>
      <c r="H7">
        <v>100</v>
      </c>
      <c r="J7">
        <f t="shared" ref="J7:J14" si="1">IF($C7&gt;$O$7,$O$7,$C7)</f>
        <v>448</v>
      </c>
      <c r="K7" t="e">
        <f t="shared" ref="K7:K14" si="2">IF($C7&gt;$O$7,100,NA())</f>
        <v>#N/A</v>
      </c>
      <c r="L7" t="e">
        <f t="shared" ref="L7:L14" si="3">IF($C7&gt;$O$7,$C7-$O$6-1,NA())</f>
        <v>#N/A</v>
      </c>
      <c r="N7" t="s">
        <v>307</v>
      </c>
      <c r="O7">
        <v>600</v>
      </c>
      <c r="Q7">
        <v>0</v>
      </c>
      <c r="R7">
        <v>200</v>
      </c>
      <c r="S7">
        <v>200</v>
      </c>
    </row>
    <row r="8" spans="2:26" x14ac:dyDescent="0.25">
      <c r="B8" s="124" t="s">
        <v>259</v>
      </c>
      <c r="C8" s="155">
        <v>116</v>
      </c>
      <c r="D8">
        <f t="shared" si="0"/>
        <v>116</v>
      </c>
      <c r="F8">
        <v>0</v>
      </c>
      <c r="G8">
        <v>200</v>
      </c>
      <c r="H8">
        <v>200</v>
      </c>
      <c r="J8">
        <f t="shared" si="1"/>
        <v>116</v>
      </c>
      <c r="K8" t="e">
        <f t="shared" si="2"/>
        <v>#N/A</v>
      </c>
      <c r="L8" t="e">
        <f t="shared" si="3"/>
        <v>#N/A</v>
      </c>
      <c r="N8" t="s">
        <v>176</v>
      </c>
      <c r="O8">
        <v>0</v>
      </c>
      <c r="Q8">
        <v>0</v>
      </c>
      <c r="R8">
        <v>300</v>
      </c>
      <c r="S8">
        <v>300</v>
      </c>
    </row>
    <row r="9" spans="2:26" x14ac:dyDescent="0.25">
      <c r="B9" s="124" t="s">
        <v>292</v>
      </c>
      <c r="C9" s="155">
        <v>62</v>
      </c>
      <c r="D9">
        <f t="shared" si="0"/>
        <v>62</v>
      </c>
      <c r="F9">
        <v>0</v>
      </c>
      <c r="G9">
        <v>300</v>
      </c>
      <c r="H9">
        <v>300</v>
      </c>
      <c r="J9">
        <f t="shared" si="1"/>
        <v>62</v>
      </c>
      <c r="K9" t="e">
        <f t="shared" si="2"/>
        <v>#N/A</v>
      </c>
      <c r="L9" t="e">
        <f t="shared" si="3"/>
        <v>#N/A</v>
      </c>
      <c r="Q9">
        <v>0</v>
      </c>
      <c r="R9">
        <v>400</v>
      </c>
      <c r="S9">
        <v>400</v>
      </c>
    </row>
    <row r="10" spans="2:26" x14ac:dyDescent="0.25">
      <c r="B10" s="124" t="s">
        <v>293</v>
      </c>
      <c r="C10" s="155">
        <v>150</v>
      </c>
      <c r="D10">
        <f t="shared" si="0"/>
        <v>150</v>
      </c>
      <c r="F10">
        <v>0</v>
      </c>
      <c r="G10">
        <v>400</v>
      </c>
      <c r="H10">
        <v>400</v>
      </c>
      <c r="J10">
        <f t="shared" si="1"/>
        <v>150</v>
      </c>
      <c r="K10" t="e">
        <f t="shared" si="2"/>
        <v>#N/A</v>
      </c>
      <c r="L10" t="e">
        <f t="shared" si="3"/>
        <v>#N/A</v>
      </c>
      <c r="Q10">
        <v>0</v>
      </c>
      <c r="R10">
        <v>500</v>
      </c>
      <c r="S10">
        <v>500</v>
      </c>
    </row>
    <row r="11" spans="2:26" x14ac:dyDescent="0.25">
      <c r="B11" s="124" t="s">
        <v>294</v>
      </c>
      <c r="C11" s="155">
        <v>106</v>
      </c>
      <c r="D11">
        <f t="shared" si="0"/>
        <v>106</v>
      </c>
      <c r="F11">
        <v>0</v>
      </c>
      <c r="G11">
        <v>500</v>
      </c>
      <c r="H11">
        <v>500</v>
      </c>
      <c r="J11">
        <f t="shared" si="1"/>
        <v>106</v>
      </c>
      <c r="K11" t="e">
        <f t="shared" si="2"/>
        <v>#N/A</v>
      </c>
      <c r="L11" t="e">
        <f t="shared" si="3"/>
        <v>#N/A</v>
      </c>
      <c r="Q11">
        <v>0</v>
      </c>
      <c r="R11">
        <v>600</v>
      </c>
      <c r="S11">
        <v>600</v>
      </c>
    </row>
    <row r="12" spans="2:26" x14ac:dyDescent="0.25">
      <c r="B12" s="124" t="s">
        <v>260</v>
      </c>
      <c r="C12" s="155">
        <v>204</v>
      </c>
      <c r="D12">
        <f t="shared" si="0"/>
        <v>204</v>
      </c>
      <c r="F12">
        <v>0</v>
      </c>
      <c r="G12">
        <v>600</v>
      </c>
      <c r="H12">
        <v>600</v>
      </c>
      <c r="J12">
        <f t="shared" si="1"/>
        <v>204</v>
      </c>
      <c r="K12" t="e">
        <f t="shared" si="2"/>
        <v>#N/A</v>
      </c>
      <c r="L12" t="e">
        <f t="shared" si="3"/>
        <v>#N/A</v>
      </c>
      <c r="Q12">
        <v>0.25</v>
      </c>
      <c r="R12">
        <v>650</v>
      </c>
    </row>
    <row r="13" spans="2:26" x14ac:dyDescent="0.25">
      <c r="B13" s="124" t="s">
        <v>295</v>
      </c>
      <c r="C13" s="155">
        <v>95</v>
      </c>
      <c r="D13">
        <f t="shared" si="0"/>
        <v>95</v>
      </c>
      <c r="F13">
        <v>0</v>
      </c>
      <c r="G13">
        <v>700</v>
      </c>
      <c r="H13">
        <v>900</v>
      </c>
      <c r="J13">
        <f t="shared" si="1"/>
        <v>95</v>
      </c>
      <c r="K13" t="e">
        <f t="shared" si="2"/>
        <v>#N/A</v>
      </c>
      <c r="L13" t="e">
        <f t="shared" si="3"/>
        <v>#N/A</v>
      </c>
      <c r="Q13">
        <v>0</v>
      </c>
      <c r="R13">
        <v>700</v>
      </c>
      <c r="S13">
        <v>900</v>
      </c>
    </row>
    <row r="14" spans="2:26" ht="15.75" thickBot="1" x14ac:dyDescent="0.3">
      <c r="B14" s="126" t="s">
        <v>261</v>
      </c>
      <c r="C14" s="156">
        <v>550</v>
      </c>
      <c r="D14">
        <f t="shared" si="0"/>
        <v>550</v>
      </c>
      <c r="F14">
        <v>0</v>
      </c>
      <c r="G14">
        <v>800</v>
      </c>
      <c r="H14">
        <v>1000</v>
      </c>
      <c r="J14">
        <f t="shared" si="1"/>
        <v>550</v>
      </c>
      <c r="K14" t="e">
        <f t="shared" si="2"/>
        <v>#N/A</v>
      </c>
      <c r="L14" t="e">
        <f t="shared" si="3"/>
        <v>#N/A</v>
      </c>
      <c r="Q14">
        <v>0</v>
      </c>
      <c r="R14">
        <v>800</v>
      </c>
      <c r="S14">
        <v>1000</v>
      </c>
    </row>
    <row r="15" spans="2:26" x14ac:dyDescent="0.25">
      <c r="F15">
        <v>0</v>
      </c>
      <c r="G15">
        <v>900</v>
      </c>
      <c r="H15">
        <v>1200</v>
      </c>
      <c r="Q15">
        <v>0</v>
      </c>
      <c r="R15">
        <v>900</v>
      </c>
      <c r="S15">
        <v>1100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B6E-FB30-47DC-825B-5A70FAAD5C58}">
  <dimension ref="B1:Z49"/>
  <sheetViews>
    <sheetView zoomScale="85" zoomScaleNormal="85" workbookViewId="0"/>
  </sheetViews>
  <sheetFormatPr defaultRowHeight="15" x14ac:dyDescent="0.25"/>
  <cols>
    <col min="1" max="1" width="0.7109375" customWidth="1"/>
    <col min="3" max="3" width="15.7109375" bestFit="1" customWidth="1"/>
    <col min="15" max="15" width="15.7109375" bestFit="1" customWidth="1"/>
    <col min="22" max="22" width="16" bestFit="1" customWidth="1"/>
  </cols>
  <sheetData>
    <row r="1" spans="2:26" x14ac:dyDescent="0.25">
      <c r="B1" s="2" t="s">
        <v>311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2:26" x14ac:dyDescent="0.25">
      <c r="B2" s="92" t="s">
        <v>312</v>
      </c>
    </row>
    <row r="4" spans="2:26" s="59" customFormat="1" ht="15.75" thickBot="1" x14ac:dyDescent="0.3">
      <c r="B4" t="s">
        <v>317</v>
      </c>
    </row>
    <row r="5" spans="2:26" x14ac:dyDescent="0.25">
      <c r="C5" s="162" t="s">
        <v>42</v>
      </c>
      <c r="D5" s="159" t="s">
        <v>92</v>
      </c>
    </row>
    <row r="6" spans="2:26" ht="15.75" thickBot="1" x14ac:dyDescent="0.3">
      <c r="C6" s="163" t="s">
        <v>318</v>
      </c>
      <c r="D6" s="161">
        <v>12</v>
      </c>
      <c r="H6" t="s">
        <v>165</v>
      </c>
      <c r="J6" t="s">
        <v>313</v>
      </c>
      <c r="N6" t="s">
        <v>322</v>
      </c>
    </row>
    <row r="7" spans="2:26" ht="15.75" thickBot="1" x14ac:dyDescent="0.3">
      <c r="B7" t="s">
        <v>283</v>
      </c>
      <c r="C7" s="157" t="s">
        <v>125</v>
      </c>
      <c r="D7" s="157" t="s">
        <v>319</v>
      </c>
      <c r="E7" s="89" t="s">
        <v>320</v>
      </c>
      <c r="F7" s="89" t="s">
        <v>321</v>
      </c>
      <c r="H7">
        <v>3</v>
      </c>
      <c r="J7" t="s">
        <v>314</v>
      </c>
      <c r="K7" t="s">
        <v>315</v>
      </c>
      <c r="L7" t="s">
        <v>316</v>
      </c>
      <c r="N7" t="str">
        <f>D5&amp;"
"&amp;D6&amp;" Month Average Slot Take Rate"</f>
        <v>TOK05
12 Month Average Slot Take Rate</v>
      </c>
    </row>
    <row r="8" spans="2:26" x14ac:dyDescent="0.25">
      <c r="B8">
        <f>D6</f>
        <v>12</v>
      </c>
      <c r="C8" s="124">
        <f t="shared" ref="C8:C26" si="0">IFERROR(INDEX($C$31:$C$49,MATCH($B8,$B$31:$B$49,0)),"")</f>
        <v>202003</v>
      </c>
      <c r="D8" s="124">
        <f>VALUE(LEFT(C8,4))</f>
        <v>2020</v>
      </c>
      <c r="E8" s="160" t="str">
        <f t="shared" ref="E8:E26" si="1">IFERROR(TEXT(RIGHT($C8,2)*29,"mmm"),"")</f>
        <v>Mar</v>
      </c>
      <c r="F8" s="160">
        <f t="shared" ref="F8:F26" si="2">IFERROR(INDEX($D$31:$L$49,MATCH($C8,$C$31:$C$49,0),MATCH($D$5,$D$30:$L$30,0)),"")</f>
        <v>56</v>
      </c>
      <c r="H8">
        <v>6</v>
      </c>
      <c r="J8" t="str">
        <f t="shared" ref="J8:J26" si="3">TEXT(RIGHT($C8,2)*29,"mmm")&amp;"
"&amp;LEFT($C8,4)</f>
        <v>Mar
2020</v>
      </c>
      <c r="K8" t="str" cm="1">
        <f t="array" ref="K8:K19">$J$8:INDEX($J$8:$J$26,MATCH(1,$B$8:$B$26,0))</f>
        <v>Mar
2020</v>
      </c>
      <c r="L8" cm="1">
        <f t="array" ref="L8:L19">$F$8:INDEX($F$8:$F$26,MATCH(1,$B$8:$B$26,0))</f>
        <v>56</v>
      </c>
    </row>
    <row r="9" spans="2:26" x14ac:dyDescent="0.25">
      <c r="B9">
        <f>IFERROR(IF(B8-1&lt;=0,"",B8-1),"")</f>
        <v>11</v>
      </c>
      <c r="C9" s="124">
        <f t="shared" si="0"/>
        <v>202004</v>
      </c>
      <c r="D9" s="124" t="str">
        <f t="shared" ref="D9:D26" si="4">IF(RIGHT($C9,2)="01",VALUE(LEFT($C9,4)),"")</f>
        <v/>
      </c>
      <c r="E9" s="160" t="str">
        <f t="shared" si="1"/>
        <v>Apr</v>
      </c>
      <c r="F9" s="160">
        <f t="shared" si="2"/>
        <v>6</v>
      </c>
      <c r="H9">
        <v>12</v>
      </c>
      <c r="J9" t="str">
        <f t="shared" si="3"/>
        <v>Apr
2020</v>
      </c>
      <c r="K9" t="str">
        <v>Apr
2020</v>
      </c>
      <c r="L9">
        <v>6</v>
      </c>
    </row>
    <row r="10" spans="2:26" x14ac:dyDescent="0.25">
      <c r="B10" s="59">
        <f t="shared" ref="B10:B26" si="5">IFERROR(IF(B9-1&lt;=0,"",B9-1),"")</f>
        <v>10</v>
      </c>
      <c r="C10" s="124">
        <f t="shared" si="0"/>
        <v>202005</v>
      </c>
      <c r="D10" s="124" t="str">
        <f t="shared" si="4"/>
        <v/>
      </c>
      <c r="E10" s="160" t="str">
        <f t="shared" si="1"/>
        <v>May</v>
      </c>
      <c r="F10" s="160">
        <f t="shared" si="2"/>
        <v>-10</v>
      </c>
      <c r="J10" t="str">
        <f t="shared" si="3"/>
        <v>May
2020</v>
      </c>
      <c r="K10" t="str">
        <v>May
2020</v>
      </c>
      <c r="L10">
        <v>-10</v>
      </c>
    </row>
    <row r="11" spans="2:26" x14ac:dyDescent="0.25">
      <c r="B11">
        <f t="shared" si="5"/>
        <v>9</v>
      </c>
      <c r="C11" s="124">
        <f t="shared" si="0"/>
        <v>202006</v>
      </c>
      <c r="D11" s="124" t="str">
        <f t="shared" si="4"/>
        <v/>
      </c>
      <c r="E11" s="160" t="str">
        <f t="shared" si="1"/>
        <v>Jun</v>
      </c>
      <c r="F11" s="160">
        <f t="shared" si="2"/>
        <v>72</v>
      </c>
      <c r="J11" t="str">
        <f t="shared" si="3"/>
        <v>Jun
2020</v>
      </c>
      <c r="K11" t="str">
        <v>Jun
2020</v>
      </c>
      <c r="L11">
        <v>72</v>
      </c>
    </row>
    <row r="12" spans="2:26" x14ac:dyDescent="0.25">
      <c r="B12">
        <f t="shared" si="5"/>
        <v>8</v>
      </c>
      <c r="C12" s="124">
        <f t="shared" si="0"/>
        <v>202007</v>
      </c>
      <c r="D12" s="124" t="str">
        <f t="shared" si="4"/>
        <v/>
      </c>
      <c r="E12" s="160" t="str">
        <f t="shared" si="1"/>
        <v>Jul</v>
      </c>
      <c r="F12" s="160">
        <f t="shared" si="2"/>
        <v>-67</v>
      </c>
      <c r="J12" t="str">
        <f t="shared" si="3"/>
        <v>Jul
2020</v>
      </c>
      <c r="K12" t="str">
        <v>Jul
2020</v>
      </c>
      <c r="L12">
        <v>-67</v>
      </c>
    </row>
    <row r="13" spans="2:26" x14ac:dyDescent="0.25">
      <c r="B13">
        <f t="shared" si="5"/>
        <v>7</v>
      </c>
      <c r="C13" s="124">
        <f t="shared" si="0"/>
        <v>202008</v>
      </c>
      <c r="D13" s="124" t="str">
        <f t="shared" si="4"/>
        <v/>
      </c>
      <c r="E13" s="160" t="str">
        <f t="shared" si="1"/>
        <v>Aug</v>
      </c>
      <c r="F13" s="160">
        <f t="shared" si="2"/>
        <v>3</v>
      </c>
      <c r="J13" t="str">
        <f t="shared" si="3"/>
        <v>Aug
2020</v>
      </c>
      <c r="K13" t="str">
        <v>Aug
2020</v>
      </c>
      <c r="L13">
        <v>3</v>
      </c>
    </row>
    <row r="14" spans="2:26" x14ac:dyDescent="0.25">
      <c r="B14">
        <f t="shared" si="5"/>
        <v>6</v>
      </c>
      <c r="C14" s="124">
        <f t="shared" si="0"/>
        <v>202009</v>
      </c>
      <c r="D14" s="124" t="str">
        <f t="shared" si="4"/>
        <v/>
      </c>
      <c r="E14" s="160" t="str">
        <f t="shared" si="1"/>
        <v>Sep</v>
      </c>
      <c r="F14" s="160">
        <f t="shared" si="2"/>
        <v>28</v>
      </c>
      <c r="J14" t="str">
        <f t="shared" si="3"/>
        <v>Sep
2020</v>
      </c>
      <c r="K14" t="str">
        <v>Sep
2020</v>
      </c>
      <c r="L14">
        <v>28</v>
      </c>
    </row>
    <row r="15" spans="2:26" x14ac:dyDescent="0.25">
      <c r="B15">
        <f t="shared" si="5"/>
        <v>5</v>
      </c>
      <c r="C15" s="124">
        <f t="shared" si="0"/>
        <v>202010</v>
      </c>
      <c r="D15" s="124" t="str">
        <f t="shared" si="4"/>
        <v/>
      </c>
      <c r="E15" s="160" t="str">
        <f t="shared" si="1"/>
        <v>Oct</v>
      </c>
      <c r="F15" s="160">
        <f t="shared" si="2"/>
        <v>30</v>
      </c>
      <c r="J15" t="str">
        <f t="shared" si="3"/>
        <v>Oct
2020</v>
      </c>
      <c r="K15" t="str">
        <v>Oct
2020</v>
      </c>
      <c r="L15">
        <v>30</v>
      </c>
    </row>
    <row r="16" spans="2:26" x14ac:dyDescent="0.25">
      <c r="B16">
        <f t="shared" si="5"/>
        <v>4</v>
      </c>
      <c r="C16" s="124">
        <f t="shared" si="0"/>
        <v>202011</v>
      </c>
      <c r="D16" s="124" t="str">
        <f t="shared" si="4"/>
        <v/>
      </c>
      <c r="E16" s="160" t="str">
        <f t="shared" si="1"/>
        <v>Nov</v>
      </c>
      <c r="F16" s="160">
        <f t="shared" si="2"/>
        <v>51</v>
      </c>
      <c r="J16" t="str">
        <f t="shared" si="3"/>
        <v>Nov
2020</v>
      </c>
      <c r="K16" t="str">
        <v>Nov
2020</v>
      </c>
      <c r="L16">
        <v>51</v>
      </c>
    </row>
    <row r="17" spans="2:12" x14ac:dyDescent="0.25">
      <c r="B17">
        <f t="shared" si="5"/>
        <v>3</v>
      </c>
      <c r="C17" s="124">
        <f t="shared" si="0"/>
        <v>202012</v>
      </c>
      <c r="D17" s="124" t="str">
        <f t="shared" si="4"/>
        <v/>
      </c>
      <c r="E17" s="160" t="str">
        <f t="shared" si="1"/>
        <v>Dec</v>
      </c>
      <c r="F17" s="160">
        <f t="shared" si="2"/>
        <v>-37</v>
      </c>
      <c r="J17" t="str">
        <f t="shared" si="3"/>
        <v>Dec
2020</v>
      </c>
      <c r="K17" t="str">
        <v>Dec
2020</v>
      </c>
      <c r="L17">
        <v>-37</v>
      </c>
    </row>
    <row r="18" spans="2:12" x14ac:dyDescent="0.25">
      <c r="B18">
        <f t="shared" si="5"/>
        <v>2</v>
      </c>
      <c r="C18" s="124">
        <f t="shared" si="0"/>
        <v>202101</v>
      </c>
      <c r="D18" s="124">
        <f t="shared" si="4"/>
        <v>2021</v>
      </c>
      <c r="E18" s="160" t="str">
        <f t="shared" si="1"/>
        <v>Jan</v>
      </c>
      <c r="F18" s="160">
        <f t="shared" si="2"/>
        <v>64</v>
      </c>
      <c r="J18" t="str">
        <f t="shared" si="3"/>
        <v>Jan
2021</v>
      </c>
      <c r="K18" t="str">
        <v>Jan
2021</v>
      </c>
      <c r="L18">
        <v>64</v>
      </c>
    </row>
    <row r="19" spans="2:12" x14ac:dyDescent="0.25">
      <c r="B19">
        <f t="shared" si="5"/>
        <v>1</v>
      </c>
      <c r="C19" s="124">
        <f t="shared" si="0"/>
        <v>202102</v>
      </c>
      <c r="D19" s="124" t="str">
        <f t="shared" si="4"/>
        <v/>
      </c>
      <c r="E19" s="160" t="str">
        <f t="shared" si="1"/>
        <v>Feb</v>
      </c>
      <c r="F19" s="160">
        <f t="shared" si="2"/>
        <v>-18</v>
      </c>
      <c r="J19" t="str">
        <f t="shared" si="3"/>
        <v>Feb
2021</v>
      </c>
      <c r="K19" t="str">
        <v>Feb
2021</v>
      </c>
      <c r="L19">
        <v>-18</v>
      </c>
    </row>
    <row r="20" spans="2:12" x14ac:dyDescent="0.25">
      <c r="B20" t="str">
        <f t="shared" si="5"/>
        <v/>
      </c>
      <c r="C20" s="124" t="str">
        <f t="shared" si="0"/>
        <v/>
      </c>
      <c r="D20" s="124" t="str">
        <f t="shared" si="4"/>
        <v/>
      </c>
      <c r="E20" s="160" t="str">
        <f t="shared" si="1"/>
        <v/>
      </c>
      <c r="F20" s="160" t="str">
        <f t="shared" si="2"/>
        <v/>
      </c>
      <c r="J20" t="e">
        <f t="shared" si="3"/>
        <v>#VALUE!</v>
      </c>
    </row>
    <row r="21" spans="2:12" x14ac:dyDescent="0.25">
      <c r="B21" t="str">
        <f t="shared" si="5"/>
        <v/>
      </c>
      <c r="C21" s="124" t="str">
        <f t="shared" si="0"/>
        <v/>
      </c>
      <c r="D21" s="124" t="str">
        <f t="shared" si="4"/>
        <v/>
      </c>
      <c r="E21" s="160" t="str">
        <f t="shared" si="1"/>
        <v/>
      </c>
      <c r="F21" s="160" t="str">
        <f t="shared" si="2"/>
        <v/>
      </c>
      <c r="J21" t="e">
        <f t="shared" si="3"/>
        <v>#VALUE!</v>
      </c>
    </row>
    <row r="22" spans="2:12" x14ac:dyDescent="0.25">
      <c r="B22" t="str">
        <f t="shared" si="5"/>
        <v/>
      </c>
      <c r="C22" s="124" t="str">
        <f t="shared" si="0"/>
        <v/>
      </c>
      <c r="D22" s="124" t="str">
        <f t="shared" si="4"/>
        <v/>
      </c>
      <c r="E22" s="160" t="str">
        <f t="shared" si="1"/>
        <v/>
      </c>
      <c r="F22" s="160" t="str">
        <f t="shared" si="2"/>
        <v/>
      </c>
      <c r="J22" t="e">
        <f t="shared" si="3"/>
        <v>#VALUE!</v>
      </c>
    </row>
    <row r="23" spans="2:12" x14ac:dyDescent="0.25">
      <c r="B23" t="str">
        <f t="shared" si="5"/>
        <v/>
      </c>
      <c r="C23" s="124" t="str">
        <f t="shared" si="0"/>
        <v/>
      </c>
      <c r="D23" s="124" t="str">
        <f t="shared" si="4"/>
        <v/>
      </c>
      <c r="E23" s="160" t="str">
        <f t="shared" si="1"/>
        <v/>
      </c>
      <c r="F23" s="160" t="str">
        <f t="shared" si="2"/>
        <v/>
      </c>
      <c r="J23" t="e">
        <f t="shared" si="3"/>
        <v>#VALUE!</v>
      </c>
    </row>
    <row r="24" spans="2:12" x14ac:dyDescent="0.25">
      <c r="B24" t="str">
        <f t="shared" si="5"/>
        <v/>
      </c>
      <c r="C24" s="124" t="str">
        <f t="shared" si="0"/>
        <v/>
      </c>
      <c r="D24" s="124" t="str">
        <f t="shared" si="4"/>
        <v/>
      </c>
      <c r="E24" s="160" t="str">
        <f t="shared" si="1"/>
        <v/>
      </c>
      <c r="F24" s="160" t="str">
        <f t="shared" si="2"/>
        <v/>
      </c>
      <c r="J24" t="e">
        <f t="shared" si="3"/>
        <v>#VALUE!</v>
      </c>
    </row>
    <row r="25" spans="2:12" x14ac:dyDescent="0.25">
      <c r="B25" t="str">
        <f t="shared" si="5"/>
        <v/>
      </c>
      <c r="C25" s="124" t="str">
        <f t="shared" si="0"/>
        <v/>
      </c>
      <c r="D25" s="124" t="str">
        <f t="shared" si="4"/>
        <v/>
      </c>
      <c r="E25" s="160" t="str">
        <f t="shared" si="1"/>
        <v/>
      </c>
      <c r="F25" s="160" t="str">
        <f t="shared" si="2"/>
        <v/>
      </c>
      <c r="J25" t="e">
        <f t="shared" si="3"/>
        <v>#VALUE!</v>
      </c>
    </row>
    <row r="26" spans="2:12" ht="15.75" thickBot="1" x14ac:dyDescent="0.3">
      <c r="B26" t="str">
        <f t="shared" si="5"/>
        <v/>
      </c>
      <c r="C26" s="126" t="str">
        <f t="shared" si="0"/>
        <v/>
      </c>
      <c r="D26" s="126" t="str">
        <f t="shared" si="4"/>
        <v/>
      </c>
      <c r="E26" s="161" t="str">
        <f t="shared" si="1"/>
        <v/>
      </c>
      <c r="F26" s="161" t="str">
        <f t="shared" si="2"/>
        <v/>
      </c>
      <c r="J26" t="e">
        <f t="shared" si="3"/>
        <v>#VALUE!</v>
      </c>
    </row>
    <row r="29" spans="2:12" ht="15.75" thickBot="1" x14ac:dyDescent="0.3">
      <c r="B29" t="s">
        <v>303</v>
      </c>
    </row>
    <row r="30" spans="2:12" ht="15.75" thickBot="1" x14ac:dyDescent="0.3">
      <c r="B30" s="157" t="s">
        <v>283</v>
      </c>
      <c r="C30" s="24" t="s">
        <v>125</v>
      </c>
      <c r="D30" s="116" t="s">
        <v>3</v>
      </c>
      <c r="E30" s="116" t="s">
        <v>34</v>
      </c>
      <c r="F30" s="116" t="s">
        <v>35</v>
      </c>
      <c r="G30" s="116" t="s">
        <v>36</v>
      </c>
      <c r="H30" s="116" t="s">
        <v>37</v>
      </c>
      <c r="I30" s="116" t="s">
        <v>38</v>
      </c>
      <c r="J30" s="116" t="s">
        <v>4</v>
      </c>
      <c r="K30" s="116" t="s">
        <v>91</v>
      </c>
      <c r="L30" s="89" t="s">
        <v>92</v>
      </c>
    </row>
    <row r="31" spans="2:12" x14ac:dyDescent="0.25">
      <c r="B31" s="124">
        <f t="shared" ref="B31:B49" si="6">_xlfn.RANK.EQ($C31,$C$31:$C$49)</f>
        <v>19</v>
      </c>
      <c r="C31" s="115">
        <v>201908</v>
      </c>
      <c r="D31" s="135">
        <v>395</v>
      </c>
      <c r="E31" s="135">
        <v>473</v>
      </c>
      <c r="F31" s="135">
        <v>248</v>
      </c>
      <c r="G31" s="135">
        <v>10</v>
      </c>
      <c r="H31" s="135">
        <v>77</v>
      </c>
      <c r="I31" s="135">
        <v>42</v>
      </c>
      <c r="J31" s="135">
        <v>147</v>
      </c>
      <c r="K31" s="135">
        <v>0</v>
      </c>
      <c r="L31" s="160">
        <v>26</v>
      </c>
    </row>
    <row r="32" spans="2:12" x14ac:dyDescent="0.25">
      <c r="B32" s="124">
        <f t="shared" si="6"/>
        <v>18</v>
      </c>
      <c r="C32" s="115">
        <v>201909</v>
      </c>
      <c r="D32" s="135">
        <v>126</v>
      </c>
      <c r="E32" s="135">
        <v>518</v>
      </c>
      <c r="F32" s="135">
        <v>467</v>
      </c>
      <c r="G32" s="135">
        <v>499</v>
      </c>
      <c r="H32" s="135">
        <v>17</v>
      </c>
      <c r="I32" s="135">
        <v>40</v>
      </c>
      <c r="J32" s="135">
        <v>6</v>
      </c>
      <c r="K32" s="135">
        <v>-11</v>
      </c>
      <c r="L32" s="160">
        <v>-8</v>
      </c>
    </row>
    <row r="33" spans="2:12" x14ac:dyDescent="0.25">
      <c r="B33" s="124">
        <f t="shared" si="6"/>
        <v>17</v>
      </c>
      <c r="C33" s="115">
        <v>201910</v>
      </c>
      <c r="D33" s="135">
        <v>423</v>
      </c>
      <c r="E33" s="135">
        <v>46</v>
      </c>
      <c r="F33" s="135">
        <v>122</v>
      </c>
      <c r="G33" s="135">
        <v>4</v>
      </c>
      <c r="H33" s="135">
        <v>69</v>
      </c>
      <c r="I33" s="135">
        <v>-8</v>
      </c>
      <c r="J33" s="135">
        <v>-23</v>
      </c>
      <c r="K33" s="135">
        <v>0</v>
      </c>
      <c r="L33" s="160">
        <v>-1</v>
      </c>
    </row>
    <row r="34" spans="2:12" x14ac:dyDescent="0.25">
      <c r="B34" s="124">
        <f t="shared" si="6"/>
        <v>16</v>
      </c>
      <c r="C34" s="115">
        <v>201911</v>
      </c>
      <c r="D34" s="135">
        <v>170</v>
      </c>
      <c r="E34" s="135">
        <v>39</v>
      </c>
      <c r="F34" s="135">
        <v>-166</v>
      </c>
      <c r="G34" s="135">
        <v>-325</v>
      </c>
      <c r="H34" s="135">
        <v>52</v>
      </c>
      <c r="I34" s="135">
        <v>32</v>
      </c>
      <c r="J34" s="135">
        <v>-42</v>
      </c>
      <c r="K34" s="135">
        <v>12</v>
      </c>
      <c r="L34" s="160">
        <v>-2</v>
      </c>
    </row>
    <row r="35" spans="2:12" x14ac:dyDescent="0.25">
      <c r="B35" s="124">
        <f t="shared" si="6"/>
        <v>15</v>
      </c>
      <c r="C35" s="115">
        <v>201912</v>
      </c>
      <c r="D35" s="135">
        <v>-161</v>
      </c>
      <c r="E35" s="135">
        <v>65</v>
      </c>
      <c r="F35" s="135">
        <v>9</v>
      </c>
      <c r="G35" s="135">
        <v>-114</v>
      </c>
      <c r="H35" s="135">
        <v>46</v>
      </c>
      <c r="I35" s="135">
        <v>36</v>
      </c>
      <c r="J35" s="135">
        <v>-49</v>
      </c>
      <c r="K35" s="135">
        <v>3</v>
      </c>
      <c r="L35" s="160">
        <v>-6</v>
      </c>
    </row>
    <row r="36" spans="2:12" x14ac:dyDescent="0.25">
      <c r="B36" s="124">
        <f t="shared" si="6"/>
        <v>14</v>
      </c>
      <c r="C36" s="115">
        <v>202001</v>
      </c>
      <c r="D36" s="135">
        <v>-531</v>
      </c>
      <c r="E36" s="135">
        <v>-10</v>
      </c>
      <c r="F36" s="135">
        <v>10</v>
      </c>
      <c r="G36" s="135">
        <v>-60</v>
      </c>
      <c r="H36" s="135">
        <v>-11</v>
      </c>
      <c r="I36" s="135">
        <v>-2</v>
      </c>
      <c r="J36" s="135">
        <v>-45</v>
      </c>
      <c r="K36" s="135">
        <v>18</v>
      </c>
      <c r="L36" s="160">
        <v>15</v>
      </c>
    </row>
    <row r="37" spans="2:12" x14ac:dyDescent="0.25">
      <c r="B37" s="124">
        <f t="shared" si="6"/>
        <v>13</v>
      </c>
      <c r="C37" s="115">
        <v>202002</v>
      </c>
      <c r="D37" s="135">
        <v>-196</v>
      </c>
      <c r="E37" s="135">
        <v>63</v>
      </c>
      <c r="F37" s="135">
        <v>120</v>
      </c>
      <c r="G37" s="135">
        <v>41</v>
      </c>
      <c r="H37" s="135">
        <v>94</v>
      </c>
      <c r="I37" s="135">
        <v>97</v>
      </c>
      <c r="J37" s="135">
        <v>244</v>
      </c>
      <c r="K37" s="135">
        <v>34</v>
      </c>
      <c r="L37" s="160">
        <v>2</v>
      </c>
    </row>
    <row r="38" spans="2:12" x14ac:dyDescent="0.25">
      <c r="B38" s="124">
        <f t="shared" si="6"/>
        <v>12</v>
      </c>
      <c r="C38" s="115">
        <v>202003</v>
      </c>
      <c r="D38" s="135">
        <v>179</v>
      </c>
      <c r="E38" s="135">
        <v>259</v>
      </c>
      <c r="F38" s="135">
        <v>482</v>
      </c>
      <c r="G38" s="135">
        <v>336</v>
      </c>
      <c r="H38" s="135">
        <v>116</v>
      </c>
      <c r="I38" s="135">
        <v>127</v>
      </c>
      <c r="J38" s="135">
        <v>76</v>
      </c>
      <c r="K38" s="135">
        <v>31</v>
      </c>
      <c r="L38" s="160">
        <v>56</v>
      </c>
    </row>
    <row r="39" spans="2:12" x14ac:dyDescent="0.25">
      <c r="B39" s="124">
        <f t="shared" si="6"/>
        <v>11</v>
      </c>
      <c r="C39" s="115">
        <v>202004</v>
      </c>
      <c r="D39" s="135">
        <v>-662</v>
      </c>
      <c r="E39" s="135">
        <v>19</v>
      </c>
      <c r="F39" s="135">
        <v>39</v>
      </c>
      <c r="G39" s="135">
        <v>161</v>
      </c>
      <c r="H39" s="135">
        <v>-1</v>
      </c>
      <c r="I39" s="135">
        <v>-5</v>
      </c>
      <c r="J39" s="135">
        <v>-71</v>
      </c>
      <c r="K39" s="135">
        <v>-13</v>
      </c>
      <c r="L39" s="160">
        <v>6</v>
      </c>
    </row>
    <row r="40" spans="2:12" x14ac:dyDescent="0.25">
      <c r="B40" s="124">
        <f t="shared" si="6"/>
        <v>10</v>
      </c>
      <c r="C40" s="115">
        <v>202005</v>
      </c>
      <c r="D40" s="135">
        <v>-7</v>
      </c>
      <c r="E40" s="135">
        <v>274</v>
      </c>
      <c r="F40" s="135">
        <v>182</v>
      </c>
      <c r="G40" s="135">
        <v>159</v>
      </c>
      <c r="H40" s="135">
        <v>90</v>
      </c>
      <c r="I40" s="135">
        <v>82</v>
      </c>
      <c r="J40" s="135">
        <v>-120</v>
      </c>
      <c r="K40" s="135">
        <v>17</v>
      </c>
      <c r="L40" s="160">
        <v>-10</v>
      </c>
    </row>
    <row r="41" spans="2:12" x14ac:dyDescent="0.25">
      <c r="B41" s="124">
        <f t="shared" si="6"/>
        <v>9</v>
      </c>
      <c r="C41" s="115">
        <v>202006</v>
      </c>
      <c r="D41" s="135">
        <v>-249</v>
      </c>
      <c r="E41" s="135">
        <v>-91</v>
      </c>
      <c r="F41" s="135">
        <v>112</v>
      </c>
      <c r="G41" s="135">
        <v>14</v>
      </c>
      <c r="H41" s="135">
        <v>150</v>
      </c>
      <c r="I41" s="135">
        <v>48</v>
      </c>
      <c r="J41" s="135">
        <v>-9</v>
      </c>
      <c r="K41" s="135">
        <v>26</v>
      </c>
      <c r="L41" s="160">
        <v>72</v>
      </c>
    </row>
    <row r="42" spans="2:12" x14ac:dyDescent="0.25">
      <c r="B42" s="124">
        <f t="shared" si="6"/>
        <v>8</v>
      </c>
      <c r="C42" s="115">
        <v>202007</v>
      </c>
      <c r="D42" s="135">
        <v>-183</v>
      </c>
      <c r="E42" s="135">
        <v>332</v>
      </c>
      <c r="F42" s="135">
        <v>307</v>
      </c>
      <c r="G42" s="135">
        <v>-545</v>
      </c>
      <c r="H42" s="135">
        <v>1</v>
      </c>
      <c r="I42" s="135">
        <v>78</v>
      </c>
      <c r="J42" s="135">
        <v>56</v>
      </c>
      <c r="K42" s="135">
        <v>-9</v>
      </c>
      <c r="L42" s="160">
        <v>-67</v>
      </c>
    </row>
    <row r="43" spans="2:12" x14ac:dyDescent="0.25">
      <c r="B43" s="124">
        <f t="shared" si="6"/>
        <v>7</v>
      </c>
      <c r="C43" s="115">
        <v>202008</v>
      </c>
      <c r="D43" s="135">
        <v>194</v>
      </c>
      <c r="E43" s="135">
        <v>352</v>
      </c>
      <c r="F43" s="135">
        <v>16</v>
      </c>
      <c r="G43" s="135">
        <v>-394</v>
      </c>
      <c r="H43" s="135">
        <v>162</v>
      </c>
      <c r="I43" s="135">
        <v>160</v>
      </c>
      <c r="J43" s="135">
        <v>-331</v>
      </c>
      <c r="K43" s="135">
        <v>1</v>
      </c>
      <c r="L43" s="160">
        <v>3</v>
      </c>
    </row>
    <row r="44" spans="2:12" x14ac:dyDescent="0.25">
      <c r="B44" s="124">
        <f t="shared" si="6"/>
        <v>6</v>
      </c>
      <c r="C44" s="115">
        <v>202009</v>
      </c>
      <c r="D44" s="135">
        <v>-91</v>
      </c>
      <c r="E44" s="135">
        <v>107</v>
      </c>
      <c r="F44" s="135">
        <v>266</v>
      </c>
      <c r="G44" s="135">
        <v>-13</v>
      </c>
      <c r="H44" s="135">
        <v>51</v>
      </c>
      <c r="I44" s="135">
        <v>-120</v>
      </c>
      <c r="J44" s="135">
        <v>43</v>
      </c>
      <c r="K44" s="135">
        <v>39</v>
      </c>
      <c r="L44" s="160">
        <v>28</v>
      </c>
    </row>
    <row r="45" spans="2:12" x14ac:dyDescent="0.25">
      <c r="B45" s="124">
        <f t="shared" si="6"/>
        <v>5</v>
      </c>
      <c r="C45" s="115">
        <v>202010</v>
      </c>
      <c r="D45" s="135">
        <v>311</v>
      </c>
      <c r="E45" s="135">
        <v>-94</v>
      </c>
      <c r="F45" s="135">
        <v>157</v>
      </c>
      <c r="G45" s="135">
        <v>79</v>
      </c>
      <c r="H45" s="135">
        <v>34</v>
      </c>
      <c r="I45" s="135">
        <v>31</v>
      </c>
      <c r="J45" s="135">
        <v>114</v>
      </c>
      <c r="K45" s="135">
        <v>56</v>
      </c>
      <c r="L45" s="160">
        <v>30</v>
      </c>
    </row>
    <row r="46" spans="2:12" x14ac:dyDescent="0.25">
      <c r="B46" s="124">
        <f t="shared" si="6"/>
        <v>4</v>
      </c>
      <c r="C46" s="115">
        <v>202011</v>
      </c>
      <c r="D46" s="135">
        <v>-70</v>
      </c>
      <c r="E46" s="135">
        <v>283</v>
      </c>
      <c r="F46" s="135">
        <v>-127</v>
      </c>
      <c r="G46" s="135">
        <v>187</v>
      </c>
      <c r="H46" s="135">
        <v>133</v>
      </c>
      <c r="I46" s="135">
        <v>147</v>
      </c>
      <c r="J46" s="135">
        <v>15</v>
      </c>
      <c r="K46" s="135">
        <v>14</v>
      </c>
      <c r="L46" s="160">
        <v>51</v>
      </c>
    </row>
    <row r="47" spans="2:12" x14ac:dyDescent="0.25">
      <c r="B47" s="124">
        <f t="shared" si="6"/>
        <v>3</v>
      </c>
      <c r="C47" s="115">
        <v>202012</v>
      </c>
      <c r="D47" s="135">
        <v>-69</v>
      </c>
      <c r="E47" s="135">
        <v>176</v>
      </c>
      <c r="F47" s="135">
        <v>90</v>
      </c>
      <c r="G47" s="135">
        <v>-68</v>
      </c>
      <c r="H47" s="135">
        <v>51</v>
      </c>
      <c r="I47" s="135">
        <v>-2</v>
      </c>
      <c r="J47" s="135">
        <v>116</v>
      </c>
      <c r="K47" s="135">
        <v>-44</v>
      </c>
      <c r="L47" s="160">
        <v>-37</v>
      </c>
    </row>
    <row r="48" spans="2:12" x14ac:dyDescent="0.25">
      <c r="B48" s="124">
        <f t="shared" si="6"/>
        <v>2</v>
      </c>
      <c r="C48" s="115">
        <v>202101</v>
      </c>
      <c r="D48" s="135">
        <v>-117</v>
      </c>
      <c r="E48" s="135">
        <v>63</v>
      </c>
      <c r="F48" s="135">
        <v>144</v>
      </c>
      <c r="G48" s="135">
        <v>11</v>
      </c>
      <c r="H48" s="135">
        <v>-15</v>
      </c>
      <c r="I48" s="135">
        <v>64</v>
      </c>
      <c r="J48" s="135">
        <v>157</v>
      </c>
      <c r="K48" s="135">
        <v>32</v>
      </c>
      <c r="L48" s="160">
        <v>64</v>
      </c>
    </row>
    <row r="49" spans="2:12" ht="15.75" thickBot="1" x14ac:dyDescent="0.3">
      <c r="B49" s="126">
        <f t="shared" si="6"/>
        <v>1</v>
      </c>
      <c r="C49" s="90">
        <v>202102</v>
      </c>
      <c r="D49" s="136">
        <v>-371</v>
      </c>
      <c r="E49" s="136">
        <v>125</v>
      </c>
      <c r="F49" s="136">
        <v>66</v>
      </c>
      <c r="G49" s="136">
        <v>-270</v>
      </c>
      <c r="H49" s="136">
        <v>4</v>
      </c>
      <c r="I49" s="136">
        <v>45</v>
      </c>
      <c r="J49" s="136">
        <v>113</v>
      </c>
      <c r="K49" s="136">
        <v>27</v>
      </c>
      <c r="L49" s="161">
        <v>-18</v>
      </c>
    </row>
  </sheetData>
  <dataValidations count="2">
    <dataValidation type="list" allowBlank="1" showInputMessage="1" sqref="D6" xr:uid="{DA7D4A07-3662-4BA9-90E1-E2322F6D4982}">
      <formula1>$H$7:$H$9</formula1>
    </dataValidation>
    <dataValidation type="list" allowBlank="1" showInputMessage="1" showErrorMessage="1" sqref="D5" xr:uid="{AD3B5C77-D5AC-49F5-AEE8-E4CF4CEF5C03}">
      <formula1>$D$30:$L$30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multicategory</vt:lpstr>
      <vt:lpstr>gauge</vt:lpstr>
      <vt:lpstr>milestone</vt:lpstr>
      <vt:lpstr>gantt</vt:lpstr>
      <vt:lpstr>trend_arrows</vt:lpstr>
      <vt:lpstr>versus_bar</vt:lpstr>
      <vt:lpstr>scatter_spot</vt:lpstr>
      <vt:lpstr>target_bar</vt:lpstr>
      <vt:lpstr>timeline_events</vt:lpstr>
      <vt:lpstr>total_bar</vt:lpstr>
      <vt:lpstr>custom_bar</vt:lpstr>
      <vt:lpstr>map</vt:lpstr>
      <vt:lpstr>box_plot</vt:lpstr>
      <vt:lpstr>panel</vt:lpstr>
      <vt:lpstr>custom_y-axis</vt:lpstr>
      <vt:lpstr>dynamic_legend</vt:lpstr>
      <vt:lpstr>chart_break</vt:lpstr>
      <vt:lpstr>dynamic_range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LAM</dc:creator>
  <cp:lastModifiedBy>VINCENT LAM</cp:lastModifiedBy>
  <dcterms:created xsi:type="dcterms:W3CDTF">2020-03-06T16:30:55Z</dcterms:created>
  <dcterms:modified xsi:type="dcterms:W3CDTF">2022-11-11T15:57:04Z</dcterms:modified>
</cp:coreProperties>
</file>