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<sst xmlns="http://schemas.openxmlformats.org/spreadsheetml/2006/main" count="39" uniqueCount="39">
  <si>
    <t>Железо</t>
  </si>
  <si>
    <t>Медь</t>
  </si>
  <si>
    <t>Название</t>
  </si>
  <si>
    <t xml:space="preserve">кол-во ресурсов</t>
  </si>
  <si>
    <t xml:space="preserve">Итого ресурсов</t>
  </si>
  <si>
    <t>Зданий</t>
  </si>
  <si>
    <t xml:space="preserve">Зданий итого</t>
  </si>
  <si>
    <t xml:space="preserve">Затраты энергии, МВт</t>
  </si>
  <si>
    <t>Электроэнергия</t>
  </si>
  <si>
    <t xml:space="preserve">Железный слиток</t>
  </si>
  <si>
    <t xml:space="preserve"> Медный слиток</t>
  </si>
  <si>
    <t xml:space="preserve">Железный прут</t>
  </si>
  <si>
    <t>Проволока</t>
  </si>
  <si>
    <t xml:space="preserve">Железная пластина</t>
  </si>
  <si>
    <t xml:space="preserve">Медный лист</t>
  </si>
  <si>
    <t>Винты</t>
  </si>
  <si>
    <t>Кабель</t>
  </si>
  <si>
    <t xml:space="preserve">Модульный каркас</t>
  </si>
  <si>
    <t>Статор</t>
  </si>
  <si>
    <t xml:space="preserve">Усиленная железная пластина</t>
  </si>
  <si>
    <t>Автопроводка</t>
  </si>
  <si>
    <t>Ротор</t>
  </si>
  <si>
    <t xml:space="preserve">Печатная плата</t>
  </si>
  <si>
    <t>Компьютер</t>
  </si>
  <si>
    <t xml:space="preserve">Адаптивный блок управления</t>
  </si>
  <si>
    <t xml:space="preserve">Тяжёлый модульный каркас</t>
  </si>
  <si>
    <t>Мотор</t>
  </si>
  <si>
    <t xml:space="preserve">Умная обшивка</t>
  </si>
  <si>
    <t>Бетон</t>
  </si>
  <si>
    <t>Сталь</t>
  </si>
  <si>
    <t>Резина</t>
  </si>
  <si>
    <t xml:space="preserve">Стальной слиток</t>
  </si>
  <si>
    <t xml:space="preserve">Стальная балка</t>
  </si>
  <si>
    <t xml:space="preserve">Модульный двигатель</t>
  </si>
  <si>
    <t>Пластик</t>
  </si>
  <si>
    <t xml:space="preserve">Стальная труба</t>
  </si>
  <si>
    <t xml:space="preserve">Железобетонная балка</t>
  </si>
  <si>
    <t xml:space="preserve">Универсальный каркас</t>
  </si>
  <si>
    <t xml:space="preserve">Пустая канистра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</si>
</sst>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Arial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"/>
        <bgColor theme="9" tint="0"/>
      </patternFill>
    </fill>
    <fill>
      <patternFill patternType="solid">
        <fgColor indexed="2"/>
        <bgColor indexed="2"/>
      </patternFill>
    </fill>
    <fill>
      <patternFill patternType="solid">
        <fgColor theme="4" tint="0"/>
        <bgColor theme="4" tint="0"/>
      </patternFill>
    </fill>
    <fill>
      <patternFill patternType="solid">
        <fgColor rgb="FF92D050"/>
        <bgColor rgb="FF92D05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1" fillId="0" borderId="0" numFmtId="0" xfId="0" applyFont="1"/>
    <xf fontId="2" fillId="0" borderId="1" numFmtId="0" xfId="0" applyFont="1" applyBorder="1"/>
    <xf fontId="0" fillId="0" borderId="1" numFmtId="0" xfId="0" applyBorder="1"/>
    <xf fontId="0" fillId="2" borderId="1" numFmtId="0" xfId="0" applyFill="1" applyBorder="1"/>
    <xf fontId="0" fillId="3" borderId="1" numFmtId="0" xfId="0" applyFill="1" applyBorder="1"/>
    <xf fontId="0" fillId="4" borderId="1" numFmtId="0" xfId="0" applyFill="1" applyBorder="1"/>
    <xf fontId="0" fillId="0" borderId="2" numFmtId="0" xfId="0" applyBorder="1">
      <protection hidden="0" locked="1"/>
    </xf>
    <xf fontId="0" fillId="0" borderId="3" numFmtId="0" xfId="0" applyBorder="1">
      <protection hidden="0" locked="1"/>
    </xf>
    <xf fontId="0" fillId="5" borderId="1" numFmtId="0" xfId="0" applyFill="1" applyBorder="1"/>
    <xf fontId="0" fillId="0" borderId="1" numFmtId="0" xfId="0" applyBorder="1">
      <protection hidden="0" locked="1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27.57421875"/>
    <col bestFit="1" min="3" max="3" width="15.140625"/>
    <col bestFit="1" min="4" max="4" width="14.28125"/>
    <col bestFit="1" min="6" max="6" width="12.7109375"/>
    <col bestFit="1" min="7" max="7" width="20.421875"/>
    <col bestFit="1" min="11" max="11" width="27.57421875"/>
    <col bestFit="1" min="12" max="12" width="15.140625"/>
    <col bestFit="1" min="13" max="13" width="14.421875"/>
    <col bestFit="1" min="15" max="15" width="12.7109375"/>
    <col bestFit="1" min="16" max="16" width="20.421875"/>
    <col bestFit="1" min="18" max="18" width="20.8515625"/>
    <col bestFit="1" min="19" max="19" width="15.00390625"/>
    <col bestFit="1" min="22" max="22" width="12.7109375"/>
    <col bestFit="1" min="23" max="23" width="20.421875"/>
  </cols>
  <sheetData>
    <row r="1" ht="14.25">
      <c r="A1" s="1"/>
    </row>
    <row r="2" ht="14.25">
      <c r="B2" s="2" t="s">
        <v>0</v>
      </c>
      <c r="K2" s="2" t="s">
        <v>1</v>
      </c>
    </row>
    <row r="3" ht="14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  <c r="S3" s="3" t="s">
        <v>8</v>
      </c>
      <c r="T3" s="3">
        <f>SUM(G4:G14)+SUM(P4:P11)+G18+SUM(P18:P23)</f>
        <v>1060.3900000000001</v>
      </c>
    </row>
    <row r="4" ht="14.25">
      <c r="B4" s="3" t="s">
        <v>9</v>
      </c>
      <c r="C4" s="3">
        <v>0</v>
      </c>
      <c r="D4" s="3">
        <f>C4+D5+(3/2*D6)</f>
        <v>502.25</v>
      </c>
      <c r="E4" s="3">
        <f>D4/30</f>
        <v>16.741666666666667</v>
      </c>
      <c r="F4" s="3">
        <f t="shared" ref="F4:F9" si="0">ROUNDUP(E4,2)</f>
        <v>16.75</v>
      </c>
      <c r="G4" s="3">
        <f t="shared" ref="G4:G7" si="1">F4*4</f>
        <v>67</v>
      </c>
      <c r="K4" s="3" t="s">
        <v>10</v>
      </c>
      <c r="L4" s="3">
        <v>0</v>
      </c>
      <c r="M4" s="3">
        <f>L4+(15/30*M5)+(20/10*M6)</f>
        <v>168.5</v>
      </c>
      <c r="N4" s="3">
        <f t="shared" ref="N4:N5" si="2">M4/30</f>
        <v>5.6166666666666663</v>
      </c>
      <c r="O4" s="3">
        <f t="shared" ref="O4:O9" si="3">ROUNDUP(N4,2)</f>
        <v>5.6200000000000001</v>
      </c>
      <c r="P4" s="3">
        <f t="shared" ref="P4:P7" si="4">O4*4</f>
        <v>22.48</v>
      </c>
    </row>
    <row r="5" ht="14.25">
      <c r="B5" s="3" t="s">
        <v>11</v>
      </c>
      <c r="C5" s="3">
        <v>10</v>
      </c>
      <c r="D5" s="3">
        <f>(D7*10/40)+(D8*12/2)+(D10*20/4)+C5</f>
        <v>295.25</v>
      </c>
      <c r="E5" s="3">
        <f>D5/15</f>
        <v>19.683333333333334</v>
      </c>
      <c r="F5" s="3">
        <f t="shared" si="0"/>
        <v>19.690000000000001</v>
      </c>
      <c r="G5" s="3">
        <f t="shared" si="1"/>
        <v>78.760000000000005</v>
      </c>
      <c r="K5" s="3" t="s">
        <v>12</v>
      </c>
      <c r="L5" s="3">
        <v>10</v>
      </c>
      <c r="M5" s="3">
        <f>L5+(M7*60/30)+(M8*40/5)</f>
        <v>145</v>
      </c>
      <c r="N5" s="3">
        <f t="shared" si="2"/>
        <v>4.833333333333333</v>
      </c>
      <c r="O5" s="3">
        <f t="shared" si="3"/>
        <v>4.8399999999999999</v>
      </c>
      <c r="P5" s="3">
        <f t="shared" si="4"/>
        <v>19.359999999999999</v>
      </c>
    </row>
    <row r="6" ht="14.25">
      <c r="B6" s="3" t="s">
        <v>13</v>
      </c>
      <c r="C6" s="3">
        <v>18</v>
      </c>
      <c r="D6" s="3">
        <f>(D9*30/5)+C6</f>
        <v>138</v>
      </c>
      <c r="E6" s="3">
        <f>D6/20</f>
        <v>6.9000000000000004</v>
      </c>
      <c r="F6" s="3">
        <f t="shared" si="0"/>
        <v>6.9000000000000004</v>
      </c>
      <c r="G6" s="3">
        <f t="shared" si="1"/>
        <v>27.600000000000001</v>
      </c>
      <c r="K6" s="3" t="s">
        <v>14</v>
      </c>
      <c r="L6" s="3">
        <v>10</v>
      </c>
      <c r="M6" s="3">
        <f>L6+(M10*15/7.5)</f>
        <v>48</v>
      </c>
      <c r="N6" s="3">
        <f>M6/10</f>
        <v>4.7999999999999998</v>
      </c>
      <c r="O6" s="3">
        <f t="shared" si="3"/>
        <v>4.7999999999999998</v>
      </c>
      <c r="P6" s="3">
        <f t="shared" si="4"/>
        <v>19.199999999999999</v>
      </c>
    </row>
    <row r="7" ht="14.25">
      <c r="B7" s="3" t="s">
        <v>15</v>
      </c>
      <c r="C7" s="3">
        <v>20</v>
      </c>
      <c r="D7" s="3">
        <f>(60/5*D9)+(100/4*D10)+(D11*130/2.5)+(D12*200/2)+C7</f>
        <v>713</v>
      </c>
      <c r="E7" s="3">
        <f>D7/40</f>
        <v>17.824999999999999</v>
      </c>
      <c r="F7" s="3">
        <f t="shared" si="0"/>
        <v>17.830000000000002</v>
      </c>
      <c r="G7" s="3">
        <f t="shared" si="1"/>
        <v>71.320000000000007</v>
      </c>
      <c r="K7" s="3" t="s">
        <v>16</v>
      </c>
      <c r="L7" s="3">
        <v>10</v>
      </c>
      <c r="M7" s="3">
        <f>L7+(D11*22.5/2.5)+(M9*50/2.5)</f>
        <v>23.5</v>
      </c>
      <c r="N7" s="3">
        <f>M7/30</f>
        <v>0.78333333333333333</v>
      </c>
      <c r="O7" s="3">
        <f t="shared" si="3"/>
        <v>0.79000000000000004</v>
      </c>
      <c r="P7" s="3">
        <f t="shared" si="4"/>
        <v>3.1600000000000001</v>
      </c>
    </row>
    <row r="8" ht="14.25">
      <c r="B8" s="3" t="s">
        <v>17</v>
      </c>
      <c r="C8" s="3">
        <v>2</v>
      </c>
      <c r="D8" s="3">
        <f>C8+(D12*10/2)+M22*2.5/5</f>
        <v>12</v>
      </c>
      <c r="E8" s="3">
        <f>D8/2</f>
        <v>6</v>
      </c>
      <c r="F8" s="3">
        <f t="shared" si="0"/>
        <v>6</v>
      </c>
      <c r="G8" s="3">
        <f t="shared" ref="G8:G9" si="5">F8*15</f>
        <v>90</v>
      </c>
      <c r="K8" s="4" t="s">
        <v>18</v>
      </c>
      <c r="L8" s="3">
        <v>5</v>
      </c>
      <c r="M8" s="3">
        <f>L8+(D13*10/5)+(M9*2.5/2.5)</f>
        <v>11</v>
      </c>
      <c r="N8" s="3">
        <f>M8/5</f>
        <v>2.2000000000000002</v>
      </c>
      <c r="O8" s="3">
        <f t="shared" si="3"/>
        <v>2.21</v>
      </c>
      <c r="P8" s="3">
        <f t="shared" ref="P8:P9" si="6">O8*15</f>
        <v>33.149999999999999</v>
      </c>
    </row>
    <row r="9" ht="14.25">
      <c r="B9" s="3" t="s">
        <v>19</v>
      </c>
      <c r="C9" s="3">
        <v>2</v>
      </c>
      <c r="D9" s="3">
        <f>C9+(D8*3/2)+D14*2/2</f>
        <v>20</v>
      </c>
      <c r="E9" s="3">
        <f>D9/5</f>
        <v>4</v>
      </c>
      <c r="F9" s="3">
        <f t="shared" si="0"/>
        <v>4</v>
      </c>
      <c r="G9" s="3">
        <f t="shared" si="5"/>
        <v>60</v>
      </c>
      <c r="K9" s="4" t="s">
        <v>20</v>
      </c>
      <c r="L9" s="3">
        <v>0</v>
      </c>
      <c r="M9" s="3">
        <f>L9+M11*7.5/1</f>
        <v>0</v>
      </c>
      <c r="N9" s="3">
        <f>M9/2.5</f>
        <v>0</v>
      </c>
      <c r="O9" s="3">
        <f t="shared" si="3"/>
        <v>0</v>
      </c>
      <c r="P9" s="3">
        <f t="shared" si="6"/>
        <v>0</v>
      </c>
    </row>
    <row r="10" ht="14.25">
      <c r="B10" s="3" t="s">
        <v>21</v>
      </c>
      <c r="C10" s="3">
        <v>1</v>
      </c>
      <c r="D10" s="3">
        <f>C10+(10/5*D13)+D14</f>
        <v>7</v>
      </c>
      <c r="E10" s="3">
        <f>D10/4</f>
        <v>1.75</v>
      </c>
      <c r="F10" s="3">
        <f t="shared" ref="F10:F14" si="7">ROUNDUP(E10,2)</f>
        <v>1.75</v>
      </c>
      <c r="G10" s="3">
        <f>F10*15</f>
        <v>26.25</v>
      </c>
      <c r="K10" s="4" t="s">
        <v>22</v>
      </c>
      <c r="L10" s="3">
        <v>4</v>
      </c>
      <c r="M10" s="3">
        <f>L10+(D11*25/2.5)+M11*5/1</f>
        <v>19</v>
      </c>
      <c r="N10" s="3">
        <f>M10/7.5</f>
        <v>2.5333333333333332</v>
      </c>
      <c r="O10" s="3">
        <f t="shared" ref="O10:O22" si="8">ROUNDUP(N10,2)</f>
        <v>2.54</v>
      </c>
      <c r="P10" s="3">
        <f>O10*15</f>
        <v>38.100000000000001</v>
      </c>
    </row>
    <row r="11" ht="14.25">
      <c r="B11" s="5" t="s">
        <v>23</v>
      </c>
      <c r="C11" s="3">
        <v>1.5</v>
      </c>
      <c r="D11" s="3">
        <f>C11+M11*1/1</f>
        <v>1.5</v>
      </c>
      <c r="E11" s="3">
        <f>D11/2.5</f>
        <v>0.59999999999999998</v>
      </c>
      <c r="F11" s="3">
        <f t="shared" si="7"/>
        <v>0.59999999999999998</v>
      </c>
      <c r="G11" s="3">
        <f t="shared" ref="G11:G13" si="9">F11*55</f>
        <v>33</v>
      </c>
      <c r="K11" s="6" t="s">
        <v>24</v>
      </c>
      <c r="L11" s="3">
        <v>0</v>
      </c>
      <c r="M11" s="3">
        <f>L11</f>
        <v>0</v>
      </c>
      <c r="N11" s="3">
        <f>M11/1</f>
        <v>0</v>
      </c>
      <c r="O11" s="3">
        <f t="shared" si="8"/>
        <v>0</v>
      </c>
      <c r="P11" s="3">
        <f>O11*55</f>
        <v>0</v>
      </c>
    </row>
    <row r="12" ht="14.25">
      <c r="B12" s="5" t="s">
        <v>25</v>
      </c>
      <c r="C12" s="3">
        <v>2</v>
      </c>
      <c r="D12" s="3">
        <f>C12+M11*1/1</f>
        <v>2</v>
      </c>
      <c r="E12" s="3">
        <f>D12/2</f>
        <v>1</v>
      </c>
      <c r="F12" s="3">
        <f t="shared" si="7"/>
        <v>1</v>
      </c>
      <c r="G12" s="3">
        <f t="shared" si="9"/>
        <v>55</v>
      </c>
    </row>
    <row r="13" ht="14.25">
      <c r="B13" s="4" t="s">
        <v>26</v>
      </c>
      <c r="C13" s="3">
        <v>1</v>
      </c>
      <c r="D13" s="3">
        <f>C13+T19*2/1</f>
        <v>3</v>
      </c>
      <c r="E13" s="3">
        <f>D13/5</f>
        <v>0.59999999999999998</v>
      </c>
      <c r="F13" s="3">
        <f t="shared" si="7"/>
        <v>0.59999999999999998</v>
      </c>
      <c r="G13" s="3">
        <f t="shared" si="9"/>
        <v>33</v>
      </c>
    </row>
    <row r="14" ht="14.25">
      <c r="B14" s="6" t="s">
        <v>27</v>
      </c>
      <c r="C14" s="3">
        <v>0</v>
      </c>
      <c r="D14" s="3">
        <v>0</v>
      </c>
      <c r="E14" s="3">
        <f>D14/2</f>
        <v>0</v>
      </c>
      <c r="F14" s="3">
        <f t="shared" si="7"/>
        <v>0</v>
      </c>
      <c r="G14" s="3">
        <f>F14*15</f>
        <v>0</v>
      </c>
    </row>
    <row r="15" ht="14.25">
      <c r="G15">
        <f>SUM(G4:G14)</f>
        <v>541.93000000000006</v>
      </c>
    </row>
    <row r="16" ht="14.25">
      <c r="B16" s="2" t="s">
        <v>28</v>
      </c>
      <c r="C16" s="7"/>
      <c r="D16" s="8"/>
      <c r="E16" s="8"/>
      <c r="F16" s="8"/>
      <c r="G16" s="8"/>
      <c r="K16" s="2" t="s">
        <v>29</v>
      </c>
      <c r="L16" s="7">
        <v>600</v>
      </c>
      <c r="M16" s="8"/>
      <c r="N16" s="8"/>
      <c r="O16" s="8"/>
      <c r="P16" s="8"/>
      <c r="R16" s="2" t="s">
        <v>30</v>
      </c>
      <c r="S16" s="7">
        <v>40</v>
      </c>
      <c r="T16" s="8"/>
      <c r="U16" s="8"/>
      <c r="V16" s="8"/>
      <c r="W16" s="8"/>
    </row>
    <row r="17" ht="14.25"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K17" s="3" t="s">
        <v>2</v>
      </c>
      <c r="L17" s="3" t="s">
        <v>3</v>
      </c>
      <c r="M17" s="3" t="s">
        <v>4</v>
      </c>
      <c r="N17" s="3" t="s">
        <v>5</v>
      </c>
      <c r="O17" s="3" t="s">
        <v>6</v>
      </c>
      <c r="P17" s="3" t="s">
        <v>7</v>
      </c>
      <c r="R17" s="3" t="s">
        <v>2</v>
      </c>
      <c r="S17" s="3" t="s">
        <v>3</v>
      </c>
      <c r="T17" s="3" t="s">
        <v>4</v>
      </c>
      <c r="U17" s="3" t="s">
        <v>5</v>
      </c>
      <c r="V17" s="3" t="s">
        <v>6</v>
      </c>
      <c r="W17" s="3" t="s">
        <v>7</v>
      </c>
    </row>
    <row r="18" ht="14.25">
      <c r="B18" s="3" t="s">
        <v>28</v>
      </c>
      <c r="C18" s="3">
        <f>100-D18</f>
        <v>25</v>
      </c>
      <c r="D18" s="3">
        <f>M21*30/6</f>
        <v>75</v>
      </c>
      <c r="E18" s="3">
        <f>D18/15</f>
        <v>5</v>
      </c>
      <c r="F18" s="3">
        <f>ROUNDUP(E18,0)</f>
        <v>5</v>
      </c>
      <c r="G18" s="3">
        <f>F18*4</f>
        <v>20</v>
      </c>
      <c r="K18" s="3" t="s">
        <v>31</v>
      </c>
      <c r="L18" s="3">
        <v>0</v>
      </c>
      <c r="M18" s="3">
        <f>L18+M19*60/15+M20*30/20</f>
        <v>479.5</v>
      </c>
      <c r="N18" s="3">
        <f>M18/45</f>
        <v>10.655555555555555</v>
      </c>
      <c r="O18" s="3">
        <f t="shared" si="8"/>
        <v>10.66</v>
      </c>
      <c r="P18" s="3">
        <f>O18*16</f>
        <v>170.56</v>
      </c>
      <c r="R18" s="3" t="s">
        <v>30</v>
      </c>
      <c r="S18" s="3">
        <f>40-T18</f>
        <v>25</v>
      </c>
      <c r="T18" s="3">
        <f>T19*15/1</f>
        <v>15</v>
      </c>
      <c r="U18" s="3"/>
      <c r="V18" s="3">
        <f>ROUNDUP(U18,0)</f>
        <v>0</v>
      </c>
      <c r="W18" s="3">
        <f>V18*4</f>
        <v>0</v>
      </c>
    </row>
    <row r="19" ht="14.25">
      <c r="K19" s="3" t="s">
        <v>32</v>
      </c>
      <c r="L19" s="3">
        <v>25</v>
      </c>
      <c r="M19" s="3">
        <f>L19+M21*24/6+M22*30/5</f>
        <v>85</v>
      </c>
      <c r="N19" s="3">
        <f>M19/15</f>
        <v>5.666666666666667</v>
      </c>
      <c r="O19" s="3">
        <f t="shared" si="8"/>
        <v>5.6699999999999999</v>
      </c>
      <c r="P19" s="3">
        <f t="shared" ref="P19:P22" si="10">O19*15</f>
        <v>85.049999999999997</v>
      </c>
      <c r="R19" s="6" t="s">
        <v>33</v>
      </c>
      <c r="S19" s="3">
        <v>1</v>
      </c>
      <c r="T19" s="3">
        <f>S19</f>
        <v>1</v>
      </c>
      <c r="U19" s="3">
        <f>T19/1</f>
        <v>1</v>
      </c>
      <c r="V19" s="3"/>
      <c r="W19" s="3"/>
    </row>
    <row r="20" ht="14.25">
      <c r="B20" s="2" t="s">
        <v>34</v>
      </c>
      <c r="C20" s="7">
        <v>120</v>
      </c>
      <c r="D20" s="8"/>
      <c r="E20" s="8"/>
      <c r="F20" s="8"/>
      <c r="G20" s="8"/>
      <c r="K20" s="3" t="s">
        <v>35</v>
      </c>
      <c r="L20" s="3">
        <v>30</v>
      </c>
      <c r="M20" s="3">
        <f>L20+M8*15/5+D12*30/2</f>
        <v>93</v>
      </c>
      <c r="N20" s="3">
        <f>M20/20</f>
        <v>4.6500000000000004</v>
      </c>
      <c r="O20" s="3">
        <f t="shared" si="8"/>
        <v>4.6600000000000001</v>
      </c>
      <c r="P20" s="3">
        <f t="shared" si="10"/>
        <v>69.900000000000006</v>
      </c>
    </row>
    <row r="21" ht="14.25">
      <c r="B21" s="3" t="s">
        <v>2</v>
      </c>
      <c r="C21" s="3" t="s">
        <v>3</v>
      </c>
      <c r="D21" s="3" t="s">
        <v>4</v>
      </c>
      <c r="E21" s="3" t="s">
        <v>5</v>
      </c>
      <c r="F21" s="3" t="s">
        <v>6</v>
      </c>
      <c r="G21" s="3" t="s">
        <v>7</v>
      </c>
      <c r="K21" s="9" t="s">
        <v>36</v>
      </c>
      <c r="L21" s="3">
        <v>5</v>
      </c>
      <c r="M21" s="3">
        <f>D12*10/2+L21</f>
        <v>15</v>
      </c>
      <c r="N21" s="3">
        <f>M21/6</f>
        <v>2.5</v>
      </c>
      <c r="O21" s="3">
        <f t="shared" si="8"/>
        <v>2.5</v>
      </c>
      <c r="P21" s="10">
        <f t="shared" si="10"/>
        <v>37.5</v>
      </c>
    </row>
    <row r="22" ht="14.25">
      <c r="B22" s="3" t="s">
        <v>34</v>
      </c>
      <c r="C22" s="3">
        <f>120-D22</f>
        <v>2</v>
      </c>
      <c r="D22" s="3">
        <f>M10*30/7.5+D11*45/2.5+D23*30/60</f>
        <v>118</v>
      </c>
      <c r="E22" s="3">
        <f>D22/15</f>
        <v>7.8666666666666663</v>
      </c>
      <c r="F22" s="3">
        <f>ROUNDUP(E22,0)</f>
        <v>8</v>
      </c>
      <c r="G22" s="3">
        <f>F22*4</f>
        <v>32</v>
      </c>
      <c r="K22" s="6" t="s">
        <v>37</v>
      </c>
      <c r="L22" s="3">
        <v>0</v>
      </c>
      <c r="M22" s="3">
        <f>L22</f>
        <v>0</v>
      </c>
      <c r="N22" s="3">
        <f>M22/5</f>
        <v>0</v>
      </c>
      <c r="O22" s="3">
        <f t="shared" si="8"/>
        <v>0</v>
      </c>
      <c r="P22" s="10">
        <f t="shared" si="10"/>
        <v>0</v>
      </c>
    </row>
    <row r="23" ht="14.25">
      <c r="B23" s="3" t="s">
        <v>38</v>
      </c>
      <c r="C23" s="3">
        <v>30</v>
      </c>
      <c r="D23" s="3">
        <f>C23</f>
        <v>30</v>
      </c>
      <c r="E23" s="3"/>
      <c r="F23" s="3"/>
      <c r="G23" s="3"/>
    </row>
    <row r="24" ht="14.25">
      <c r="B24" s="11"/>
      <c r="C24" s="11"/>
      <c r="D24" s="11"/>
      <c r="E24" s="11"/>
      <c r="F24" s="11"/>
      <c r="G24" s="1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 Кашкаров</cp:lastModifiedBy>
  <cp:revision>13</cp:revision>
  <dcterms:modified xsi:type="dcterms:W3CDTF">2024-10-27T18:02:22Z</dcterms:modified>
</cp:coreProperties>
</file>