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7475" yWindow="0" windowWidth="10800" windowHeight="12480" tabRatio="826" firstSheet="1" activeTab="5"/>
  </bookViews>
  <sheets>
    <sheet name="TB Year 1" sheetId="10" r:id="rId1"/>
    <sheet name="TB Year 2" sheetId="17" r:id="rId2"/>
    <sheet name="TB Year 3" sheetId="18" r:id="rId3"/>
    <sheet name="TB Summary" sheetId="15" r:id="rId4"/>
    <sheet name="Budget Detail" sheetId="16" r:id="rId5"/>
    <sheet name="NPS Budget" sheetId="9" r:id="rId6"/>
  </sheets>
  <definedNames>
    <definedName name="_xlnm.Print_Area" localSheetId="4">'Budget Detail'!$A$1:$F$15</definedName>
    <definedName name="_xlnm.Print_Area" localSheetId="3">'TB Summary'!$A$1:$F$39</definedName>
    <definedName name="_xlnm.Print_Area" localSheetId="1">'TB Year 2'!$A$1:$G$70</definedName>
  </definedNames>
  <calcPr calcId="125725"/>
</workbook>
</file>

<file path=xl/calcChain.xml><?xml version="1.0" encoding="utf-8"?>
<calcChain xmlns="http://schemas.openxmlformats.org/spreadsheetml/2006/main">
  <c r="C6" i="9"/>
  <c r="H6" s="1"/>
  <c r="I6" s="1"/>
  <c r="J6" s="1"/>
  <c r="J5"/>
  <c r="I5"/>
  <c r="H5"/>
  <c r="C5"/>
  <c r="C4"/>
  <c r="F21" i="15" l="1"/>
  <c r="C13" i="18" l="1"/>
  <c r="C10"/>
  <c r="C13" i="17"/>
  <c r="C10"/>
  <c r="B33" i="18"/>
  <c r="B32"/>
  <c r="B32" i="17"/>
  <c r="B33"/>
  <c r="B33" i="10"/>
  <c r="B32"/>
  <c r="H48" i="9"/>
  <c r="H49" s="1"/>
  <c r="K47"/>
  <c r="K46"/>
  <c r="K45"/>
  <c r="K44"/>
  <c r="K43"/>
  <c r="K42"/>
  <c r="J40"/>
  <c r="I40"/>
  <c r="H40"/>
  <c r="K39"/>
  <c r="K38"/>
  <c r="K37"/>
  <c r="K36"/>
  <c r="K34"/>
  <c r="K33"/>
  <c r="K32"/>
  <c r="B29"/>
  <c r="B28"/>
  <c r="B27"/>
  <c r="B26"/>
  <c r="B25"/>
  <c r="B24"/>
  <c r="B23"/>
  <c r="J22"/>
  <c r="I22"/>
  <c r="H22"/>
  <c r="B22"/>
  <c r="J21"/>
  <c r="I21"/>
  <c r="H21"/>
  <c r="B21"/>
  <c r="J20"/>
  <c r="I20"/>
  <c r="H20"/>
  <c r="B20"/>
  <c r="B19"/>
  <c r="H15"/>
  <c r="I15" s="1"/>
  <c r="I29" s="1"/>
  <c r="F15"/>
  <c r="H14"/>
  <c r="H28" s="1"/>
  <c r="F14"/>
  <c r="H13"/>
  <c r="H27" s="1"/>
  <c r="F13"/>
  <c r="H12"/>
  <c r="H26" s="1"/>
  <c r="G13" i="10" s="1"/>
  <c r="H11" i="9"/>
  <c r="H25" s="1"/>
  <c r="G10" i="10" s="1"/>
  <c r="H10" i="9"/>
  <c r="H24" s="1"/>
  <c r="F10"/>
  <c r="H8"/>
  <c r="I8" s="1"/>
  <c r="I23" s="1"/>
  <c r="F8"/>
  <c r="F4"/>
  <c r="H4"/>
  <c r="I48" l="1"/>
  <c r="J48" s="1"/>
  <c r="J49" s="1"/>
  <c r="I11"/>
  <c r="I25" s="1"/>
  <c r="G10" i="17" s="1"/>
  <c r="C9" i="15"/>
  <c r="G9" i="10"/>
  <c r="K21" i="9"/>
  <c r="H23"/>
  <c r="B35" i="18"/>
  <c r="B37" s="1"/>
  <c r="B38" s="1"/>
  <c r="B35" i="17"/>
  <c r="B37" s="1"/>
  <c r="B38" s="1"/>
  <c r="I13" i="9"/>
  <c r="I27" s="1"/>
  <c r="K20"/>
  <c r="K22"/>
  <c r="H29"/>
  <c r="K40"/>
  <c r="G12" i="10"/>
  <c r="H16" i="9"/>
  <c r="I4"/>
  <c r="G5" i="17" s="1"/>
  <c r="H19" i="9"/>
  <c r="J8"/>
  <c r="J23" s="1"/>
  <c r="K23" s="1"/>
  <c r="I10"/>
  <c r="I12"/>
  <c r="G12" i="17" s="1"/>
  <c r="J13" i="9"/>
  <c r="J27" s="1"/>
  <c r="K27" s="1"/>
  <c r="I14"/>
  <c r="J15"/>
  <c r="J29" s="1"/>
  <c r="K29" s="1"/>
  <c r="K48" l="1"/>
  <c r="I49"/>
  <c r="K49" s="1"/>
  <c r="J11"/>
  <c r="K11" s="1"/>
  <c r="G9" i="17"/>
  <c r="D8" i="15" s="1"/>
  <c r="C8"/>
  <c r="K15" i="9"/>
  <c r="I26"/>
  <c r="J12"/>
  <c r="K12" s="1"/>
  <c r="H30"/>
  <c r="H31" s="1"/>
  <c r="I28"/>
  <c r="J14"/>
  <c r="I24"/>
  <c r="J10"/>
  <c r="I19"/>
  <c r="I16"/>
  <c r="J4"/>
  <c r="G5" i="18" s="1"/>
  <c r="K13" i="9"/>
  <c r="K8"/>
  <c r="J25" l="1"/>
  <c r="G10" i="18" s="1"/>
  <c r="G9"/>
  <c r="I30" i="9"/>
  <c r="I31" s="1"/>
  <c r="I51" s="1"/>
  <c r="G6" i="17"/>
  <c r="J26" i="9"/>
  <c r="G13" i="18" s="1"/>
  <c r="G12"/>
  <c r="G13" i="17"/>
  <c r="D9" i="15" s="1"/>
  <c r="J16" i="9"/>
  <c r="J19"/>
  <c r="G6" i="18" s="1"/>
  <c r="K4" i="9"/>
  <c r="H51"/>
  <c r="J24"/>
  <c r="K24" s="1"/>
  <c r="K10"/>
  <c r="J28"/>
  <c r="K28" s="1"/>
  <c r="K14"/>
  <c r="K25" l="1"/>
  <c r="E8" i="15"/>
  <c r="K19" i="9"/>
  <c r="K26"/>
  <c r="G18" i="18"/>
  <c r="G18" i="17"/>
  <c r="E9" i="15"/>
  <c r="I56" i="9"/>
  <c r="I52" s="1"/>
  <c r="I54" s="1"/>
  <c r="H56"/>
  <c r="K16"/>
  <c r="J30"/>
  <c r="K30" s="1"/>
  <c r="J31" l="1"/>
  <c r="J51" s="1"/>
  <c r="K51" s="1"/>
  <c r="H52"/>
  <c r="J56" l="1"/>
  <c r="J52" s="1"/>
  <c r="J54" s="1"/>
  <c r="K31"/>
  <c r="H54"/>
  <c r="K54" l="1"/>
  <c r="K52"/>
  <c r="K56"/>
  <c r="A48" i="17" l="1"/>
  <c r="A4" i="16"/>
  <c r="A5"/>
  <c r="A6"/>
  <c r="A7"/>
  <c r="A8"/>
  <c r="A9"/>
  <c r="C9"/>
  <c r="D9"/>
  <c r="E9"/>
  <c r="A10"/>
  <c r="A11"/>
  <c r="G42" i="18"/>
  <c r="E20" i="15" s="1"/>
  <c r="E11" i="16" s="1"/>
  <c r="G44" i="18"/>
  <c r="E22" i="15" s="1"/>
  <c r="E13" i="16" s="1"/>
  <c r="G41" i="18"/>
  <c r="E19" i="15" s="1"/>
  <c r="E10" i="16" s="1"/>
  <c r="G26" i="18"/>
  <c r="E17" i="15" s="1"/>
  <c r="E8" i="16" s="1"/>
  <c r="E6" i="15"/>
  <c r="E5"/>
  <c r="A48" i="18"/>
  <c r="G25"/>
  <c r="E16" i="15" s="1"/>
  <c r="E7" i="16" s="1"/>
  <c r="G24" i="18"/>
  <c r="E15" i="15" s="1"/>
  <c r="E6" i="16" s="1"/>
  <c r="G23" i="18"/>
  <c r="E14" i="15" s="1"/>
  <c r="E5" i="16" s="1"/>
  <c r="G22" i="18"/>
  <c r="E13" i="15" s="1"/>
  <c r="E4" i="16" s="1"/>
  <c r="A20" i="18"/>
  <c r="G44" i="17"/>
  <c r="D22" i="15" s="1"/>
  <c r="D13" i="16" s="1"/>
  <c r="G42" i="17"/>
  <c r="D20" i="15" s="1"/>
  <c r="D11" i="16" s="1"/>
  <c r="G41" i="17"/>
  <c r="D19" i="15" s="1"/>
  <c r="D10" i="16" s="1"/>
  <c r="G26" i="17"/>
  <c r="D17" i="15" s="1"/>
  <c r="D8" i="16" s="1"/>
  <c r="D6" i="15"/>
  <c r="D5"/>
  <c r="G25" i="17"/>
  <c r="D16" i="15" s="1"/>
  <c r="D7" i="16" s="1"/>
  <c r="G24" i="17"/>
  <c r="D15" i="15" s="1"/>
  <c r="D6" i="16" s="1"/>
  <c r="G23" i="17"/>
  <c r="D14" i="15" s="1"/>
  <c r="D5" i="16" s="1"/>
  <c r="G22" i="17"/>
  <c r="D13" i="15" s="1"/>
  <c r="D4" i="16" s="1"/>
  <c r="A20" i="17"/>
  <c r="G44" i="10"/>
  <c r="G42"/>
  <c r="G41"/>
  <c r="G26"/>
  <c r="G25"/>
  <c r="G24"/>
  <c r="G23"/>
  <c r="G6"/>
  <c r="C6" i="15" s="1"/>
  <c r="G5" i="10"/>
  <c r="G22"/>
  <c r="C5" i="15" l="1"/>
  <c r="G18" i="10"/>
  <c r="G46" i="18"/>
  <c r="D54" s="1"/>
  <c r="G46" i="17"/>
  <c r="G61" i="18" l="1"/>
  <c r="F66" s="1"/>
  <c r="F70" s="1"/>
  <c r="D54" i="17"/>
  <c r="A20" i="10"/>
  <c r="A48"/>
  <c r="G61" i="17" l="1"/>
  <c r="F66" s="1"/>
  <c r="F70" s="1"/>
  <c r="C15" i="15"/>
  <c r="C6" i="16" s="1"/>
  <c r="F6" s="1"/>
  <c r="C19" i="15"/>
  <c r="C10" i="16" s="1"/>
  <c r="C22" i="15"/>
  <c r="C13" i="16" s="1"/>
  <c r="C14" i="15"/>
  <c r="C5" i="16" s="1"/>
  <c r="F5" s="1"/>
  <c r="C20" i="15"/>
  <c r="C11" i="16" s="1"/>
  <c r="C13" i="15"/>
  <c r="C4" i="16" s="1"/>
  <c r="F4" s="1"/>
  <c r="F15" i="15" l="1"/>
  <c r="F22"/>
  <c r="F19"/>
  <c r="F13"/>
  <c r="F20"/>
  <c r="F13" i="16"/>
  <c r="F14" i="15"/>
  <c r="F11" i="16"/>
  <c r="B35" i="10"/>
  <c r="B37" s="1"/>
  <c r="B38" s="1"/>
  <c r="F10" i="16"/>
  <c r="F5" i="15"/>
  <c r="D10"/>
  <c r="F8"/>
  <c r="E10" l="1"/>
  <c r="F9"/>
  <c r="F6"/>
  <c r="C10"/>
  <c r="F10" l="1"/>
  <c r="C16" l="1"/>
  <c r="E15" i="16"/>
  <c r="E19" s="1"/>
  <c r="E23" s="1"/>
  <c r="E23" i="15"/>
  <c r="E27" s="1"/>
  <c r="E29" s="1"/>
  <c r="F16" l="1"/>
  <c r="C7" i="16"/>
  <c r="F7" s="1"/>
  <c r="E33" i="15"/>
  <c r="E37" s="1"/>
  <c r="D23"/>
  <c r="D27" s="1"/>
  <c r="D29" s="1"/>
  <c r="D15" i="16"/>
  <c r="D19" s="1"/>
  <c r="D23" s="1"/>
  <c r="C17" i="15"/>
  <c r="C8" i="16" s="1"/>
  <c r="F8" s="1"/>
  <c r="G46" i="10"/>
  <c r="D54" s="1"/>
  <c r="G61" s="1"/>
  <c r="D33" i="15" l="1"/>
  <c r="D37" s="1"/>
  <c r="F66" i="10"/>
  <c r="F70" s="1"/>
  <c r="C15" i="16"/>
  <c r="C23" i="15"/>
  <c r="C27" s="1"/>
  <c r="C29" s="1"/>
  <c r="F17"/>
  <c r="F23" s="1"/>
  <c r="C19" i="16" l="1"/>
  <c r="F15"/>
  <c r="F27" i="15" l="1"/>
  <c r="F19" i="16"/>
  <c r="F23" s="1"/>
  <c r="C23"/>
  <c r="F29" i="15" l="1"/>
  <c r="F33" s="1"/>
  <c r="F37" s="1"/>
  <c r="C33"/>
  <c r="C37" s="1"/>
</calcChain>
</file>

<file path=xl/sharedStrings.xml><?xml version="1.0" encoding="utf-8"?>
<sst xmlns="http://schemas.openxmlformats.org/spreadsheetml/2006/main" count="362" uniqueCount="177">
  <si>
    <t>Total</t>
  </si>
  <si>
    <t>Undergraduate Students</t>
  </si>
  <si>
    <t>Other</t>
  </si>
  <si>
    <t>Total Fringe Benefits</t>
  </si>
  <si>
    <t>Publication Costs</t>
  </si>
  <si>
    <t>Consultant Services</t>
  </si>
  <si>
    <t>Total Direct Costs</t>
  </si>
  <si>
    <t>Year 2</t>
  </si>
  <si>
    <t>Year 3</t>
  </si>
  <si>
    <t>Other Direct Costs</t>
  </si>
  <si>
    <t>Travel</t>
  </si>
  <si>
    <t>Subtotal</t>
  </si>
  <si>
    <t>University of Connecticut
Office for Sponsored Programs</t>
  </si>
  <si>
    <t>Year I</t>
  </si>
  <si>
    <t>A.</t>
  </si>
  <si>
    <t>Senior Personnel</t>
  </si>
  <si>
    <t>Salary</t>
  </si>
  <si>
    <t>Appt</t>
  </si>
  <si>
    <t>Months Effort</t>
  </si>
  <si>
    <t>% Effort</t>
  </si>
  <si>
    <t>B.</t>
  </si>
  <si>
    <t>Other Personnel</t>
  </si>
  <si>
    <t xml:space="preserve"> </t>
  </si>
  <si>
    <t>Post Docs</t>
  </si>
  <si>
    <t>Graduate Assistants - AY (L2)</t>
  </si>
  <si>
    <t>Graduate Assistants - Sum (L2)</t>
  </si>
  <si>
    <t>Secretarial/Clerical</t>
  </si>
  <si>
    <t>Total Salaries</t>
  </si>
  <si>
    <t>C.</t>
  </si>
  <si>
    <r>
      <t xml:space="preserve">Fringe Benefits
</t>
    </r>
    <r>
      <rPr>
        <u/>
        <sz val="9"/>
        <color indexed="12"/>
        <rFont val="Arial"/>
        <family val="2"/>
      </rPr>
      <t>Current Fringe Rates</t>
    </r>
  </si>
  <si>
    <t>Yr 1</t>
  </si>
  <si>
    <t>Yr 2</t>
  </si>
  <si>
    <t>Yr 3</t>
  </si>
  <si>
    <t>Total Salaries &amp; Fringes</t>
  </si>
  <si>
    <t>D.</t>
  </si>
  <si>
    <t>Equipment</t>
  </si>
  <si>
    <t>*</t>
  </si>
  <si>
    <t>E.</t>
  </si>
  <si>
    <t>Domestic</t>
  </si>
  <si>
    <t>Foreign</t>
  </si>
  <si>
    <t>F.</t>
  </si>
  <si>
    <t>Participant Support Costs</t>
  </si>
  <si>
    <t xml:space="preserve"> # of Participants: _____</t>
  </si>
  <si>
    <t>Stipends</t>
  </si>
  <si>
    <t>Subsistence</t>
  </si>
  <si>
    <t>Total Participant Costs</t>
  </si>
  <si>
    <t>G.</t>
  </si>
  <si>
    <t>Materials &amp; Supplies</t>
  </si>
  <si>
    <t>Computer Services</t>
  </si>
  <si>
    <t>Subawards</t>
  </si>
  <si>
    <t>**</t>
  </si>
  <si>
    <t>Tuition</t>
  </si>
  <si>
    <t>base:</t>
  </si>
  <si>
    <t>Tuition Calculator</t>
  </si>
  <si>
    <t>Total Other Direct Costs</t>
  </si>
  <si>
    <t>H.</t>
  </si>
  <si>
    <t>FY13</t>
  </si>
  <si>
    <t>FY14</t>
  </si>
  <si>
    <t>FY15</t>
  </si>
  <si>
    <t>I.</t>
  </si>
  <si>
    <t xml:space="preserve">Indirect Costs (F&amp;A) @ </t>
  </si>
  <si>
    <t>Indirect Cost Rates</t>
  </si>
  <si>
    <t xml:space="preserve"> * no F &amp; A applied, ** F &amp; A on 1st $25,000</t>
  </si>
  <si>
    <t>J.</t>
  </si>
  <si>
    <t>Total Costs</t>
  </si>
  <si>
    <t>Indirect Cost Base (MTDC)</t>
  </si>
  <si>
    <t>1. Direct Labor</t>
  </si>
  <si>
    <t>9 Mo Salary Base</t>
  </si>
  <si>
    <t>Work Effort per Year</t>
  </si>
  <si>
    <t>2. Other Direct Costs</t>
  </si>
  <si>
    <t xml:space="preserve">   Estimated length of trip:  3 days/2 nights</t>
  </si>
  <si>
    <t xml:space="preserve">   Airfare:</t>
  </si>
  <si>
    <t xml:space="preserve">   Lodging:</t>
  </si>
  <si>
    <t xml:space="preserve">   Per Diem:</t>
  </si>
  <si>
    <t xml:space="preserve">   Total Estimate per Individual</t>
  </si>
  <si>
    <t>f. Other</t>
  </si>
  <si>
    <t>3. Facilities and Administrative Costs</t>
  </si>
  <si>
    <t xml:space="preserve">Effective:  </t>
  </si>
  <si>
    <t>Direct Costs Less Equipment &gt; $5,000, Tuition Remission,</t>
  </si>
  <si>
    <t>Participant Costs and Sub-Awards over $25,000</t>
  </si>
  <si>
    <t>Cognizant Federal Agency/Contact:</t>
  </si>
  <si>
    <t>4. Other Applicable Costs - N/A</t>
  </si>
  <si>
    <t>5. Subtotal - Estimated Costs (Items 1-4)</t>
  </si>
  <si>
    <t>Less Cost Sharing</t>
  </si>
  <si>
    <t>Assistant Professor</t>
  </si>
  <si>
    <t>2 Graduate Research Assistant</t>
  </si>
  <si>
    <t>AY2012</t>
  </si>
  <si>
    <t>b. Consultants</t>
  </si>
  <si>
    <t>d. Materials &amp; Supplies</t>
  </si>
  <si>
    <t>Base:  Modified Total Direct Costs</t>
  </si>
  <si>
    <t>Facilities Use Fees</t>
  </si>
  <si>
    <t>6. Total Estimated Costs Year 3</t>
  </si>
  <si>
    <t>6. Total Estimated Costs Year 1</t>
  </si>
  <si>
    <t>Salaries</t>
  </si>
  <si>
    <t>TOTAL</t>
  </si>
  <si>
    <t>e. Travel</t>
  </si>
  <si>
    <t>F &amp; A Subtotal</t>
  </si>
  <si>
    <t>YEAR 1</t>
  </si>
  <si>
    <t>YEAR 2</t>
  </si>
  <si>
    <t>YEAR 3</t>
  </si>
  <si>
    <t>MTDC</t>
  </si>
  <si>
    <t>Base:  Modified Total Direct Costs (MTDC)</t>
  </si>
  <si>
    <t>Other Applicable Costs - N/A</t>
  </si>
  <si>
    <t>c. Capital Equipment (Costing &gt; $5,000)</t>
  </si>
  <si>
    <t>UConn</t>
  </si>
  <si>
    <t xml:space="preserve">   2 trips per year</t>
  </si>
  <si>
    <t xml:space="preserve">   Incidentals</t>
  </si>
  <si>
    <t xml:space="preserve">   Total for year</t>
  </si>
  <si>
    <t xml:space="preserve">   Rental car (only 1 per trip)</t>
  </si>
  <si>
    <t xml:space="preserve">   Subtotal per trip</t>
  </si>
  <si>
    <t xml:space="preserve">   Estimate based on previous travel</t>
  </si>
  <si>
    <t>Total Estimated Other Direct Costs</t>
  </si>
  <si>
    <t>Subtotal - Estimated Other Direct Costs</t>
  </si>
  <si>
    <r>
      <t>Fringe Benefits</t>
    </r>
    <r>
      <rPr>
        <vertAlign val="superscript"/>
        <sz val="12"/>
        <color theme="1"/>
        <rFont val="Times New Roman"/>
        <family val="1"/>
      </rPr>
      <t>2</t>
    </r>
  </si>
  <si>
    <r>
      <t>Fringe Benefits</t>
    </r>
    <r>
      <rPr>
        <vertAlign val="superscript"/>
        <sz val="12"/>
        <color theme="1"/>
        <rFont val="Times New Roman"/>
        <family val="1"/>
      </rPr>
      <t>1</t>
    </r>
  </si>
  <si>
    <r>
      <t xml:space="preserve">UNIVERSITY of CONNECTICUT (UConn)
Total Budget for Project Duration:  </t>
    </r>
    <r>
      <rPr>
        <b/>
        <sz val="12"/>
        <rFont val="Times New Roman"/>
        <family val="1"/>
      </rPr>
      <t>11/01/2012 - 10/31/2015</t>
    </r>
  </si>
  <si>
    <t>Senior Personnel (1)</t>
  </si>
  <si>
    <t>Graduate Students (2)</t>
  </si>
  <si>
    <r>
      <t xml:space="preserve">Subaward UNIVERSITY of CONNECTICUT (UConn)
Year 1:  </t>
    </r>
    <r>
      <rPr>
        <b/>
        <sz val="12"/>
        <rFont val="Times New Roman"/>
        <family val="1"/>
      </rPr>
      <t>11/01/2012 - 10/31/2013</t>
    </r>
  </si>
  <si>
    <t>c. Capital Equipment</t>
  </si>
  <si>
    <t>a. Subcontracts/Subawards</t>
  </si>
  <si>
    <t>Tuition Remission</t>
  </si>
  <si>
    <r>
      <t xml:space="preserve">Subaward UNIVERSITY of CONNECTICUT (UConn)
Year 2:  </t>
    </r>
    <r>
      <rPr>
        <b/>
        <sz val="12"/>
        <rFont val="Times New Roman"/>
        <family val="1"/>
      </rPr>
      <t>11/01/2013 - 10/31/2014</t>
    </r>
  </si>
  <si>
    <r>
      <t xml:space="preserve">Subaward UNIVERSITY of CONNECTICUT (UConn)
Year 3:  </t>
    </r>
    <r>
      <rPr>
        <b/>
        <sz val="12"/>
        <rFont val="Times New Roman"/>
        <family val="1"/>
      </rPr>
      <t>11/01/2014 - 10/31/2015</t>
    </r>
  </si>
  <si>
    <t>1 Calendar Month*</t>
  </si>
  <si>
    <r>
      <t>Applicable Fringe Rate</t>
    </r>
    <r>
      <rPr>
        <vertAlign val="super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 xml:space="preserve"> - 22.1%</t>
    </r>
  </si>
  <si>
    <r>
      <t>Applicable Fringe Rate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- 19.5%</t>
    </r>
  </si>
  <si>
    <t>3 Mo Summer Base</t>
  </si>
  <si>
    <r>
      <t>81% of 3-monthSummer</t>
    </r>
    <r>
      <rPr>
        <vertAlign val="superscript"/>
        <sz val="12"/>
        <color theme="1"/>
        <rFont val="Times New Roman"/>
        <family val="1"/>
      </rPr>
      <t>#</t>
    </r>
  </si>
  <si>
    <r>
      <t>81% of 9-monthAcademic Year</t>
    </r>
    <r>
      <rPr>
        <vertAlign val="superscript"/>
        <sz val="12"/>
        <color theme="1"/>
        <rFont val="Times New Roman"/>
        <family val="1"/>
      </rPr>
      <t>#</t>
    </r>
  </si>
  <si>
    <t>*salaries incremented by 5%</t>
  </si>
  <si>
    <r>
      <rPr>
        <vertAlign val="superscript"/>
        <sz val="12"/>
        <color theme="1"/>
        <rFont val="Times New Roman"/>
        <family val="1"/>
      </rPr>
      <t>#</t>
    </r>
    <r>
      <rPr>
        <sz val="12"/>
        <color theme="1"/>
        <rFont val="Times New Roman"/>
        <family val="1"/>
      </rPr>
      <t>salaries incremented by 1.5%</t>
    </r>
  </si>
  <si>
    <r>
      <t>Applicable Fringe Rate</t>
    </r>
    <r>
      <rPr>
        <vertAlign val="superscript"/>
        <sz val="14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- 6.8%</t>
    </r>
  </si>
  <si>
    <r>
      <t>Applicable Fringe Rate</t>
    </r>
    <r>
      <rPr>
        <vertAlign val="super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 xml:space="preserve"> - 24%</t>
    </r>
  </si>
  <si>
    <r>
      <t>Applicable Fringe Rate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- 17.6%</t>
    </r>
  </si>
  <si>
    <r>
      <t>Applicable Fringe Rate</t>
    </r>
    <r>
      <rPr>
        <vertAlign val="superscript"/>
        <sz val="14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- 8%</t>
    </r>
  </si>
  <si>
    <t xml:space="preserve">   Departure City: Storrs, CT</t>
  </si>
  <si>
    <r>
      <t xml:space="preserve">e. </t>
    </r>
    <r>
      <rPr>
        <u/>
        <sz val="12"/>
        <color theme="1"/>
        <rFont val="Times New Roman"/>
        <family val="1"/>
      </rPr>
      <t>Travel</t>
    </r>
    <r>
      <rPr>
        <sz val="12"/>
        <color theme="1"/>
        <rFont val="Times New Roman"/>
        <family val="1"/>
      </rPr>
      <t xml:space="preserve"> - Dr. Chengyu Cao and two others to be determined</t>
    </r>
  </si>
  <si>
    <r>
      <t xml:space="preserve">e. </t>
    </r>
    <r>
      <rPr>
        <u/>
        <sz val="12"/>
        <color theme="1"/>
        <rFont val="Times New Roman"/>
        <family val="1"/>
      </rPr>
      <t>Travel</t>
    </r>
    <r>
      <rPr>
        <sz val="12"/>
        <color theme="1"/>
        <rFont val="Times New Roman"/>
        <family val="1"/>
      </rPr>
      <t xml:space="preserve"> - Dr. Chengyu Cao and one student to be determined</t>
    </r>
  </si>
  <si>
    <t xml:space="preserve">   Purpose of Trip:  Visit PI, Co-PI, attend conference and attend NASA technical meetings per solicitation</t>
  </si>
  <si>
    <r>
      <t xml:space="preserve">e. </t>
    </r>
    <r>
      <rPr>
        <u/>
        <sz val="12"/>
        <color theme="1"/>
        <rFont val="Times New Roman"/>
        <family val="1"/>
      </rPr>
      <t>Travel</t>
    </r>
    <r>
      <rPr>
        <sz val="12"/>
        <color theme="1"/>
        <rFont val="Times New Roman"/>
        <family val="1"/>
      </rPr>
      <t xml:space="preserve"> - Dr. Chengyu Cao </t>
    </r>
  </si>
  <si>
    <r>
      <t>Applicable Fringe Rate</t>
    </r>
    <r>
      <rPr>
        <vertAlign val="super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 xml:space="preserve"> - 25%</t>
    </r>
  </si>
  <si>
    <r>
      <t>Applicable Fringe Rate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- 19%</t>
    </r>
  </si>
  <si>
    <r>
      <t>Applicable Fringe Rate</t>
    </r>
    <r>
      <rPr>
        <vertAlign val="superscript"/>
        <sz val="14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- 9%</t>
    </r>
  </si>
  <si>
    <t>Destination:  UIUC, conference site and domestic NASA selected site</t>
  </si>
  <si>
    <t>Graduate Students (2): to be named</t>
  </si>
  <si>
    <t>7/1/2011 - 6/30/2013</t>
  </si>
  <si>
    <t>Negotiated Rate: 57%</t>
  </si>
  <si>
    <t>U.S. Dept. of Health and Human Services</t>
  </si>
  <si>
    <t>Division of Cost Allocation</t>
  </si>
  <si>
    <t>Robert I. Aaronson</t>
  </si>
  <si>
    <t>26 Federal Plaza, Room 41-122</t>
  </si>
  <si>
    <t>New York, NY 10278</t>
  </si>
  <si>
    <t>Ph: (212) 264-1823</t>
  </si>
  <si>
    <t>7/1/13 - 6/30/15</t>
  </si>
  <si>
    <t>Negotiated Rate: 58%</t>
  </si>
  <si>
    <t>Tuition Remission - Calculated at 60% of tuition proportionate to Graduate Student effort</t>
  </si>
  <si>
    <r>
      <t xml:space="preserve">Tuition Remission </t>
    </r>
    <r>
      <rPr>
        <sz val="9"/>
        <color theme="1"/>
        <rFont val="Times New Roman"/>
        <family val="1"/>
      </rPr>
      <t>- 60% tuition</t>
    </r>
  </si>
  <si>
    <t>Rate: Year 1 = 57%, Years 2 &amp; 3 = 58%</t>
  </si>
  <si>
    <r>
      <rPr>
        <vertAlign val="super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 xml:space="preserve"> - Fringe benefits are charged at a rate of 22.1%, 24%, 25%, respectively  on faculty salaries.  Benefits include retirement, worker’s compensation, health, life and dental insurance, termination, and Medicare.  </t>
    </r>
  </si>
  <si>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- Fringe benefits are charged at a rate of  19.5%, 17.6%, 19% on graduate student  academic salaries and 6.8%, 8% and 9% on summer salaries.  Benefits include worker’s compensation and health, life and dental insurance. </t>
    </r>
  </si>
  <si>
    <r>
      <rPr>
        <vertAlign val="super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 xml:space="preserve"> - Fringe benefits are charged at a rate of 24% on faculty and postdoc salaries.  Benefits include retirement, worker’s compensation, health, life and dental insurance, termination, and Medicare.</t>
    </r>
  </si>
  <si>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- Fringe benefits are charged at a rate of 17.6% on graduate student salaries.  Benefits include worker’s compensation and health, life and dental insurance. </t>
    </r>
  </si>
  <si>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- Fringe benefits are charged at a rate of 8% on graduate student salaries.  Benefits include worker’s compensation and health, life and dental insurance. </t>
    </r>
  </si>
  <si>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- Fringe benefits are charged at a rate of 8% on graduate student salaries.  Benefits include Benefits include worker’s compensation and health, life and dental insurance. </t>
    </r>
  </si>
  <si>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- Fringe benefits are charged at a rate of 19.5% on graduate student salaries.  Benefits include worker’s compensation and health, life and dental insurance. </t>
    </r>
  </si>
  <si>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- Fringe benefits are charged at a rate of 6.8% on graduate student salaries.  Benefits include worker’s compensation and health, life and dental insurance. </t>
    </r>
  </si>
  <si>
    <r>
      <rPr>
        <vertAlign val="super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 xml:space="preserve"> - Fringe benefits are charged at a rate of 22.1% on faculty and postdoc salaries.  Benefits include retirement, worker’s compensation, health, life and dental insurance, termination, and Medicare.  </t>
    </r>
  </si>
  <si>
    <r>
      <rPr>
        <vertAlign val="super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 xml:space="preserve"> - Fringe benefits are charged at a rate of 24% on faculty and postdoc salaries.  Benefits include retirement, worker’s compensation, health, life and dental insurance, termination, and Medicare.  </t>
    </r>
  </si>
  <si>
    <t>6. Total Estimated Costs Year 2</t>
  </si>
  <si>
    <t>Co-I: Cao</t>
  </si>
  <si>
    <t>Pilot Payments</t>
  </si>
  <si>
    <t xml:space="preserve">6. Total Estimated Costs </t>
  </si>
  <si>
    <t>Naval Postgraduate School (NPS)
Project Duration:  01/01/2013 - 12/31/2016</t>
  </si>
  <si>
    <t>V.N.Dobrokhodov</t>
  </si>
  <si>
    <t>K.D.Jones</t>
  </si>
  <si>
    <t>I.I.Kaminer</t>
  </si>
</sst>
</file>

<file path=xl/styles.xml><?xml version="1.0" encoding="utf-8"?>
<styleSheet xmlns="http://schemas.openxmlformats.org/spreadsheetml/2006/main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&quot;$&quot;#,##0;[Red]&quot;$&quot;#,##0"/>
    <numFmt numFmtId="167" formatCode="_(* #,##0_);_(* \(#,##0\);_(* &quot;-&quot;??_);_(@_)"/>
    <numFmt numFmtId="168" formatCode="0;\-0;;@"/>
  </numFmts>
  <fonts count="3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Times"/>
      <family val="1"/>
    </font>
    <font>
      <sz val="12"/>
      <name val="Times New Roman"/>
      <family val="1"/>
    </font>
    <font>
      <sz val="10"/>
      <name val="Geneva"/>
    </font>
    <font>
      <sz val="10"/>
      <name val="Times"/>
    </font>
    <font>
      <b/>
      <sz val="12"/>
      <name val="Times New Roman"/>
      <family val="1"/>
    </font>
    <font>
      <b/>
      <sz val="9"/>
      <name val="Arial"/>
      <family val="2"/>
    </font>
    <font>
      <u/>
      <sz val="10"/>
      <name val="Arial"/>
      <family val="2"/>
    </font>
    <font>
      <u/>
      <sz val="8"/>
      <name val="Arial"/>
      <family val="2"/>
    </font>
    <font>
      <sz val="9"/>
      <name val="Arial"/>
      <family val="2"/>
    </font>
    <font>
      <u/>
      <sz val="9"/>
      <color indexed="12"/>
      <name val="Arial"/>
      <family val="2"/>
    </font>
    <font>
      <b/>
      <sz val="8"/>
      <name val="Arial Black"/>
      <family val="2"/>
    </font>
    <font>
      <i/>
      <sz val="9"/>
      <name val="Arial"/>
      <family val="2"/>
    </font>
    <font>
      <i/>
      <sz val="8"/>
      <name val="Arial"/>
      <family val="2"/>
    </font>
    <font>
      <b/>
      <i/>
      <sz val="9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2"/>
      <color theme="1"/>
      <name val="Times New Roman"/>
      <family val="1"/>
    </font>
    <font>
      <sz val="10"/>
      <name val="Arial"/>
      <family val="2"/>
    </font>
    <font>
      <sz val="12"/>
      <color theme="0"/>
      <name val="Times New Roman"/>
      <family val="1"/>
    </font>
    <font>
      <sz val="9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vertAlign val="superscript"/>
      <sz val="14"/>
      <color theme="1"/>
      <name val="Times New Roman"/>
      <family val="1"/>
    </font>
    <font>
      <u val="singleAccounting"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59999389629810485"/>
        <bgColor indexed="64"/>
      </patternFill>
    </fill>
    <fill>
      <gradientFill degree="90">
        <stop position="0">
          <color theme="4" tint="0.80001220740379042"/>
        </stop>
        <stop position="1">
          <color theme="0" tint="-0.1490218817712943"/>
        </stop>
      </gradient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5">
    <xf numFmtId="0" fontId="0" fillId="0" borderId="0"/>
    <xf numFmtId="0" fontId="8" fillId="0" borderId="0" applyNumberFormat="0" applyFill="0" applyBorder="0" applyAlignment="0" applyProtection="0"/>
    <xf numFmtId="8" fontId="10" fillId="0" borderId="0" applyFont="0" applyFill="0" applyBorder="0" applyAlignment="0" applyProtection="0"/>
    <xf numFmtId="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1" fillId="0" borderId="0" applyNumberForma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44" fontId="3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</cellStyleXfs>
  <cellXfs count="238">
    <xf numFmtId="0" fontId="0" fillId="0" borderId="0" xfId="0"/>
    <xf numFmtId="0" fontId="7" fillId="0" borderId="0" xfId="0" applyFont="1"/>
    <xf numFmtId="0" fontId="14" fillId="0" borderId="1" xfId="0" applyFont="1" applyBorder="1"/>
    <xf numFmtId="0" fontId="15" fillId="0" borderId="1" xfId="0" applyFont="1" applyBorder="1"/>
    <xf numFmtId="0" fontId="15" fillId="0" borderId="0" xfId="0" applyFont="1"/>
    <xf numFmtId="0" fontId="16" fillId="0" borderId="10" xfId="0" applyFont="1" applyFill="1" applyBorder="1" applyAlignment="1">
      <alignment horizontal="center"/>
    </xf>
    <xf numFmtId="0" fontId="16" fillId="0" borderId="0" xfId="0" applyFont="1" applyAlignment="1"/>
    <xf numFmtId="0" fontId="13" fillId="0" borderId="0" xfId="0" applyFont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6" fillId="2" borderId="2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 wrapText="1"/>
    </xf>
    <xf numFmtId="0" fontId="13" fillId="0" borderId="0" xfId="0" applyFont="1" applyBorder="1" applyAlignment="1">
      <alignment wrapText="1"/>
    </xf>
    <xf numFmtId="14" fontId="6" fillId="0" borderId="4" xfId="0" applyNumberFormat="1" applyFont="1" applyBorder="1" applyAlignment="1">
      <alignment horizontal="center" wrapText="1"/>
    </xf>
    <xf numFmtId="14" fontId="6" fillId="0" borderId="2" xfId="0" applyNumberFormat="1" applyFont="1" applyBorder="1" applyAlignment="1">
      <alignment horizontal="center" wrapText="1"/>
    </xf>
    <xf numFmtId="0" fontId="6" fillId="2" borderId="3" xfId="0" applyFont="1" applyFill="1" applyBorder="1" applyAlignment="1">
      <alignment horizontal="center"/>
    </xf>
    <xf numFmtId="0" fontId="16" fillId="0" borderId="10" xfId="0" quotePrefix="1" applyFont="1" applyFill="1" applyBorder="1" applyAlignment="1">
      <alignment horizontal="center"/>
    </xf>
    <xf numFmtId="0" fontId="16" fillId="0" borderId="0" xfId="0" applyFont="1" applyProtection="1">
      <protection locked="0"/>
    </xf>
    <xf numFmtId="0" fontId="7" fillId="0" borderId="0" xfId="0" applyFont="1" applyBorder="1" applyAlignment="1" applyProtection="1">
      <alignment horizontal="center"/>
      <protection locked="0"/>
    </xf>
    <xf numFmtId="43" fontId="7" fillId="0" borderId="0" xfId="6" applyFont="1" applyBorder="1" applyAlignment="1" applyProtection="1">
      <alignment horizontal="center"/>
      <protection locked="0"/>
    </xf>
    <xf numFmtId="10" fontId="7" fillId="0" borderId="11" xfId="0" applyNumberFormat="1" applyFont="1" applyBorder="1" applyAlignment="1" applyProtection="1">
      <alignment horizontal="center"/>
      <protection locked="0"/>
    </xf>
    <xf numFmtId="167" fontId="16" fillId="0" borderId="0" xfId="6" applyNumberFormat="1" applyFont="1" applyBorder="1" applyAlignment="1" applyProtection="1">
      <protection locked="0"/>
    </xf>
    <xf numFmtId="167" fontId="16" fillId="0" borderId="0" xfId="0" applyNumberFormat="1" applyFont="1" applyProtection="1">
      <protection locked="0"/>
    </xf>
    <xf numFmtId="167" fontId="16" fillId="2" borderId="13" xfId="0" applyNumberFormat="1" applyFont="1" applyFill="1" applyBorder="1" applyProtection="1">
      <protection locked="0"/>
    </xf>
    <xf numFmtId="0" fontId="13" fillId="0" borderId="10" xfId="0" applyFont="1" applyFill="1" applyBorder="1" applyAlignment="1">
      <alignment horizontal="center"/>
    </xf>
    <xf numFmtId="0" fontId="13" fillId="0" borderId="0" xfId="0" applyFont="1" applyProtection="1">
      <protection locked="0"/>
    </xf>
    <xf numFmtId="167" fontId="16" fillId="0" borderId="0" xfId="0" applyNumberFormat="1" applyFont="1" applyFill="1" applyProtection="1">
      <protection locked="0"/>
    </xf>
    <xf numFmtId="0" fontId="16" fillId="0" borderId="0" xfId="0" applyFont="1" applyProtection="1"/>
    <xf numFmtId="167" fontId="16" fillId="0" borderId="5" xfId="6" applyNumberFormat="1" applyFont="1" applyBorder="1" applyAlignment="1" applyProtection="1">
      <protection locked="0"/>
    </xf>
    <xf numFmtId="167" fontId="16" fillId="0" borderId="1" xfId="0" applyNumberFormat="1" applyFont="1" applyBorder="1" applyProtection="1">
      <protection locked="0"/>
    </xf>
    <xf numFmtId="167" fontId="16" fillId="2" borderId="14" xfId="0" applyNumberFormat="1" applyFont="1" applyFill="1" applyBorder="1" applyProtection="1">
      <protection locked="0"/>
    </xf>
    <xf numFmtId="167" fontId="16" fillId="0" borderId="0" xfId="6" applyNumberFormat="1" applyFont="1" applyBorder="1" applyAlignment="1"/>
    <xf numFmtId="0" fontId="16" fillId="0" borderId="0" xfId="0" applyFont="1"/>
    <xf numFmtId="0" fontId="13" fillId="0" borderId="0" xfId="0" applyFont="1" applyBorder="1"/>
    <xf numFmtId="0" fontId="13" fillId="2" borderId="13" xfId="0" applyFont="1" applyFill="1" applyBorder="1"/>
    <xf numFmtId="0" fontId="13" fillId="0" borderId="10" xfId="0" applyFont="1" applyFill="1" applyBorder="1" applyAlignment="1">
      <alignment horizontal="center" vertical="top"/>
    </xf>
    <xf numFmtId="0" fontId="13" fillId="0" borderId="0" xfId="0" applyFont="1" applyBorder="1" applyAlignment="1">
      <alignment horizontal="left" vertical="center" wrapText="1"/>
    </xf>
    <xf numFmtId="0" fontId="6" fillId="2" borderId="4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2" borderId="13" xfId="0" applyFont="1" applyFill="1" applyBorder="1" applyAlignment="1">
      <alignment horizontal="center"/>
    </xf>
    <xf numFmtId="168" fontId="16" fillId="0" borderId="0" xfId="0" applyNumberFormat="1" applyFont="1"/>
    <xf numFmtId="165" fontId="7" fillId="0" borderId="7" xfId="7" applyNumberFormat="1" applyFont="1" applyBorder="1" applyProtection="1">
      <protection locked="0"/>
    </xf>
    <xf numFmtId="165" fontId="7" fillId="0" borderId="0" xfId="7" applyNumberFormat="1" applyFont="1" applyBorder="1" applyProtection="1">
      <protection locked="0"/>
    </xf>
    <xf numFmtId="165" fontId="7" fillId="0" borderId="8" xfId="7" applyNumberFormat="1" applyFont="1" applyBorder="1" applyProtection="1">
      <protection locked="0"/>
    </xf>
    <xf numFmtId="165" fontId="7" fillId="0" borderId="9" xfId="7" applyNumberFormat="1" applyFont="1" applyBorder="1" applyProtection="1">
      <protection locked="0"/>
    </xf>
    <xf numFmtId="167" fontId="16" fillId="2" borderId="13" xfId="7" applyNumberFormat="1" applyFont="1" applyFill="1" applyBorder="1" applyProtection="1">
      <protection locked="0"/>
    </xf>
    <xf numFmtId="165" fontId="7" fillId="0" borderId="10" xfId="7" applyNumberFormat="1" applyFont="1" applyBorder="1" applyProtection="1">
      <protection locked="0"/>
    </xf>
    <xf numFmtId="165" fontId="7" fillId="0" borderId="11" xfId="7" applyNumberFormat="1" applyFont="1" applyBorder="1" applyProtection="1">
      <protection locked="0"/>
    </xf>
    <xf numFmtId="165" fontId="16" fillId="0" borderId="10" xfId="7" applyNumberFormat="1" applyFont="1" applyBorder="1" applyProtection="1">
      <protection locked="0"/>
    </xf>
    <xf numFmtId="165" fontId="16" fillId="0" borderId="5" xfId="7" applyNumberFormat="1" applyFont="1" applyBorder="1" applyProtection="1">
      <protection locked="0"/>
    </xf>
    <xf numFmtId="165" fontId="7" fillId="0" borderId="1" xfId="7" applyNumberFormat="1" applyFont="1" applyBorder="1" applyProtection="1">
      <protection locked="0"/>
    </xf>
    <xf numFmtId="165" fontId="7" fillId="0" borderId="12" xfId="7" applyNumberFormat="1" applyFont="1" applyBorder="1" applyProtection="1">
      <protection locked="0"/>
    </xf>
    <xf numFmtId="167" fontId="16" fillId="0" borderId="1" xfId="6" applyNumberFormat="1" applyFont="1" applyBorder="1" applyAlignment="1"/>
    <xf numFmtId="167" fontId="16" fillId="2" borderId="14" xfId="7" applyNumberFormat="1" applyFont="1" applyFill="1" applyBorder="1" applyProtection="1">
      <protection locked="0"/>
    </xf>
    <xf numFmtId="0" fontId="13" fillId="0" borderId="0" xfId="0" applyFont="1"/>
    <xf numFmtId="0" fontId="18" fillId="0" borderId="0" xfId="0" applyFont="1" applyFill="1"/>
    <xf numFmtId="0" fontId="7" fillId="0" borderId="11" xfId="0" applyFont="1" applyBorder="1"/>
    <xf numFmtId="0" fontId="19" fillId="0" borderId="0" xfId="0" applyFont="1"/>
    <xf numFmtId="167" fontId="16" fillId="0" borderId="1" xfId="6" applyNumberFormat="1" applyFont="1" applyBorder="1" applyAlignment="1" applyProtection="1">
      <protection locked="0"/>
    </xf>
    <xf numFmtId="167" fontId="16" fillId="0" borderId="0" xfId="6" applyNumberFormat="1" applyFont="1" applyAlignment="1" applyProtection="1">
      <protection locked="0"/>
    </xf>
    <xf numFmtId="0" fontId="16" fillId="0" borderId="0" xfId="0" applyFont="1" applyBorder="1"/>
    <xf numFmtId="0" fontId="7" fillId="0" borderId="0" xfId="0" applyFont="1" applyBorder="1"/>
    <xf numFmtId="0" fontId="6" fillId="0" borderId="0" xfId="0" applyFont="1" applyBorder="1"/>
    <xf numFmtId="167" fontId="16" fillId="0" borderId="0" xfId="6" applyNumberFormat="1" applyFont="1" applyFill="1" applyAlignment="1" applyProtection="1">
      <protection locked="0"/>
    </xf>
    <xf numFmtId="0" fontId="5" fillId="0" borderId="0" xfId="8" applyBorder="1" applyAlignment="1" applyProtection="1"/>
    <xf numFmtId="0" fontId="16" fillId="0" borderId="1" xfId="0" applyFont="1" applyBorder="1"/>
    <xf numFmtId="0" fontId="20" fillId="3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20" fillId="0" borderId="11" xfId="0" applyFont="1" applyFill="1" applyBorder="1" applyAlignment="1">
      <alignment horizontal="center"/>
    </xf>
    <xf numFmtId="9" fontId="21" fillId="0" borderId="0" xfId="7" applyFont="1" applyAlignment="1">
      <alignment horizontal="center"/>
    </xf>
    <xf numFmtId="9" fontId="21" fillId="0" borderId="0" xfId="7" applyFont="1" applyFill="1" applyAlignment="1">
      <alignment horizontal="center"/>
    </xf>
    <xf numFmtId="9" fontId="21" fillId="0" borderId="11" xfId="7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/>
    </xf>
    <xf numFmtId="0" fontId="5" fillId="0" borderId="0" xfId="8" applyAlignment="1" applyProtection="1"/>
    <xf numFmtId="0" fontId="20" fillId="0" borderId="0" xfId="0" applyFont="1" applyBorder="1"/>
    <xf numFmtId="0" fontId="20" fillId="0" borderId="0" xfId="0" applyFont="1"/>
    <xf numFmtId="0" fontId="16" fillId="0" borderId="0" xfId="0" applyFont="1" applyAlignment="1">
      <alignment horizontal="left"/>
    </xf>
    <xf numFmtId="0" fontId="13" fillId="0" borderId="5" xfId="0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/>
    <xf numFmtId="0" fontId="6" fillId="0" borderId="1" xfId="0" applyFont="1" applyBorder="1"/>
    <xf numFmtId="0" fontId="6" fillId="0" borderId="12" xfId="0" applyFont="1" applyBorder="1"/>
    <xf numFmtId="164" fontId="13" fillId="2" borderId="4" xfId="9" applyNumberFormat="1" applyFont="1" applyFill="1" applyBorder="1" applyAlignment="1">
      <alignment vertical="center"/>
    </xf>
    <xf numFmtId="164" fontId="13" fillId="2" borderId="2" xfId="9" applyNumberFormat="1" applyFont="1" applyFill="1" applyBorder="1" applyAlignment="1">
      <alignment vertical="center"/>
    </xf>
    <xf numFmtId="164" fontId="13" fillId="2" borderId="15" xfId="9" applyNumberFormat="1" applyFont="1" applyFill="1" applyBorder="1" applyAlignment="1">
      <alignment vertical="center"/>
    </xf>
    <xf numFmtId="0" fontId="4" fillId="4" borderId="4" xfId="0" applyFont="1" applyFill="1" applyBorder="1" applyAlignment="1">
      <alignment horizontal="center"/>
    </xf>
    <xf numFmtId="0" fontId="3" fillId="4" borderId="2" xfId="0" applyFont="1" applyFill="1" applyBorder="1"/>
    <xf numFmtId="0" fontId="4" fillId="4" borderId="2" xfId="0" applyFont="1" applyFill="1" applyBorder="1"/>
    <xf numFmtId="164" fontId="4" fillId="4" borderId="2" xfId="9" applyNumberFormat="1" applyFont="1" applyFill="1" applyBorder="1" applyAlignment="1"/>
    <xf numFmtId="0" fontId="4" fillId="4" borderId="8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13" fillId="0" borderId="2" xfId="0" applyFont="1" applyBorder="1"/>
    <xf numFmtId="164" fontId="13" fillId="2" borderId="14" xfId="9" applyNumberFormat="1" applyFont="1" applyFill="1" applyBorder="1" applyAlignment="1">
      <alignment vertical="center"/>
    </xf>
    <xf numFmtId="0" fontId="7" fillId="0" borderId="0" xfId="0" applyFont="1" applyAlignment="1">
      <alignment horizontal="center"/>
    </xf>
    <xf numFmtId="167" fontId="7" fillId="0" borderId="0" xfId="6" applyNumberFormat="1" applyFont="1" applyBorder="1" applyAlignment="1"/>
    <xf numFmtId="0" fontId="7" fillId="0" borderId="0" xfId="0" applyFont="1" applyBorder="1" applyAlignment="1">
      <alignment horizontal="center"/>
    </xf>
    <xf numFmtId="0" fontId="7" fillId="0" borderId="0" xfId="0" quotePrefix="1" applyFont="1" applyBorder="1" applyAlignment="1">
      <alignment horizontal="center"/>
    </xf>
    <xf numFmtId="9" fontId="7" fillId="0" borderId="0" xfId="0" applyNumberFormat="1" applyFont="1" applyBorder="1"/>
    <xf numFmtId="0" fontId="6" fillId="0" borderId="0" xfId="0" applyFont="1" applyBorder="1" applyAlignment="1">
      <alignment horizontal="center"/>
    </xf>
    <xf numFmtId="9" fontId="7" fillId="0" borderId="0" xfId="7" applyFont="1" applyBorder="1"/>
    <xf numFmtId="164" fontId="7" fillId="0" borderId="0" xfId="9" applyNumberFormat="1" applyFont="1" applyBorder="1" applyAlignment="1"/>
    <xf numFmtId="167" fontId="7" fillId="0" borderId="0" xfId="0" applyNumberFormat="1" applyFont="1" applyBorder="1" applyAlignment="1"/>
    <xf numFmtId="164" fontId="6" fillId="0" borderId="0" xfId="9" applyNumberFormat="1" applyFont="1" applyBorder="1" applyAlignment="1"/>
    <xf numFmtId="0" fontId="7" fillId="0" borderId="0" xfId="0" applyFont="1" applyBorder="1" applyAlignment="1"/>
    <xf numFmtId="0" fontId="7" fillId="0" borderId="0" xfId="0" applyFont="1" applyAlignment="1"/>
    <xf numFmtId="0" fontId="23" fillId="0" borderId="0" xfId="10" applyFont="1"/>
    <xf numFmtId="0" fontId="23" fillId="5" borderId="4" xfId="10" applyFont="1" applyFill="1" applyBorder="1"/>
    <xf numFmtId="0" fontId="23" fillId="5" borderId="2" xfId="10" applyFont="1" applyFill="1" applyBorder="1"/>
    <xf numFmtId="0" fontId="23" fillId="5" borderId="6" xfId="10" applyFont="1" applyFill="1" applyBorder="1"/>
    <xf numFmtId="0" fontId="23" fillId="0" borderId="10" xfId="10" applyFont="1" applyBorder="1"/>
    <xf numFmtId="0" fontId="23" fillId="0" borderId="0" xfId="10" applyFont="1" applyBorder="1"/>
    <xf numFmtId="0" fontId="23" fillId="0" borderId="0" xfId="10" applyFont="1" applyBorder="1" applyAlignment="1">
      <alignment horizontal="center"/>
    </xf>
    <xf numFmtId="0" fontId="23" fillId="0" borderId="11" xfId="10" applyFont="1" applyFill="1" applyBorder="1" applyAlignment="1">
      <alignment horizontal="center"/>
    </xf>
    <xf numFmtId="164" fontId="23" fillId="0" borderId="0" xfId="11" applyNumberFormat="1" applyFont="1" applyBorder="1"/>
    <xf numFmtId="164" fontId="23" fillId="0" borderId="11" xfId="11" applyNumberFormat="1" applyFont="1" applyFill="1" applyBorder="1"/>
    <xf numFmtId="0" fontId="23" fillId="0" borderId="0" xfId="10" applyFont="1" applyBorder="1" applyAlignment="1">
      <alignment horizontal="left"/>
    </xf>
    <xf numFmtId="44" fontId="23" fillId="0" borderId="0" xfId="11" applyFont="1" applyBorder="1"/>
    <xf numFmtId="0" fontId="23" fillId="0" borderId="11" xfId="10" applyFont="1" applyFill="1" applyBorder="1"/>
    <xf numFmtId="164" fontId="23" fillId="0" borderId="12" xfId="11" applyNumberFormat="1" applyFont="1" applyFill="1" applyBorder="1"/>
    <xf numFmtId="0" fontId="23" fillId="0" borderId="11" xfId="10" applyFont="1" applyBorder="1"/>
    <xf numFmtId="0" fontId="23" fillId="0" borderId="0" xfId="10" applyFont="1" applyBorder="1" applyAlignment="1">
      <alignment horizontal="right"/>
    </xf>
    <xf numFmtId="164" fontId="23" fillId="0" borderId="11" xfId="11" applyNumberFormat="1" applyFont="1" applyBorder="1"/>
    <xf numFmtId="0" fontId="23" fillId="0" borderId="5" xfId="10" applyFont="1" applyBorder="1"/>
    <xf numFmtId="0" fontId="23" fillId="0" borderId="1" xfId="10" applyFont="1" applyBorder="1"/>
    <xf numFmtId="0" fontId="23" fillId="0" borderId="12" xfId="10" applyFont="1" applyBorder="1"/>
    <xf numFmtId="0" fontId="23" fillId="0" borderId="10" xfId="10" applyFont="1" applyFill="1" applyBorder="1"/>
    <xf numFmtId="0" fontId="23" fillId="0" borderId="0" xfId="10" applyFont="1" applyFill="1" applyBorder="1"/>
    <xf numFmtId="0" fontId="23" fillId="0" borderId="0" xfId="10" applyFont="1" applyFill="1"/>
    <xf numFmtId="44" fontId="23" fillId="0" borderId="0" xfId="11" applyFont="1" applyFill="1" applyBorder="1"/>
    <xf numFmtId="164" fontId="23" fillId="0" borderId="11" xfId="10" applyNumberFormat="1" applyFont="1" applyBorder="1"/>
    <xf numFmtId="164" fontId="23" fillId="0" borderId="11" xfId="10" applyNumberFormat="1" applyFont="1" applyFill="1" applyBorder="1"/>
    <xf numFmtId="0" fontId="23" fillId="0" borderId="0" xfId="10" applyFont="1" applyBorder="1" applyAlignment="1"/>
    <xf numFmtId="44" fontId="23" fillId="5" borderId="6" xfId="11" applyFont="1" applyFill="1" applyBorder="1"/>
    <xf numFmtId="0" fontId="23" fillId="0" borderId="5" xfId="10" applyFont="1" applyFill="1" applyBorder="1"/>
    <xf numFmtId="0" fontId="23" fillId="0" borderId="1" xfId="10" applyFont="1" applyFill="1" applyBorder="1"/>
    <xf numFmtId="0" fontId="23" fillId="0" borderId="1" xfId="10" applyFont="1" applyFill="1" applyBorder="1" applyAlignment="1">
      <alignment horizontal="right"/>
    </xf>
    <xf numFmtId="44" fontId="23" fillId="0" borderId="12" xfId="11" applyFont="1" applyFill="1" applyBorder="1"/>
    <xf numFmtId="0" fontId="23" fillId="0" borderId="10" xfId="10" applyFont="1" applyBorder="1" applyAlignment="1">
      <alignment horizontal="left" indent="2"/>
    </xf>
    <xf numFmtId="0" fontId="22" fillId="0" borderId="0" xfId="10" applyFont="1" applyBorder="1" applyAlignment="1">
      <alignment horizontal="center"/>
    </xf>
    <xf numFmtId="0" fontId="22" fillId="0" borderId="11" xfId="10" applyFont="1" applyBorder="1" applyAlignment="1">
      <alignment horizontal="center"/>
    </xf>
    <xf numFmtId="0" fontId="22" fillId="0" borderId="10" xfId="10" applyFont="1" applyBorder="1"/>
    <xf numFmtId="164" fontId="23" fillId="0" borderId="0" xfId="10" applyNumberFormat="1" applyFont="1"/>
    <xf numFmtId="165" fontId="26" fillId="0" borderId="0" xfId="12" applyNumberFormat="1" applyFont="1" applyFill="1" applyBorder="1"/>
    <xf numFmtId="0" fontId="22" fillId="5" borderId="6" xfId="10" applyFont="1" applyFill="1" applyBorder="1" applyAlignment="1">
      <alignment horizontal="center"/>
    </xf>
    <xf numFmtId="0" fontId="22" fillId="0" borderId="11" xfId="10" applyFont="1" applyBorder="1"/>
    <xf numFmtId="164" fontId="22" fillId="0" borderId="11" xfId="11" applyNumberFormat="1" applyFont="1" applyFill="1" applyBorder="1"/>
    <xf numFmtId="164" fontId="22" fillId="0" borderId="11" xfId="11" applyNumberFormat="1" applyFont="1" applyBorder="1"/>
    <xf numFmtId="0" fontId="22" fillId="5" borderId="6" xfId="10" applyFont="1" applyFill="1" applyBorder="1"/>
    <xf numFmtId="164" fontId="22" fillId="0" borderId="11" xfId="10" applyNumberFormat="1" applyFont="1" applyBorder="1"/>
    <xf numFmtId="164" fontId="22" fillId="0" borderId="11" xfId="10" applyNumberFormat="1" applyFont="1" applyFill="1" applyBorder="1"/>
    <xf numFmtId="44" fontId="22" fillId="5" borderId="6" xfId="11" applyFont="1" applyFill="1" applyBorder="1"/>
    <xf numFmtId="164" fontId="22" fillId="5" borderId="6" xfId="11" applyNumberFormat="1" applyFont="1" applyFill="1" applyBorder="1"/>
    <xf numFmtId="0" fontId="22" fillId="0" borderId="0" xfId="10" applyFont="1"/>
    <xf numFmtId="0" fontId="23" fillId="0" borderId="10" xfId="10" applyFont="1" applyBorder="1" applyAlignment="1">
      <alignment horizontal="left" indent="1"/>
    </xf>
    <xf numFmtId="0" fontId="23" fillId="0" borderId="10" xfId="10" applyFont="1" applyBorder="1" applyAlignment="1"/>
    <xf numFmtId="0" fontId="23" fillId="0" borderId="0" xfId="10" applyFont="1" applyBorder="1" applyAlignment="1">
      <alignment horizontal="right" indent="1"/>
    </xf>
    <xf numFmtId="0" fontId="9" fillId="0" borderId="0" xfId="10" applyFont="1" applyFill="1" applyBorder="1"/>
    <xf numFmtId="0" fontId="23" fillId="5" borderId="2" xfId="10" applyFont="1" applyFill="1" applyBorder="1" applyAlignment="1">
      <alignment horizontal="center"/>
    </xf>
    <xf numFmtId="0" fontId="23" fillId="0" borderId="0" xfId="10" applyFont="1" applyFill="1" applyBorder="1" applyAlignment="1">
      <alignment horizontal="right"/>
    </xf>
    <xf numFmtId="0" fontId="23" fillId="0" borderId="10" xfId="10" applyFont="1" applyFill="1" applyBorder="1" applyAlignment="1">
      <alignment vertical="center" wrapText="1"/>
    </xf>
    <xf numFmtId="0" fontId="23" fillId="0" borderId="0" xfId="10" applyFont="1" applyFill="1" applyBorder="1" applyAlignment="1">
      <alignment vertical="center" wrapText="1"/>
    </xf>
    <xf numFmtId="0" fontId="22" fillId="0" borderId="0" xfId="10" applyFont="1" applyBorder="1" applyAlignment="1">
      <alignment horizontal="left"/>
    </xf>
    <xf numFmtId="0" fontId="22" fillId="0" borderId="0" xfId="10" applyFont="1" applyBorder="1"/>
    <xf numFmtId="0" fontId="23" fillId="0" borderId="0" xfId="10" applyFont="1" applyFill="1" applyBorder="1" applyAlignment="1">
      <alignment horizontal="center"/>
    </xf>
    <xf numFmtId="164" fontId="23" fillId="0" borderId="0" xfId="11" applyNumberFormat="1" applyFont="1" applyFill="1" applyBorder="1"/>
    <xf numFmtId="0" fontId="23" fillId="0" borderId="0" xfId="10" applyFont="1" applyBorder="1" applyAlignment="1">
      <alignment horizontal="left" indent="2"/>
    </xf>
    <xf numFmtId="164" fontId="23" fillId="0" borderId="0" xfId="10" applyNumberFormat="1" applyFont="1" applyBorder="1"/>
    <xf numFmtId="0" fontId="23" fillId="5" borderId="7" xfId="10" applyFont="1" applyFill="1" applyBorder="1"/>
    <xf numFmtId="0" fontId="23" fillId="5" borderId="8" xfId="10" applyFont="1" applyFill="1" applyBorder="1"/>
    <xf numFmtId="44" fontId="23" fillId="0" borderId="11" xfId="11" applyFont="1" applyFill="1" applyBorder="1"/>
    <xf numFmtId="0" fontId="23" fillId="0" borderId="5" xfId="10" applyFont="1" applyFill="1" applyBorder="1" applyAlignment="1">
      <alignment vertical="center" wrapText="1"/>
    </xf>
    <xf numFmtId="0" fontId="23" fillId="0" borderId="1" xfId="10" applyFont="1" applyFill="1" applyBorder="1" applyAlignment="1">
      <alignment vertical="center" wrapText="1"/>
    </xf>
    <xf numFmtId="0" fontId="22" fillId="0" borderId="0" xfId="10" applyFont="1" applyBorder="1" applyAlignment="1">
      <alignment horizontal="center" vertical="center" wrapText="1"/>
    </xf>
    <xf numFmtId="0" fontId="22" fillId="0" borderId="0" xfId="10" applyFont="1" applyFill="1" applyBorder="1" applyAlignment="1">
      <alignment horizontal="center"/>
    </xf>
    <xf numFmtId="0" fontId="23" fillId="0" borderId="0" xfId="10" applyFont="1" applyBorder="1" applyAlignment="1">
      <alignment horizontal="left" indent="1"/>
    </xf>
    <xf numFmtId="164" fontId="22" fillId="0" borderId="0" xfId="11" applyNumberFormat="1" applyFont="1" applyFill="1" applyBorder="1"/>
    <xf numFmtId="0" fontId="22" fillId="0" borderId="0" xfId="10" applyFont="1" applyFill="1" applyBorder="1"/>
    <xf numFmtId="164" fontId="22" fillId="0" borderId="0" xfId="11" applyNumberFormat="1" applyFont="1" applyBorder="1"/>
    <xf numFmtId="164" fontId="22" fillId="0" borderId="0" xfId="10" applyNumberFormat="1" applyFont="1" applyBorder="1"/>
    <xf numFmtId="44" fontId="22" fillId="0" borderId="0" xfId="11" applyFont="1" applyFill="1" applyBorder="1"/>
    <xf numFmtId="44" fontId="23" fillId="5" borderId="2" xfId="11" applyFont="1" applyFill="1" applyBorder="1"/>
    <xf numFmtId="164" fontId="23" fillId="5" borderId="2" xfId="11" applyNumberFormat="1" applyFont="1" applyFill="1" applyBorder="1"/>
    <xf numFmtId="164" fontId="23" fillId="0" borderId="1" xfId="10" applyNumberFormat="1" applyFont="1" applyFill="1" applyBorder="1"/>
    <xf numFmtId="164" fontId="22" fillId="0" borderId="1" xfId="10" applyNumberFormat="1" applyFont="1" applyFill="1" applyBorder="1"/>
    <xf numFmtId="164" fontId="23" fillId="0" borderId="1" xfId="11" applyNumberFormat="1" applyFont="1" applyFill="1" applyBorder="1"/>
    <xf numFmtId="164" fontId="22" fillId="0" borderId="1" xfId="11" applyNumberFormat="1" applyFont="1" applyFill="1" applyBorder="1"/>
    <xf numFmtId="0" fontId="23" fillId="0" borderId="10" xfId="10" applyFont="1" applyFill="1" applyBorder="1" applyAlignment="1">
      <alignment vertical="center" wrapText="1"/>
    </xf>
    <xf numFmtId="0" fontId="23" fillId="0" borderId="0" xfId="10" applyFont="1" applyFill="1" applyBorder="1" applyAlignment="1">
      <alignment vertical="center" wrapText="1"/>
    </xf>
    <xf numFmtId="0" fontId="22" fillId="0" borderId="0" xfId="10" applyFont="1" applyBorder="1" applyAlignment="1">
      <alignment horizontal="center" vertical="center" wrapText="1"/>
    </xf>
    <xf numFmtId="164" fontId="23" fillId="0" borderId="0" xfId="10" applyNumberFormat="1" applyFont="1" applyFill="1" applyBorder="1"/>
    <xf numFmtId="0" fontId="23" fillId="0" borderId="10" xfId="10" applyFont="1" applyFill="1" applyBorder="1" applyAlignment="1">
      <alignment horizontal="left" indent="1"/>
    </xf>
    <xf numFmtId="44" fontId="22" fillId="0" borderId="11" xfId="11" applyFont="1" applyFill="1" applyBorder="1"/>
    <xf numFmtId="0" fontId="22" fillId="0" borderId="10" xfId="10" applyFont="1" applyBorder="1" applyAlignment="1">
      <alignment horizontal="center" vertical="center" wrapText="1"/>
    </xf>
    <xf numFmtId="0" fontId="22" fillId="0" borderId="11" xfId="1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wrapText="1"/>
    </xf>
    <xf numFmtId="0" fontId="19" fillId="0" borderId="0" xfId="0" applyFont="1" applyAlignment="1">
      <alignment horizontal="left"/>
    </xf>
    <xf numFmtId="3" fontId="23" fillId="0" borderId="0" xfId="11" applyNumberFormat="1" applyFont="1" applyFill="1" applyBorder="1" applyAlignment="1">
      <alignment horizontal="center"/>
    </xf>
    <xf numFmtId="0" fontId="23" fillId="0" borderId="0" xfId="10" applyFont="1" applyFill="1" applyBorder="1" applyAlignment="1">
      <alignment horizontal="left"/>
    </xf>
    <xf numFmtId="0" fontId="23" fillId="0" borderId="0" xfId="10" applyFont="1" applyFill="1" applyBorder="1" applyAlignment="1">
      <alignment horizontal="right" indent="1"/>
    </xf>
    <xf numFmtId="0" fontId="9" fillId="0" borderId="10" xfId="10" applyFont="1" applyFill="1" applyBorder="1"/>
    <xf numFmtId="44" fontId="30" fillId="0" borderId="0" xfId="11" applyFont="1" applyFill="1" applyBorder="1"/>
    <xf numFmtId="44" fontId="23" fillId="0" borderId="1" xfId="11" applyFont="1" applyFill="1" applyBorder="1"/>
    <xf numFmtId="44" fontId="23" fillId="0" borderId="16" xfId="11" applyFont="1" applyFill="1" applyBorder="1"/>
    <xf numFmtId="0" fontId="22" fillId="0" borderId="10" xfId="10" applyFont="1" applyFill="1" applyBorder="1"/>
    <xf numFmtId="0" fontId="23" fillId="0" borderId="10" xfId="10" applyFont="1" applyFill="1" applyBorder="1" applyAlignment="1"/>
    <xf numFmtId="0" fontId="22" fillId="0" borderId="11" xfId="10" applyFont="1" applyFill="1" applyBorder="1" applyAlignment="1">
      <alignment horizontal="center"/>
    </xf>
    <xf numFmtId="0" fontId="23" fillId="0" borderId="10" xfId="10" applyFont="1" applyFill="1" applyBorder="1" applyAlignment="1">
      <alignment horizontal="left" indent="2"/>
    </xf>
    <xf numFmtId="0" fontId="23" fillId="0" borderId="0" xfId="10" applyFont="1" applyFill="1" applyBorder="1" applyAlignment="1">
      <alignment horizontal="left" indent="1"/>
    </xf>
    <xf numFmtId="0" fontId="22" fillId="0" borderId="0" xfId="10" applyFont="1" applyFill="1" applyBorder="1" applyAlignment="1">
      <alignment horizontal="left"/>
    </xf>
    <xf numFmtId="0" fontId="23" fillId="0" borderId="10" xfId="13" applyFont="1" applyFill="1" applyBorder="1"/>
    <xf numFmtId="0" fontId="23" fillId="0" borderId="10" xfId="13" applyFont="1" applyBorder="1" applyAlignment="1">
      <alignment horizontal="left" indent="2"/>
    </xf>
    <xf numFmtId="0" fontId="23" fillId="0" borderId="10" xfId="13" applyFont="1" applyBorder="1" applyAlignment="1">
      <alignment horizontal="left" indent="2"/>
    </xf>
    <xf numFmtId="0" fontId="23" fillId="0" borderId="10" xfId="13" applyFont="1" applyBorder="1" applyAlignment="1">
      <alignment horizontal="left" indent="2"/>
    </xf>
    <xf numFmtId="164" fontId="23" fillId="5" borderId="2" xfId="11" applyNumberFormat="1" applyFont="1" applyFill="1" applyBorder="1" applyAlignment="1">
      <alignment horizontal="center"/>
    </xf>
    <xf numFmtId="164" fontId="23" fillId="5" borderId="6" xfId="11" applyNumberFormat="1" applyFont="1" applyFill="1" applyBorder="1" applyAlignment="1">
      <alignment horizontal="center"/>
    </xf>
    <xf numFmtId="0" fontId="23" fillId="0" borderId="10" xfId="10" applyFont="1" applyFill="1" applyBorder="1" applyAlignment="1">
      <alignment horizontal="left" wrapText="1"/>
    </xf>
    <xf numFmtId="0" fontId="23" fillId="0" borderId="0" xfId="10" applyFont="1" applyFill="1" applyBorder="1" applyAlignment="1">
      <alignment horizontal="left" wrapText="1"/>
    </xf>
    <xf numFmtId="0" fontId="23" fillId="0" borderId="11" xfId="10" applyFont="1" applyFill="1" applyBorder="1" applyAlignment="1">
      <alignment horizontal="left" wrapText="1"/>
    </xf>
    <xf numFmtId="0" fontId="22" fillId="0" borderId="0" xfId="10" applyFont="1" applyBorder="1" applyAlignment="1">
      <alignment horizontal="center" vertical="center" wrapText="1"/>
    </xf>
    <xf numFmtId="0" fontId="22" fillId="0" borderId="0" xfId="10" applyFont="1" applyBorder="1" applyAlignment="1">
      <alignment horizontal="center" vertical="center"/>
    </xf>
    <xf numFmtId="164" fontId="23" fillId="5" borderId="8" xfId="11" applyNumberFormat="1" applyFont="1" applyFill="1" applyBorder="1" applyAlignment="1">
      <alignment horizontal="center"/>
    </xf>
    <xf numFmtId="164" fontId="23" fillId="5" borderId="9" xfId="11" applyNumberFormat="1" applyFont="1" applyFill="1" applyBorder="1" applyAlignment="1">
      <alignment horizontal="center"/>
    </xf>
    <xf numFmtId="0" fontId="23" fillId="0" borderId="0" xfId="13" applyFont="1" applyFill="1" applyBorder="1" applyAlignment="1">
      <alignment horizontal="left" wrapText="1" indent="1"/>
    </xf>
    <xf numFmtId="0" fontId="22" fillId="0" borderId="7" xfId="10" applyFont="1" applyBorder="1" applyAlignment="1">
      <alignment horizontal="center" vertical="center" wrapText="1"/>
    </xf>
    <xf numFmtId="0" fontId="22" fillId="0" borderId="8" xfId="10" applyFont="1" applyBorder="1" applyAlignment="1">
      <alignment horizontal="center" vertical="center" wrapText="1"/>
    </xf>
    <xf numFmtId="0" fontId="22" fillId="0" borderId="9" xfId="10" applyFont="1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19" fillId="0" borderId="11" xfId="0" applyFont="1" applyBorder="1" applyAlignment="1">
      <alignment horizontal="left"/>
    </xf>
    <xf numFmtId="0" fontId="13" fillId="0" borderId="0" xfId="0" applyFont="1" applyBorder="1" applyAlignment="1">
      <alignment horizontal="right"/>
    </xf>
    <xf numFmtId="0" fontId="13" fillId="0" borderId="0" xfId="0" applyFont="1" applyAlignment="1">
      <alignment horizontal="right"/>
    </xf>
    <xf numFmtId="0" fontId="13" fillId="0" borderId="11" xfId="0" applyFont="1" applyBorder="1" applyAlignment="1">
      <alignment horizontal="right"/>
    </xf>
    <xf numFmtId="166" fontId="7" fillId="0" borderId="0" xfId="0" applyNumberFormat="1" applyFont="1" applyBorder="1" applyAlignment="1" applyProtection="1">
      <alignment horizontal="center"/>
      <protection locked="0"/>
    </xf>
    <xf numFmtId="0" fontId="13" fillId="0" borderId="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center" wrapText="1"/>
    </xf>
  </cellXfs>
  <cellStyles count="15">
    <cellStyle name="Comma 2" xfId="3"/>
    <cellStyle name="Comma 3" xfId="6"/>
    <cellStyle name="Currency 2" xfId="2"/>
    <cellStyle name="Currency 3" xfId="9"/>
    <cellStyle name="Currency 4" xfId="11"/>
    <cellStyle name="Currency 4 2" xfId="14"/>
    <cellStyle name="Hyperlink 2" xfId="8"/>
    <cellStyle name="Normal" xfId="0" builtinId="0"/>
    <cellStyle name="Normal 2" xfId="1"/>
    <cellStyle name="Normal 3" xfId="5"/>
    <cellStyle name="Normal 4" xfId="10"/>
    <cellStyle name="Normal 4 2" xfId="13"/>
    <cellStyle name="Percent" xfId="12" builtinId="5"/>
    <cellStyle name="Percent 2" xfId="4"/>
    <cellStyle name="Percent 3" xfId="7"/>
  </cellStyles>
  <dxfs count="2">
    <dxf>
      <fill>
        <patternFill>
          <bgColor indexed="41"/>
        </patternFill>
      </fill>
    </dxf>
    <dxf>
      <fill>
        <patternFill>
          <bgColor indexed="4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osp.uconn.edu/budgetprep.php" TargetMode="External"/><Relationship Id="rId2" Type="http://schemas.openxmlformats.org/officeDocument/2006/relationships/hyperlink" Target="http://osp.uconn.edu/calc_tuition.cfm" TargetMode="External"/><Relationship Id="rId1" Type="http://schemas.openxmlformats.org/officeDocument/2006/relationships/hyperlink" Target="http://www.osp.uconn.edu/budgetprep.php" TargetMode="External"/><Relationship Id="rId4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-0.249977111117893"/>
  </sheetPr>
  <dimension ref="A1:H70"/>
  <sheetViews>
    <sheetView topLeftCell="A19" zoomScale="85" zoomScaleNormal="85" workbookViewId="0">
      <selection activeCell="A44" sqref="A44"/>
    </sheetView>
  </sheetViews>
  <sheetFormatPr defaultRowHeight="15.75"/>
  <cols>
    <col min="1" max="1" width="29.85546875" style="111" customWidth="1"/>
    <col min="2" max="2" width="12.5703125" style="111" customWidth="1"/>
    <col min="3" max="3" width="16.140625" style="111" customWidth="1"/>
    <col min="4" max="4" width="20.7109375" style="111" customWidth="1"/>
    <col min="5" max="5" width="6" style="111" customWidth="1"/>
    <col min="6" max="6" width="5.5703125" style="111" customWidth="1"/>
    <col min="7" max="7" width="11" style="111" bestFit="1" customWidth="1"/>
    <col min="8" max="8" width="34.5703125" style="111" bestFit="1" customWidth="1"/>
    <col min="9" max="16384" width="9.140625" style="111"/>
  </cols>
  <sheetData>
    <row r="1" spans="1:8" ht="32.25" customHeight="1">
      <c r="A1" s="219" t="s">
        <v>118</v>
      </c>
      <c r="B1" s="220"/>
      <c r="C1" s="220"/>
      <c r="D1" s="220"/>
      <c r="E1" s="220"/>
      <c r="F1" s="220"/>
      <c r="G1" s="220"/>
    </row>
    <row r="2" spans="1:8">
      <c r="A2" s="107" t="s">
        <v>66</v>
      </c>
      <c r="B2" s="108"/>
      <c r="C2" s="108"/>
      <c r="D2" s="108"/>
      <c r="E2" s="108"/>
      <c r="F2" s="108"/>
      <c r="G2" s="109"/>
    </row>
    <row r="3" spans="1:8" ht="21.75" customHeight="1">
      <c r="A3" s="110"/>
      <c r="C3" s="139" t="s">
        <v>86</v>
      </c>
      <c r="D3" s="162" t="s">
        <v>68</v>
      </c>
      <c r="G3" s="140"/>
    </row>
    <row r="4" spans="1:8">
      <c r="A4" s="141" t="s">
        <v>116</v>
      </c>
      <c r="F4" s="112"/>
      <c r="G4" s="113"/>
      <c r="H4" s="163"/>
    </row>
    <row r="5" spans="1:8">
      <c r="A5" s="155" t="s">
        <v>170</v>
      </c>
      <c r="C5" s="156" t="s">
        <v>67</v>
      </c>
      <c r="D5" s="116" t="s">
        <v>124</v>
      </c>
      <c r="G5" s="115">
        <f>'NPS Budget'!H4</f>
        <v>28372.762439999995</v>
      </c>
    </row>
    <row r="6" spans="1:8" ht="18.75">
      <c r="A6" s="155" t="s">
        <v>84</v>
      </c>
      <c r="B6" s="127"/>
      <c r="C6" s="197">
        <v>8895</v>
      </c>
      <c r="D6" s="198" t="s">
        <v>125</v>
      </c>
      <c r="E6" s="127"/>
      <c r="F6" s="127"/>
      <c r="G6" s="115">
        <f>'NPS Budget'!H19</f>
        <v>12767.743097999997</v>
      </c>
      <c r="H6" s="127"/>
    </row>
    <row r="7" spans="1:8">
      <c r="A7" s="155"/>
      <c r="B7" s="127"/>
      <c r="C7" s="197"/>
      <c r="D7" s="198"/>
      <c r="E7" s="127"/>
      <c r="F7" s="127"/>
      <c r="G7" s="115"/>
      <c r="H7" s="127"/>
    </row>
    <row r="8" spans="1:8">
      <c r="A8" s="141" t="s">
        <v>145</v>
      </c>
      <c r="B8" s="127"/>
      <c r="C8" s="199"/>
      <c r="D8" s="127"/>
      <c r="E8" s="127"/>
      <c r="F8" s="127"/>
      <c r="G8" s="118"/>
      <c r="H8" s="127"/>
    </row>
    <row r="9" spans="1:8" ht="18.75">
      <c r="A9" s="155" t="s">
        <v>104</v>
      </c>
      <c r="B9" s="127"/>
      <c r="C9" s="199" t="s">
        <v>67</v>
      </c>
      <c r="D9" s="198" t="s">
        <v>129</v>
      </c>
      <c r="E9" s="127"/>
      <c r="F9" s="164"/>
      <c r="G9" s="115">
        <f>'NPS Budget'!H11</f>
        <v>0</v>
      </c>
      <c r="H9" s="127"/>
    </row>
    <row r="10" spans="1:8" ht="18.75">
      <c r="A10" s="155" t="s">
        <v>85</v>
      </c>
      <c r="B10" s="127"/>
      <c r="C10" s="197">
        <v>20396</v>
      </c>
      <c r="D10" s="198" t="s">
        <v>126</v>
      </c>
      <c r="E10" s="127"/>
      <c r="F10" s="129"/>
      <c r="G10" s="115">
        <f>'NPS Budget'!H25</f>
        <v>0</v>
      </c>
      <c r="H10" s="127"/>
    </row>
    <row r="11" spans="1:8">
      <c r="A11" s="155"/>
      <c r="B11" s="127"/>
      <c r="C11" s="197"/>
      <c r="D11" s="198"/>
      <c r="E11" s="127"/>
      <c r="F11" s="129"/>
      <c r="G11" s="115"/>
      <c r="H11" s="127"/>
    </row>
    <row r="12" spans="1:8" ht="18.75">
      <c r="A12" s="155" t="s">
        <v>104</v>
      </c>
      <c r="B12" s="127"/>
      <c r="C12" s="199" t="s">
        <v>127</v>
      </c>
      <c r="D12" s="198" t="s">
        <v>128</v>
      </c>
      <c r="E12" s="127"/>
      <c r="F12" s="164"/>
      <c r="G12" s="115">
        <f>'NPS Budget'!H12</f>
        <v>0</v>
      </c>
      <c r="H12" s="127"/>
    </row>
    <row r="13" spans="1:8" ht="22.5">
      <c r="A13" s="155" t="s">
        <v>85</v>
      </c>
      <c r="B13" s="127"/>
      <c r="C13" s="197">
        <v>6799</v>
      </c>
      <c r="D13" s="198" t="s">
        <v>132</v>
      </c>
      <c r="E13" s="127"/>
      <c r="F13" s="129"/>
      <c r="G13" s="115">
        <f>'NPS Budget'!H26</f>
        <v>0</v>
      </c>
      <c r="H13" s="127"/>
    </row>
    <row r="14" spans="1:8">
      <c r="A14" s="205"/>
      <c r="B14" s="127"/>
      <c r="C14" s="197"/>
      <c r="D14" s="198"/>
      <c r="E14" s="127"/>
      <c r="F14" s="129"/>
      <c r="G14" s="115"/>
      <c r="H14" s="127"/>
    </row>
    <row r="15" spans="1:8" ht="45.75" customHeight="1">
      <c r="A15" s="216" t="s">
        <v>167</v>
      </c>
      <c r="B15" s="217"/>
      <c r="C15" s="217"/>
      <c r="D15" s="217"/>
      <c r="E15" s="217"/>
      <c r="F15" s="217"/>
      <c r="G15" s="218"/>
    </row>
    <row r="16" spans="1:8" ht="45.75" customHeight="1">
      <c r="A16" s="216" t="s">
        <v>165</v>
      </c>
      <c r="B16" s="217"/>
      <c r="C16" s="217"/>
      <c r="D16" s="217"/>
      <c r="E16" s="217"/>
      <c r="F16" s="217"/>
      <c r="G16" s="218"/>
    </row>
    <row r="17" spans="1:7" ht="45.75" customHeight="1">
      <c r="A17" s="216" t="s">
        <v>166</v>
      </c>
      <c r="B17" s="217"/>
      <c r="C17" s="217"/>
      <c r="D17" s="217"/>
      <c r="E17" s="217"/>
      <c r="F17" s="217"/>
      <c r="G17" s="218"/>
    </row>
    <row r="18" spans="1:7">
      <c r="A18" s="207"/>
      <c r="B18" s="127"/>
      <c r="C18" s="127"/>
      <c r="D18" s="127"/>
      <c r="E18" s="127"/>
      <c r="F18" s="159" t="s">
        <v>11</v>
      </c>
      <c r="G18" s="115">
        <f>SUM(G5:G13)</f>
        <v>41140.50553799999</v>
      </c>
    </row>
    <row r="19" spans="1:7" ht="18.75">
      <c r="A19" s="123"/>
      <c r="B19" s="124" t="s">
        <v>130</v>
      </c>
      <c r="C19" s="124"/>
      <c r="D19" s="124" t="s">
        <v>131</v>
      </c>
      <c r="E19" s="124"/>
      <c r="F19" s="124"/>
      <c r="G19" s="125"/>
    </row>
    <row r="20" spans="1:7" ht="38.25" customHeight="1">
      <c r="A20" s="219" t="str">
        <f>A1</f>
        <v>Subaward UNIVERSITY of CONNECTICUT (UConn)
Year 1:  11/01/2012 - 10/31/2013</v>
      </c>
      <c r="B20" s="220"/>
      <c r="C20" s="220"/>
      <c r="D20" s="220"/>
      <c r="E20" s="220"/>
      <c r="F20" s="220"/>
      <c r="G20" s="220"/>
    </row>
    <row r="21" spans="1:7">
      <c r="A21" s="107" t="s">
        <v>69</v>
      </c>
      <c r="B21" s="108"/>
      <c r="C21" s="108"/>
      <c r="D21" s="108"/>
      <c r="E21" s="108"/>
      <c r="F21" s="108"/>
      <c r="G21" s="109"/>
    </row>
    <row r="22" spans="1:7">
      <c r="A22" s="126" t="s">
        <v>120</v>
      </c>
      <c r="B22" s="127"/>
      <c r="C22" s="127"/>
      <c r="D22" s="127"/>
      <c r="E22" s="127"/>
      <c r="F22" s="127"/>
      <c r="G22" s="115">
        <f>'NPS Budget'!H46</f>
        <v>0</v>
      </c>
    </row>
    <row r="23" spans="1:7">
      <c r="A23" s="126" t="s">
        <v>87</v>
      </c>
      <c r="B23" s="127"/>
      <c r="C23" s="127"/>
      <c r="D23" s="127"/>
      <c r="E23" s="127"/>
      <c r="F23" s="127"/>
      <c r="G23" s="115">
        <f>'NPS Budget'!H44</f>
        <v>0</v>
      </c>
    </row>
    <row r="24" spans="1:7">
      <c r="A24" s="126" t="s">
        <v>103</v>
      </c>
      <c r="B24" s="127"/>
      <c r="C24" s="127"/>
      <c r="D24" s="127"/>
      <c r="E24" s="127"/>
      <c r="F24" s="127"/>
      <c r="G24" s="115">
        <f>'NPS Budget'!H32</f>
        <v>0</v>
      </c>
    </row>
    <row r="25" spans="1:7" s="127" customFormat="1">
      <c r="A25" s="126" t="s">
        <v>88</v>
      </c>
      <c r="G25" s="115">
        <f>'NPS Budget'!H42</f>
        <v>0</v>
      </c>
    </row>
    <row r="26" spans="1:7" s="127" customFormat="1">
      <c r="A26" s="126" t="s">
        <v>137</v>
      </c>
      <c r="G26" s="115">
        <f>'NPS Budget'!H33</f>
        <v>10000</v>
      </c>
    </row>
    <row r="27" spans="1:7" s="127" customFormat="1">
      <c r="A27" s="126" t="s">
        <v>70</v>
      </c>
      <c r="G27" s="115"/>
    </row>
    <row r="28" spans="1:7" s="127" customFormat="1">
      <c r="A28" s="126" t="s">
        <v>105</v>
      </c>
      <c r="G28" s="115"/>
    </row>
    <row r="29" spans="1:7" s="127" customFormat="1">
      <c r="A29" s="126" t="s">
        <v>139</v>
      </c>
      <c r="G29" s="115"/>
    </row>
    <row r="30" spans="1:7" s="127" customFormat="1">
      <c r="A30" s="200" t="s">
        <v>136</v>
      </c>
      <c r="B30" s="157" t="s">
        <v>144</v>
      </c>
      <c r="D30" s="157"/>
      <c r="G30" s="115"/>
    </row>
    <row r="31" spans="1:7" s="127" customFormat="1">
      <c r="A31" s="200" t="s">
        <v>71</v>
      </c>
      <c r="B31" s="129">
        <v>505</v>
      </c>
      <c r="C31" s="127" t="s">
        <v>110</v>
      </c>
      <c r="G31" s="115"/>
    </row>
    <row r="32" spans="1:7" s="127" customFormat="1">
      <c r="A32" s="200" t="s">
        <v>72</v>
      </c>
      <c r="B32" s="129">
        <f>80*2</f>
        <v>160</v>
      </c>
      <c r="C32" s="127" t="s">
        <v>110</v>
      </c>
      <c r="G32" s="115"/>
    </row>
    <row r="33" spans="1:7" s="127" customFormat="1">
      <c r="A33" s="200" t="s">
        <v>73</v>
      </c>
      <c r="B33" s="129">
        <f>132/3*3</f>
        <v>132</v>
      </c>
      <c r="C33" s="127" t="s">
        <v>110</v>
      </c>
      <c r="G33" s="115"/>
    </row>
    <row r="34" spans="1:7" s="127" customFormat="1" ht="18">
      <c r="A34" s="200" t="s">
        <v>106</v>
      </c>
      <c r="B34" s="201">
        <v>120</v>
      </c>
      <c r="C34" s="127" t="s">
        <v>110</v>
      </c>
      <c r="G34" s="115"/>
    </row>
    <row r="35" spans="1:7" s="127" customFormat="1">
      <c r="A35" s="126" t="s">
        <v>74</v>
      </c>
      <c r="B35" s="129">
        <f>SUM(B31:B34)</f>
        <v>917</v>
      </c>
      <c r="G35" s="131"/>
    </row>
    <row r="36" spans="1:7" s="127" customFormat="1">
      <c r="A36" s="126" t="s">
        <v>108</v>
      </c>
      <c r="B36" s="202">
        <v>149</v>
      </c>
      <c r="C36" s="127" t="s">
        <v>110</v>
      </c>
      <c r="G36" s="131"/>
    </row>
    <row r="37" spans="1:7" s="127" customFormat="1">
      <c r="A37" s="126" t="s">
        <v>109</v>
      </c>
      <c r="B37" s="129">
        <f>B35*3+B36</f>
        <v>2900</v>
      </c>
      <c r="G37" s="131"/>
    </row>
    <row r="38" spans="1:7" s="127" customFormat="1" ht="16.5" thickBot="1">
      <c r="A38" s="126" t="s">
        <v>107</v>
      </c>
      <c r="B38" s="203">
        <f>B37*2</f>
        <v>5800</v>
      </c>
      <c r="G38" s="131"/>
    </row>
    <row r="39" spans="1:7" s="127" customFormat="1">
      <c r="A39" s="126"/>
      <c r="G39" s="131"/>
    </row>
    <row r="40" spans="1:7">
      <c r="A40" s="110" t="s">
        <v>75</v>
      </c>
      <c r="G40" s="130"/>
    </row>
    <row r="41" spans="1:7">
      <c r="A41" s="138" t="s">
        <v>4</v>
      </c>
      <c r="G41" s="122">
        <f>'NPS Budget'!H43</f>
        <v>1500</v>
      </c>
    </row>
    <row r="42" spans="1:7">
      <c r="A42" s="138" t="s">
        <v>90</v>
      </c>
      <c r="G42" s="122">
        <f>'NPS Budget'!H47</f>
        <v>0</v>
      </c>
    </row>
    <row r="43" spans="1:7">
      <c r="A43" s="138" t="s">
        <v>171</v>
      </c>
      <c r="G43" s="122">
        <v>0</v>
      </c>
    </row>
    <row r="44" spans="1:7">
      <c r="A44" s="212" t="s">
        <v>156</v>
      </c>
      <c r="G44" s="131">
        <f>'NPS Budget'!H48</f>
        <v>0</v>
      </c>
    </row>
    <row r="45" spans="1:7">
      <c r="A45" s="110"/>
      <c r="G45" s="131"/>
    </row>
    <row r="46" spans="1:7">
      <c r="A46" s="110" t="s">
        <v>22</v>
      </c>
      <c r="F46" s="121" t="s">
        <v>11</v>
      </c>
      <c r="G46" s="130">
        <f>SUM(G22:G44)</f>
        <v>11500</v>
      </c>
    </row>
    <row r="47" spans="1:7">
      <c r="A47" s="123" t="s">
        <v>22</v>
      </c>
      <c r="B47" s="124"/>
      <c r="C47" s="124"/>
      <c r="D47" s="124"/>
      <c r="E47" s="124"/>
      <c r="F47" s="124"/>
      <c r="G47" s="125"/>
    </row>
    <row r="48" spans="1:7" ht="42" customHeight="1">
      <c r="A48" s="219" t="str">
        <f>A1</f>
        <v>Subaward UNIVERSITY of CONNECTICUT (UConn)
Year 1:  11/01/2012 - 10/31/2013</v>
      </c>
      <c r="B48" s="220"/>
      <c r="C48" s="220"/>
      <c r="D48" s="220"/>
      <c r="E48" s="220"/>
      <c r="F48" s="220"/>
      <c r="G48" s="220"/>
    </row>
    <row r="49" spans="1:7">
      <c r="A49" s="107" t="s">
        <v>76</v>
      </c>
      <c r="B49" s="108"/>
      <c r="C49" s="108"/>
      <c r="D49" s="108"/>
      <c r="E49" s="108"/>
      <c r="F49" s="108"/>
      <c r="G49" s="109"/>
    </row>
    <row r="50" spans="1:7">
      <c r="A50" s="126" t="s">
        <v>147</v>
      </c>
      <c r="B50" s="111" t="s">
        <v>77</v>
      </c>
      <c r="C50" s="127" t="s">
        <v>146</v>
      </c>
      <c r="D50" s="127"/>
      <c r="G50" s="120"/>
    </row>
    <row r="51" spans="1:7">
      <c r="A51" s="110" t="s">
        <v>101</v>
      </c>
      <c r="D51" s="164" t="s">
        <v>78</v>
      </c>
      <c r="G51" s="120"/>
    </row>
    <row r="52" spans="1:7">
      <c r="A52" s="110"/>
      <c r="D52" s="164" t="s">
        <v>79</v>
      </c>
      <c r="G52" s="120"/>
    </row>
    <row r="53" spans="1:7">
      <c r="A53" s="110"/>
      <c r="D53" s="127"/>
      <c r="G53" s="120"/>
    </row>
    <row r="54" spans="1:7">
      <c r="A54" s="210" t="s">
        <v>80</v>
      </c>
      <c r="C54" s="121" t="s">
        <v>100</v>
      </c>
      <c r="D54" s="190">
        <f>G46-G44-G22-G24+G18</f>
        <v>52640.50553799999</v>
      </c>
      <c r="G54" s="120"/>
    </row>
    <row r="55" spans="1:7">
      <c r="A55" s="210" t="s">
        <v>148</v>
      </c>
      <c r="B55" s="127"/>
      <c r="G55" s="120"/>
    </row>
    <row r="56" spans="1:7">
      <c r="A56" s="210" t="s">
        <v>149</v>
      </c>
      <c r="B56" s="127"/>
      <c r="C56" s="127"/>
      <c r="D56" s="127"/>
      <c r="E56" s="127"/>
      <c r="F56" s="127"/>
      <c r="G56" s="118"/>
    </row>
    <row r="57" spans="1:7">
      <c r="A57" s="210" t="s">
        <v>150</v>
      </c>
      <c r="B57" s="127"/>
      <c r="C57" s="127"/>
      <c r="D57" s="127"/>
      <c r="E57" s="127"/>
      <c r="F57" s="127"/>
      <c r="G57" s="118"/>
    </row>
    <row r="58" spans="1:7">
      <c r="A58" s="210" t="s">
        <v>151</v>
      </c>
      <c r="B58" s="127"/>
      <c r="C58" s="127"/>
      <c r="D58" s="127"/>
      <c r="E58" s="127"/>
      <c r="F58" s="127"/>
      <c r="G58" s="118"/>
    </row>
    <row r="59" spans="1:7">
      <c r="A59" s="210" t="s">
        <v>152</v>
      </c>
      <c r="B59" s="127"/>
      <c r="C59" s="127"/>
      <c r="D59" s="127"/>
      <c r="E59" s="127"/>
      <c r="F59" s="127"/>
      <c r="G59" s="118"/>
    </row>
    <row r="60" spans="1:7">
      <c r="A60" s="210" t="s">
        <v>153</v>
      </c>
      <c r="B60" s="127"/>
      <c r="C60" s="127"/>
      <c r="D60" s="127"/>
      <c r="E60" s="127"/>
      <c r="G60" s="120"/>
    </row>
    <row r="61" spans="1:7">
      <c r="A61" s="160"/>
      <c r="B61" s="161"/>
      <c r="C61" s="161"/>
      <c r="D61" s="161"/>
      <c r="E61" s="161"/>
      <c r="F61" s="159" t="s">
        <v>11</v>
      </c>
      <c r="G61" s="115">
        <f>D54*0.57</f>
        <v>30005.088156659993</v>
      </c>
    </row>
    <row r="62" spans="1:7">
      <c r="A62" s="171"/>
      <c r="B62" s="172"/>
      <c r="C62" s="172"/>
      <c r="D62" s="172"/>
      <c r="E62" s="172"/>
      <c r="F62" s="136"/>
      <c r="G62" s="119"/>
    </row>
    <row r="63" spans="1:7">
      <c r="A63" s="127"/>
      <c r="B63" s="127"/>
      <c r="C63" s="127"/>
      <c r="D63" s="127"/>
      <c r="E63" s="127"/>
      <c r="F63" s="159"/>
      <c r="G63" s="165"/>
    </row>
    <row r="64" spans="1:7">
      <c r="A64" s="107" t="s">
        <v>81</v>
      </c>
      <c r="B64" s="108"/>
      <c r="C64" s="108"/>
      <c r="D64" s="108"/>
      <c r="E64" s="108"/>
      <c r="F64" s="108"/>
      <c r="G64" s="133">
        <v>0</v>
      </c>
    </row>
    <row r="65" spans="1:7" s="127" customFormat="1">
      <c r="G65" s="129"/>
    </row>
    <row r="66" spans="1:7">
      <c r="A66" s="168" t="s">
        <v>82</v>
      </c>
      <c r="B66" s="169"/>
      <c r="C66" s="169"/>
      <c r="D66" s="169"/>
      <c r="E66" s="169"/>
      <c r="F66" s="221">
        <f>G18+G46+G61+G64</f>
        <v>82645.593694659983</v>
      </c>
      <c r="G66" s="222"/>
    </row>
    <row r="67" spans="1:7" s="127" customFormat="1">
      <c r="A67" s="126"/>
      <c r="G67" s="170"/>
    </row>
    <row r="68" spans="1:7" s="127" customFormat="1">
      <c r="A68" s="134"/>
      <c r="B68" s="135"/>
      <c r="C68" s="135"/>
      <c r="D68" s="135"/>
      <c r="E68" s="135"/>
      <c r="F68" s="136" t="s">
        <v>83</v>
      </c>
      <c r="G68" s="137">
        <v>0</v>
      </c>
    </row>
    <row r="70" spans="1:7">
      <c r="A70" s="107" t="s">
        <v>92</v>
      </c>
      <c r="B70" s="108"/>
      <c r="C70" s="108"/>
      <c r="D70" s="108"/>
      <c r="E70" s="108"/>
      <c r="F70" s="214">
        <f>F66-G68</f>
        <v>82645.593694659983</v>
      </c>
      <c r="G70" s="215"/>
    </row>
  </sheetData>
  <mergeCells count="8">
    <mergeCell ref="F70:G70"/>
    <mergeCell ref="A15:G15"/>
    <mergeCell ref="A16:G16"/>
    <mergeCell ref="A1:G1"/>
    <mergeCell ref="A48:G48"/>
    <mergeCell ref="A20:G20"/>
    <mergeCell ref="F66:G66"/>
    <mergeCell ref="A17:G17"/>
  </mergeCells>
  <pageMargins left="1" right="1" top="1" bottom="1" header="0.5" footer="0.5"/>
  <pageSetup scale="83" fitToHeight="3" orientation="portrait" r:id="rId1"/>
  <rowBreaks count="2" manualBreakCount="2">
    <brk id="19" max="16383" man="1"/>
    <brk id="4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 tint="-0.249977111117893"/>
  </sheetPr>
  <dimension ref="A1:H70"/>
  <sheetViews>
    <sheetView zoomScale="85" zoomScaleNormal="85" workbookViewId="0">
      <selection activeCell="A44" sqref="A44"/>
    </sheetView>
  </sheetViews>
  <sheetFormatPr defaultRowHeight="15.75"/>
  <cols>
    <col min="1" max="1" width="29.85546875" style="111" customWidth="1"/>
    <col min="2" max="2" width="12.5703125" style="111" customWidth="1"/>
    <col min="3" max="3" width="16.140625" style="111" customWidth="1"/>
    <col min="4" max="4" width="20.7109375" style="111" customWidth="1"/>
    <col min="5" max="5" width="6" style="111" customWidth="1"/>
    <col min="6" max="6" width="5.5703125" style="111" customWidth="1"/>
    <col min="7" max="7" width="11" style="111" bestFit="1" customWidth="1"/>
    <col min="8" max="8" width="34.5703125" style="111" bestFit="1" customWidth="1"/>
    <col min="9" max="16384" width="9.140625" style="111"/>
  </cols>
  <sheetData>
    <row r="1" spans="1:8" ht="32.25" customHeight="1">
      <c r="A1" s="219" t="s">
        <v>122</v>
      </c>
      <c r="B1" s="220"/>
      <c r="C1" s="220"/>
      <c r="D1" s="220"/>
      <c r="E1" s="220"/>
      <c r="F1" s="220"/>
      <c r="G1" s="220"/>
    </row>
    <row r="2" spans="1:8">
      <c r="A2" s="107" t="s">
        <v>66</v>
      </c>
      <c r="B2" s="108"/>
      <c r="C2" s="108"/>
      <c r="D2" s="108"/>
      <c r="E2" s="108"/>
      <c r="F2" s="108"/>
      <c r="G2" s="109"/>
    </row>
    <row r="3" spans="1:8" ht="21.75" customHeight="1">
      <c r="A3" s="126"/>
      <c r="B3" s="127"/>
      <c r="C3" s="174" t="s">
        <v>86</v>
      </c>
      <c r="D3" s="209" t="s">
        <v>68</v>
      </c>
      <c r="E3" s="127"/>
      <c r="F3" s="127"/>
      <c r="G3" s="206"/>
    </row>
    <row r="4" spans="1:8">
      <c r="A4" s="204" t="s">
        <v>116</v>
      </c>
      <c r="B4" s="127"/>
      <c r="C4" s="127"/>
      <c r="D4" s="127"/>
      <c r="E4" s="127"/>
      <c r="F4" s="164"/>
      <c r="G4" s="113"/>
      <c r="H4" s="163"/>
    </row>
    <row r="5" spans="1:8">
      <c r="A5" s="205" t="s">
        <v>170</v>
      </c>
      <c r="B5" s="127"/>
      <c r="C5" s="199" t="s">
        <v>67</v>
      </c>
      <c r="D5" s="198" t="s">
        <v>124</v>
      </c>
      <c r="E5" s="127"/>
      <c r="F5" s="127"/>
      <c r="G5" s="115">
        <f>'NPS Budget'!I4</f>
        <v>29791.400561999995</v>
      </c>
    </row>
    <row r="6" spans="1:8" ht="18.75">
      <c r="A6" s="205" t="s">
        <v>84</v>
      </c>
      <c r="B6" s="127"/>
      <c r="C6" s="197">
        <v>9340</v>
      </c>
      <c r="D6" s="198" t="s">
        <v>133</v>
      </c>
      <c r="E6" s="127"/>
      <c r="F6" s="127"/>
      <c r="G6" s="115">
        <f>'NPS Budget'!I19</f>
        <v>13406.130252899999</v>
      </c>
    </row>
    <row r="7" spans="1:8">
      <c r="A7" s="205"/>
      <c r="B7" s="127"/>
      <c r="C7" s="197"/>
      <c r="D7" s="198"/>
      <c r="E7" s="127"/>
      <c r="F7" s="127"/>
      <c r="G7" s="115"/>
    </row>
    <row r="8" spans="1:8">
      <c r="A8" s="204" t="s">
        <v>145</v>
      </c>
      <c r="B8" s="127"/>
      <c r="C8" s="199"/>
      <c r="D8" s="127"/>
      <c r="E8" s="127"/>
      <c r="F8" s="127"/>
      <c r="G8" s="118"/>
    </row>
    <row r="9" spans="1:8" ht="18.75">
      <c r="A9" s="205" t="s">
        <v>104</v>
      </c>
      <c r="B9" s="127"/>
      <c r="C9" s="199" t="s">
        <v>67</v>
      </c>
      <c r="D9" s="198" t="s">
        <v>129</v>
      </c>
      <c r="E9" s="127"/>
      <c r="F9" s="164"/>
      <c r="G9" s="115">
        <f>'NPS Budget'!I11</f>
        <v>0</v>
      </c>
    </row>
    <row r="10" spans="1:8" ht="18.75">
      <c r="A10" s="205" t="s">
        <v>85</v>
      </c>
      <c r="B10" s="127"/>
      <c r="C10" s="197">
        <f xml:space="preserve"> 20396*1.015</f>
        <v>20701.939999999999</v>
      </c>
      <c r="D10" s="198" t="s">
        <v>134</v>
      </c>
      <c r="E10" s="127"/>
      <c r="F10" s="129"/>
      <c r="G10" s="115">
        <f>'NPS Budget'!I25</f>
        <v>0</v>
      </c>
    </row>
    <row r="11" spans="1:8">
      <c r="A11" s="205"/>
      <c r="B11" s="127"/>
      <c r="C11" s="197"/>
      <c r="D11" s="198"/>
      <c r="E11" s="127"/>
      <c r="F11" s="129"/>
      <c r="G11" s="115"/>
    </row>
    <row r="12" spans="1:8" ht="18.75">
      <c r="A12" s="205" t="s">
        <v>104</v>
      </c>
      <c r="B12" s="127"/>
      <c r="C12" s="199" t="s">
        <v>127</v>
      </c>
      <c r="D12" s="198" t="s">
        <v>128</v>
      </c>
      <c r="E12" s="127"/>
      <c r="F12" s="164"/>
      <c r="G12" s="115">
        <f>'NPS Budget'!I12</f>
        <v>0</v>
      </c>
    </row>
    <row r="13" spans="1:8" ht="22.5">
      <c r="A13" s="205" t="s">
        <v>85</v>
      </c>
      <c r="B13" s="127"/>
      <c r="C13" s="197">
        <f xml:space="preserve"> 6799*1.015</f>
        <v>6900.9849999999997</v>
      </c>
      <c r="D13" s="198" t="s">
        <v>135</v>
      </c>
      <c r="E13" s="127"/>
      <c r="F13" s="129"/>
      <c r="G13" s="115">
        <f>'NPS Budget'!I26</f>
        <v>0</v>
      </c>
    </row>
    <row r="14" spans="1:8">
      <c r="A14" s="205"/>
      <c r="B14" s="127"/>
      <c r="C14" s="197"/>
      <c r="D14" s="198"/>
      <c r="E14" s="127"/>
      <c r="F14" s="129"/>
      <c r="G14" s="115"/>
    </row>
    <row r="15" spans="1:8" ht="45.75" customHeight="1">
      <c r="A15" s="216" t="s">
        <v>168</v>
      </c>
      <c r="B15" s="217"/>
      <c r="C15" s="217"/>
      <c r="D15" s="217"/>
      <c r="E15" s="217"/>
      <c r="F15" s="217"/>
      <c r="G15" s="218"/>
    </row>
    <row r="16" spans="1:8" ht="45.75" customHeight="1">
      <c r="A16" s="216" t="s">
        <v>162</v>
      </c>
      <c r="B16" s="217"/>
      <c r="C16" s="217"/>
      <c r="D16" s="217"/>
      <c r="E16" s="217"/>
      <c r="F16" s="217"/>
      <c r="G16" s="218"/>
    </row>
    <row r="17" spans="1:7" ht="45.75" customHeight="1">
      <c r="A17" s="216" t="s">
        <v>164</v>
      </c>
      <c r="B17" s="217"/>
      <c r="C17" s="217"/>
      <c r="D17" s="217"/>
      <c r="E17" s="217"/>
      <c r="F17" s="217"/>
      <c r="G17" s="218"/>
    </row>
    <row r="18" spans="1:7">
      <c r="A18" s="138"/>
      <c r="F18" s="121" t="s">
        <v>11</v>
      </c>
      <c r="G18" s="122">
        <f>SUM(G5:G13)</f>
        <v>43197.53081489999</v>
      </c>
    </row>
    <row r="19" spans="1:7" ht="18.75">
      <c r="A19" s="123"/>
      <c r="B19" s="124" t="s">
        <v>130</v>
      </c>
      <c r="C19" s="124"/>
      <c r="D19" s="124" t="s">
        <v>131</v>
      </c>
      <c r="E19" s="124"/>
      <c r="F19" s="124"/>
      <c r="G19" s="125"/>
    </row>
    <row r="20" spans="1:7" ht="38.25" customHeight="1">
      <c r="A20" s="219" t="str">
        <f>A1</f>
        <v>Subaward UNIVERSITY of CONNECTICUT (UConn)
Year 2:  11/01/2013 - 10/31/2014</v>
      </c>
      <c r="B20" s="220"/>
      <c r="C20" s="220"/>
      <c r="D20" s="220"/>
      <c r="E20" s="220"/>
      <c r="F20" s="220"/>
      <c r="G20" s="220"/>
    </row>
    <row r="21" spans="1:7">
      <c r="A21" s="107" t="s">
        <v>69</v>
      </c>
      <c r="B21" s="108"/>
      <c r="C21" s="108"/>
      <c r="D21" s="108"/>
      <c r="E21" s="108"/>
      <c r="F21" s="108"/>
      <c r="G21" s="109"/>
    </row>
    <row r="22" spans="1:7">
      <c r="A22" s="126" t="s">
        <v>120</v>
      </c>
      <c r="B22" s="127"/>
      <c r="C22" s="127"/>
      <c r="D22" s="127"/>
      <c r="E22" s="127"/>
      <c r="F22" s="127"/>
      <c r="G22" s="115">
        <f>'NPS Budget'!H46</f>
        <v>0</v>
      </c>
    </row>
    <row r="23" spans="1:7">
      <c r="A23" s="126" t="s">
        <v>87</v>
      </c>
      <c r="B23" s="127"/>
      <c r="C23" s="127"/>
      <c r="D23" s="127"/>
      <c r="E23" s="127"/>
      <c r="F23" s="127"/>
      <c r="G23" s="115">
        <f>'NPS Budget'!H44</f>
        <v>0</v>
      </c>
    </row>
    <row r="24" spans="1:7">
      <c r="A24" s="126" t="s">
        <v>103</v>
      </c>
      <c r="B24" s="127"/>
      <c r="C24" s="127"/>
      <c r="D24" s="127"/>
      <c r="E24" s="127"/>
      <c r="F24" s="127"/>
      <c r="G24" s="115">
        <f>'NPS Budget'!H32</f>
        <v>0</v>
      </c>
    </row>
    <row r="25" spans="1:7" s="127" customFormat="1">
      <c r="A25" s="126" t="s">
        <v>88</v>
      </c>
      <c r="G25" s="115">
        <f>'NPS Budget'!H42</f>
        <v>0</v>
      </c>
    </row>
    <row r="26" spans="1:7" s="127" customFormat="1">
      <c r="A26" s="126" t="s">
        <v>138</v>
      </c>
      <c r="G26" s="115">
        <f>'NPS Budget'!I33</f>
        <v>10000</v>
      </c>
    </row>
    <row r="27" spans="1:7" s="127" customFormat="1">
      <c r="A27" s="126" t="s">
        <v>70</v>
      </c>
      <c r="G27" s="115"/>
    </row>
    <row r="28" spans="1:7" s="127" customFormat="1">
      <c r="A28" s="126" t="s">
        <v>105</v>
      </c>
      <c r="G28" s="115"/>
    </row>
    <row r="29" spans="1:7" s="127" customFormat="1">
      <c r="A29" s="126" t="s">
        <v>139</v>
      </c>
      <c r="G29" s="115"/>
    </row>
    <row r="30" spans="1:7" s="127" customFormat="1">
      <c r="A30" s="200" t="s">
        <v>136</v>
      </c>
      <c r="B30" s="157" t="s">
        <v>144</v>
      </c>
      <c r="D30" s="157"/>
      <c r="G30" s="115"/>
    </row>
    <row r="31" spans="1:7" s="127" customFormat="1">
      <c r="A31" s="200" t="s">
        <v>71</v>
      </c>
      <c r="B31" s="129">
        <v>510</v>
      </c>
      <c r="C31" s="127" t="s">
        <v>110</v>
      </c>
      <c r="G31" s="115"/>
    </row>
    <row r="32" spans="1:7" s="127" customFormat="1">
      <c r="A32" s="200" t="s">
        <v>72</v>
      </c>
      <c r="B32" s="129">
        <f>120*2</f>
        <v>240</v>
      </c>
      <c r="C32" s="127" t="s">
        <v>110</v>
      </c>
      <c r="G32" s="115"/>
    </row>
    <row r="33" spans="1:7" s="127" customFormat="1">
      <c r="A33" s="200" t="s">
        <v>73</v>
      </c>
      <c r="B33" s="129">
        <f>200/3*3</f>
        <v>200</v>
      </c>
      <c r="C33" s="127" t="s">
        <v>110</v>
      </c>
      <c r="G33" s="115"/>
    </row>
    <row r="34" spans="1:7" s="127" customFormat="1" ht="18">
      <c r="A34" s="200" t="s">
        <v>106</v>
      </c>
      <c r="B34" s="201">
        <v>120</v>
      </c>
      <c r="C34" s="127" t="s">
        <v>110</v>
      </c>
      <c r="G34" s="115"/>
    </row>
    <row r="35" spans="1:7" s="127" customFormat="1">
      <c r="A35" s="126" t="s">
        <v>74</v>
      </c>
      <c r="B35" s="129">
        <f>SUM(B31:B34)</f>
        <v>1070</v>
      </c>
      <c r="G35" s="131"/>
    </row>
    <row r="36" spans="1:7" s="127" customFormat="1">
      <c r="A36" s="126" t="s">
        <v>108</v>
      </c>
      <c r="B36" s="202">
        <v>260</v>
      </c>
      <c r="C36" s="127" t="s">
        <v>110</v>
      </c>
      <c r="G36" s="131"/>
    </row>
    <row r="37" spans="1:7" s="127" customFormat="1">
      <c r="A37" s="126" t="s">
        <v>109</v>
      </c>
      <c r="B37" s="129">
        <f>B35*2+B36</f>
        <v>2400</v>
      </c>
      <c r="G37" s="131"/>
    </row>
    <row r="38" spans="1:7" s="127" customFormat="1" ht="16.5" thickBot="1">
      <c r="A38" s="126" t="s">
        <v>107</v>
      </c>
      <c r="B38" s="203">
        <f>B37*2</f>
        <v>4800</v>
      </c>
      <c r="G38" s="131"/>
    </row>
    <row r="39" spans="1:7" s="127" customFormat="1">
      <c r="A39" s="126"/>
      <c r="G39" s="131"/>
    </row>
    <row r="40" spans="1:7">
      <c r="A40" s="110" t="s">
        <v>75</v>
      </c>
      <c r="G40" s="130"/>
    </row>
    <row r="41" spans="1:7">
      <c r="A41" s="138" t="s">
        <v>4</v>
      </c>
      <c r="G41" s="122">
        <f>'NPS Budget'!I43</f>
        <v>1500</v>
      </c>
    </row>
    <row r="42" spans="1:7">
      <c r="A42" s="138" t="s">
        <v>90</v>
      </c>
      <c r="G42" s="122">
        <f>'NPS Budget'!I47</f>
        <v>0</v>
      </c>
    </row>
    <row r="43" spans="1:7">
      <c r="A43" s="138" t="s">
        <v>171</v>
      </c>
      <c r="G43" s="122">
        <v>0</v>
      </c>
    </row>
    <row r="44" spans="1:7">
      <c r="A44" s="211" t="s">
        <v>156</v>
      </c>
      <c r="G44" s="131">
        <f>'NPS Budget'!I48</f>
        <v>0</v>
      </c>
    </row>
    <row r="45" spans="1:7">
      <c r="A45" s="110"/>
      <c r="G45" s="131"/>
    </row>
    <row r="46" spans="1:7">
      <c r="A46" s="110" t="s">
        <v>22</v>
      </c>
      <c r="F46" s="121" t="s">
        <v>11</v>
      </c>
      <c r="G46" s="130">
        <f>SUM(G22:G44)</f>
        <v>11500</v>
      </c>
    </row>
    <row r="47" spans="1:7">
      <c r="A47" s="123" t="s">
        <v>22</v>
      </c>
      <c r="B47" s="124"/>
      <c r="C47" s="124"/>
      <c r="D47" s="124"/>
      <c r="E47" s="124"/>
      <c r="F47" s="124"/>
      <c r="G47" s="125"/>
    </row>
    <row r="48" spans="1:7" ht="42" customHeight="1">
      <c r="A48" s="219" t="str">
        <f>A1</f>
        <v>Subaward UNIVERSITY of CONNECTICUT (UConn)
Year 2:  11/01/2013 - 10/31/2014</v>
      </c>
      <c r="B48" s="220"/>
      <c r="C48" s="220"/>
      <c r="D48" s="220"/>
      <c r="E48" s="220"/>
      <c r="F48" s="220"/>
      <c r="G48" s="220"/>
    </row>
    <row r="49" spans="1:7">
      <c r="A49" s="107" t="s">
        <v>76</v>
      </c>
      <c r="B49" s="108"/>
      <c r="C49" s="108"/>
      <c r="D49" s="108"/>
      <c r="E49" s="108"/>
      <c r="F49" s="108"/>
      <c r="G49" s="109"/>
    </row>
    <row r="50" spans="1:7">
      <c r="A50" s="126" t="s">
        <v>155</v>
      </c>
      <c r="B50" s="127" t="s">
        <v>77</v>
      </c>
      <c r="C50" s="127" t="s">
        <v>154</v>
      </c>
      <c r="D50" s="127"/>
      <c r="G50" s="120"/>
    </row>
    <row r="51" spans="1:7">
      <c r="A51" s="126" t="s">
        <v>101</v>
      </c>
      <c r="B51" s="127"/>
      <c r="C51" s="127"/>
      <c r="D51" s="164" t="s">
        <v>78</v>
      </c>
      <c r="G51" s="120"/>
    </row>
    <row r="52" spans="1:7">
      <c r="A52" s="110"/>
      <c r="D52" s="164" t="s">
        <v>79</v>
      </c>
      <c r="G52" s="120"/>
    </row>
    <row r="53" spans="1:7">
      <c r="A53" s="110"/>
      <c r="D53" s="127"/>
      <c r="G53" s="120"/>
    </row>
    <row r="54" spans="1:7">
      <c r="A54" s="210" t="s">
        <v>80</v>
      </c>
      <c r="C54" s="121" t="s">
        <v>100</v>
      </c>
      <c r="D54" s="190">
        <f>G46-G44-G22-G24+G18</f>
        <v>54697.53081489999</v>
      </c>
      <c r="G54" s="120"/>
    </row>
    <row r="55" spans="1:7">
      <c r="A55" s="210" t="s">
        <v>148</v>
      </c>
      <c r="B55" s="127"/>
      <c r="G55" s="120"/>
    </row>
    <row r="56" spans="1:7">
      <c r="A56" s="210" t="s">
        <v>149</v>
      </c>
      <c r="B56" s="127"/>
      <c r="C56" s="127"/>
      <c r="D56" s="127"/>
      <c r="E56" s="127"/>
      <c r="F56" s="127"/>
      <c r="G56" s="118"/>
    </row>
    <row r="57" spans="1:7">
      <c r="A57" s="210" t="s">
        <v>150</v>
      </c>
      <c r="B57" s="127"/>
      <c r="C57" s="127"/>
      <c r="D57" s="127"/>
      <c r="E57" s="127"/>
      <c r="F57" s="127"/>
      <c r="G57" s="118"/>
    </row>
    <row r="58" spans="1:7">
      <c r="A58" s="210" t="s">
        <v>151</v>
      </c>
      <c r="B58" s="127"/>
      <c r="C58" s="127"/>
      <c r="D58" s="127"/>
      <c r="E58" s="127"/>
      <c r="F58" s="127"/>
      <c r="G58" s="118"/>
    </row>
    <row r="59" spans="1:7">
      <c r="A59" s="210" t="s">
        <v>152</v>
      </c>
      <c r="B59" s="127"/>
      <c r="C59" s="127"/>
      <c r="D59" s="127"/>
      <c r="E59" s="127"/>
      <c r="F59" s="127"/>
      <c r="G59" s="118"/>
    </row>
    <row r="60" spans="1:7">
      <c r="A60" s="210" t="s">
        <v>153</v>
      </c>
      <c r="B60" s="127"/>
      <c r="C60" s="127"/>
      <c r="D60" s="127"/>
      <c r="E60" s="127"/>
      <c r="G60" s="120"/>
    </row>
    <row r="61" spans="1:7">
      <c r="A61" s="187"/>
      <c r="B61" s="188"/>
      <c r="C61" s="188"/>
      <c r="D61" s="188"/>
      <c r="E61" s="188"/>
      <c r="F61" s="159" t="s">
        <v>11</v>
      </c>
      <c r="G61" s="115">
        <f>D54*0.58</f>
        <v>31724.567872641994</v>
      </c>
    </row>
    <row r="62" spans="1:7">
      <c r="A62" s="171"/>
      <c r="B62" s="172"/>
      <c r="C62" s="172"/>
      <c r="D62" s="172"/>
      <c r="E62" s="172"/>
      <c r="F62" s="136"/>
      <c r="G62" s="119"/>
    </row>
    <row r="63" spans="1:7">
      <c r="A63" s="127"/>
      <c r="B63" s="127"/>
      <c r="C63" s="127"/>
      <c r="D63" s="127"/>
      <c r="E63" s="127"/>
      <c r="F63" s="159"/>
      <c r="G63" s="165"/>
    </row>
    <row r="64" spans="1:7">
      <c r="A64" s="107" t="s">
        <v>81</v>
      </c>
      <c r="B64" s="108"/>
      <c r="C64" s="108"/>
      <c r="D64" s="108"/>
      <c r="E64" s="108"/>
      <c r="F64" s="108"/>
      <c r="G64" s="133">
        <v>0</v>
      </c>
    </row>
    <row r="65" spans="1:7" s="127" customFormat="1">
      <c r="G65" s="129"/>
    </row>
    <row r="66" spans="1:7">
      <c r="A66" s="168" t="s">
        <v>82</v>
      </c>
      <c r="B66" s="169"/>
      <c r="C66" s="169"/>
      <c r="D66" s="169"/>
      <c r="E66" s="169"/>
      <c r="F66" s="221">
        <f>G18+G46+G61+G64</f>
        <v>86422.098687541991</v>
      </c>
      <c r="G66" s="222"/>
    </row>
    <row r="67" spans="1:7" s="127" customFormat="1">
      <c r="A67" s="126"/>
      <c r="G67" s="170"/>
    </row>
    <row r="68" spans="1:7" s="127" customFormat="1">
      <c r="A68" s="134"/>
      <c r="B68" s="135"/>
      <c r="C68" s="135"/>
      <c r="D68" s="135"/>
      <c r="E68" s="135"/>
      <c r="F68" s="136" t="s">
        <v>83</v>
      </c>
      <c r="G68" s="137">
        <v>0</v>
      </c>
    </row>
    <row r="70" spans="1:7">
      <c r="A70" s="107" t="s">
        <v>169</v>
      </c>
      <c r="B70" s="108"/>
      <c r="C70" s="108"/>
      <c r="D70" s="108"/>
      <c r="E70" s="108"/>
      <c r="F70" s="214">
        <f>F66-G68</f>
        <v>86422.098687541991</v>
      </c>
      <c r="G70" s="215"/>
    </row>
  </sheetData>
  <mergeCells count="8">
    <mergeCell ref="F70:G70"/>
    <mergeCell ref="A1:G1"/>
    <mergeCell ref="A15:G15"/>
    <mergeCell ref="A16:G16"/>
    <mergeCell ref="A20:G20"/>
    <mergeCell ref="A48:G48"/>
    <mergeCell ref="F66:G66"/>
    <mergeCell ref="A17:G17"/>
  </mergeCells>
  <pageMargins left="1" right="1" top="1" bottom="1" header="0.5" footer="0.5"/>
  <pageSetup scale="83" fitToHeight="3" orientation="portrait" r:id="rId1"/>
  <rowBreaks count="2" manualBreakCount="2">
    <brk id="19" max="16383" man="1"/>
    <brk id="4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3" tint="-0.249977111117893"/>
  </sheetPr>
  <dimension ref="A1:H70"/>
  <sheetViews>
    <sheetView zoomScale="85" zoomScaleNormal="85" workbookViewId="0">
      <selection activeCell="A44" sqref="A44"/>
    </sheetView>
  </sheetViews>
  <sheetFormatPr defaultRowHeight="15.75"/>
  <cols>
    <col min="1" max="1" width="29.85546875" style="111" customWidth="1"/>
    <col min="2" max="2" width="12.5703125" style="111" customWidth="1"/>
    <col min="3" max="3" width="16.140625" style="111" customWidth="1"/>
    <col min="4" max="4" width="20.7109375" style="111" customWidth="1"/>
    <col min="5" max="5" width="6" style="111" customWidth="1"/>
    <col min="6" max="6" width="5.5703125" style="111" customWidth="1"/>
    <col min="7" max="7" width="11" style="111" bestFit="1" customWidth="1"/>
    <col min="8" max="8" width="34.5703125" style="111" bestFit="1" customWidth="1"/>
    <col min="9" max="16384" width="9.140625" style="111"/>
  </cols>
  <sheetData>
    <row r="1" spans="1:8" ht="32.25" customHeight="1">
      <c r="A1" s="219" t="s">
        <v>123</v>
      </c>
      <c r="B1" s="220"/>
      <c r="C1" s="220"/>
      <c r="D1" s="220"/>
      <c r="E1" s="220"/>
      <c r="F1" s="220"/>
      <c r="G1" s="220"/>
    </row>
    <row r="2" spans="1:8">
      <c r="A2" s="107" t="s">
        <v>66</v>
      </c>
      <c r="B2" s="108"/>
      <c r="C2" s="108"/>
      <c r="D2" s="108"/>
      <c r="E2" s="108"/>
      <c r="F2" s="108"/>
      <c r="G2" s="109"/>
    </row>
    <row r="3" spans="1:8" ht="21.75" customHeight="1">
      <c r="A3" s="110"/>
      <c r="C3" s="139" t="s">
        <v>86</v>
      </c>
      <c r="D3" s="162" t="s">
        <v>68</v>
      </c>
      <c r="G3" s="140"/>
    </row>
    <row r="4" spans="1:8">
      <c r="A4" s="141" t="s">
        <v>116</v>
      </c>
      <c r="F4" s="112"/>
      <c r="G4" s="113"/>
      <c r="H4" s="163"/>
    </row>
    <row r="5" spans="1:8">
      <c r="A5" s="155" t="s">
        <v>170</v>
      </c>
      <c r="C5" s="156" t="s">
        <v>67</v>
      </c>
      <c r="D5" s="116" t="s">
        <v>124</v>
      </c>
      <c r="G5" s="115">
        <f>'NPS Budget'!J4</f>
        <v>31280.970590099998</v>
      </c>
    </row>
    <row r="6" spans="1:8" ht="18.75">
      <c r="A6" s="155" t="s">
        <v>84</v>
      </c>
      <c r="C6" s="197">
        <v>9807</v>
      </c>
      <c r="D6" s="198" t="s">
        <v>141</v>
      </c>
      <c r="E6" s="127"/>
      <c r="F6" s="127"/>
      <c r="G6" s="115">
        <f>'NPS Budget'!J19</f>
        <v>14076.436765544999</v>
      </c>
      <c r="H6" s="127"/>
    </row>
    <row r="7" spans="1:8">
      <c r="A7" s="155"/>
      <c r="C7" s="197"/>
      <c r="D7" s="198"/>
      <c r="E7" s="127"/>
      <c r="F7" s="127"/>
      <c r="G7" s="115"/>
      <c r="H7" s="127"/>
    </row>
    <row r="8" spans="1:8">
      <c r="A8" s="141" t="s">
        <v>145</v>
      </c>
      <c r="C8" s="199"/>
      <c r="D8" s="127"/>
      <c r="E8" s="127"/>
      <c r="F8" s="127"/>
      <c r="G8" s="118"/>
      <c r="H8" s="127"/>
    </row>
    <row r="9" spans="1:8" ht="18.75">
      <c r="A9" s="155" t="s">
        <v>104</v>
      </c>
      <c r="C9" s="199" t="s">
        <v>67</v>
      </c>
      <c r="D9" s="198" t="s">
        <v>129</v>
      </c>
      <c r="E9" s="127"/>
      <c r="F9" s="164"/>
      <c r="G9" s="115">
        <f>'NPS Budget'!J11</f>
        <v>0</v>
      </c>
      <c r="H9" s="127"/>
    </row>
    <row r="10" spans="1:8" ht="18.75">
      <c r="A10" s="155" t="s">
        <v>85</v>
      </c>
      <c r="C10" s="197">
        <f xml:space="preserve"> 20396*1.015*1.015</f>
        <v>21012.469099999998</v>
      </c>
      <c r="D10" s="198" t="s">
        <v>142</v>
      </c>
      <c r="E10" s="127"/>
      <c r="F10" s="129"/>
      <c r="G10" s="115">
        <f>'NPS Budget'!J25</f>
        <v>0</v>
      </c>
      <c r="H10" s="127"/>
    </row>
    <row r="11" spans="1:8">
      <c r="A11" s="155"/>
      <c r="C11" s="197"/>
      <c r="D11" s="198"/>
      <c r="E11" s="127"/>
      <c r="F11" s="129"/>
      <c r="G11" s="115"/>
      <c r="H11" s="127"/>
    </row>
    <row r="12" spans="1:8" ht="18.75">
      <c r="A12" s="155" t="s">
        <v>104</v>
      </c>
      <c r="C12" s="199" t="s">
        <v>127</v>
      </c>
      <c r="D12" s="198" t="s">
        <v>128</v>
      </c>
      <c r="E12" s="127"/>
      <c r="F12" s="164"/>
      <c r="G12" s="115">
        <f>'NPS Budget'!J12</f>
        <v>0</v>
      </c>
      <c r="H12" s="127"/>
    </row>
    <row r="13" spans="1:8" ht="22.5">
      <c r="A13" s="155" t="s">
        <v>85</v>
      </c>
      <c r="C13" s="197">
        <f xml:space="preserve"> 6799*1.015*1.015</f>
        <v>7004.4997749999993</v>
      </c>
      <c r="D13" s="198" t="s">
        <v>143</v>
      </c>
      <c r="E13" s="127"/>
      <c r="F13" s="129"/>
      <c r="G13" s="115">
        <f>'NPS Budget'!J26</f>
        <v>0</v>
      </c>
      <c r="H13" s="127"/>
    </row>
    <row r="14" spans="1:8">
      <c r="A14" s="155"/>
      <c r="C14" s="197"/>
      <c r="D14" s="198"/>
      <c r="E14" s="127"/>
      <c r="F14" s="129"/>
      <c r="G14" s="115"/>
      <c r="H14" s="127"/>
    </row>
    <row r="15" spans="1:8" ht="45.75" customHeight="1">
      <c r="A15" s="216" t="s">
        <v>161</v>
      </c>
      <c r="B15" s="217"/>
      <c r="C15" s="217"/>
      <c r="D15" s="217"/>
      <c r="E15" s="217"/>
      <c r="F15" s="217"/>
      <c r="G15" s="218"/>
    </row>
    <row r="16" spans="1:8" ht="45.75" customHeight="1">
      <c r="A16" s="216" t="s">
        <v>162</v>
      </c>
      <c r="B16" s="217"/>
      <c r="C16" s="217"/>
      <c r="D16" s="217"/>
      <c r="E16" s="217"/>
      <c r="F16" s="217"/>
      <c r="G16" s="218"/>
    </row>
    <row r="17" spans="1:7" ht="45.75" customHeight="1">
      <c r="A17" s="216" t="s">
        <v>163</v>
      </c>
      <c r="B17" s="217"/>
      <c r="C17" s="217"/>
      <c r="D17" s="217"/>
      <c r="E17" s="217"/>
      <c r="F17" s="217"/>
      <c r="G17" s="218"/>
    </row>
    <row r="18" spans="1:7">
      <c r="A18" s="138"/>
      <c r="F18" s="121" t="s">
        <v>11</v>
      </c>
      <c r="G18" s="122">
        <f>SUM(G5:G13)</f>
        <v>45357.407355644995</v>
      </c>
    </row>
    <row r="19" spans="1:7" ht="18.75">
      <c r="A19" s="123"/>
      <c r="B19" s="124" t="s">
        <v>130</v>
      </c>
      <c r="C19" s="124"/>
      <c r="D19" s="124" t="s">
        <v>131</v>
      </c>
      <c r="E19" s="124"/>
      <c r="F19" s="124"/>
      <c r="G19" s="125"/>
    </row>
    <row r="20" spans="1:7" ht="38.25" customHeight="1">
      <c r="A20" s="219" t="str">
        <f>A1</f>
        <v>Subaward UNIVERSITY of CONNECTICUT (UConn)
Year 3:  11/01/2014 - 10/31/2015</v>
      </c>
      <c r="B20" s="220"/>
      <c r="C20" s="220"/>
      <c r="D20" s="220"/>
      <c r="E20" s="220"/>
      <c r="F20" s="220"/>
      <c r="G20" s="220"/>
    </row>
    <row r="21" spans="1:7">
      <c r="A21" s="107" t="s">
        <v>69</v>
      </c>
      <c r="B21" s="108"/>
      <c r="C21" s="108"/>
      <c r="D21" s="108"/>
      <c r="E21" s="108"/>
      <c r="F21" s="108"/>
      <c r="G21" s="109"/>
    </row>
    <row r="22" spans="1:7">
      <c r="A22" s="126" t="s">
        <v>120</v>
      </c>
      <c r="B22" s="127"/>
      <c r="C22" s="127"/>
      <c r="D22" s="127"/>
      <c r="E22" s="127"/>
      <c r="F22" s="127"/>
      <c r="G22" s="115">
        <f>'NPS Budget'!H46</f>
        <v>0</v>
      </c>
    </row>
    <row r="23" spans="1:7">
      <c r="A23" s="126" t="s">
        <v>87</v>
      </c>
      <c r="B23" s="127"/>
      <c r="C23" s="127"/>
      <c r="D23" s="127"/>
      <c r="E23" s="127"/>
      <c r="F23" s="127"/>
      <c r="G23" s="115">
        <f>'NPS Budget'!H44</f>
        <v>0</v>
      </c>
    </row>
    <row r="24" spans="1:7">
      <c r="A24" s="126" t="s">
        <v>103</v>
      </c>
      <c r="B24" s="127"/>
      <c r="C24" s="127"/>
      <c r="D24" s="127"/>
      <c r="E24" s="127"/>
      <c r="F24" s="127"/>
      <c r="G24" s="115">
        <f>'NPS Budget'!H32</f>
        <v>0</v>
      </c>
    </row>
    <row r="25" spans="1:7" s="127" customFormat="1">
      <c r="A25" s="126" t="s">
        <v>88</v>
      </c>
      <c r="G25" s="115">
        <f>'NPS Budget'!H42</f>
        <v>0</v>
      </c>
    </row>
    <row r="26" spans="1:7" s="127" customFormat="1">
      <c r="A26" s="126" t="s">
        <v>140</v>
      </c>
      <c r="G26" s="115">
        <f>'NPS Budget'!J33</f>
        <v>10000</v>
      </c>
    </row>
    <row r="27" spans="1:7" s="127" customFormat="1">
      <c r="A27" s="126" t="s">
        <v>70</v>
      </c>
      <c r="G27" s="115"/>
    </row>
    <row r="28" spans="1:7" s="127" customFormat="1">
      <c r="A28" s="126" t="s">
        <v>105</v>
      </c>
      <c r="G28" s="115"/>
    </row>
    <row r="29" spans="1:7" s="127" customFormat="1">
      <c r="A29" s="126" t="s">
        <v>139</v>
      </c>
      <c r="G29" s="115"/>
    </row>
    <row r="30" spans="1:7" s="127" customFormat="1">
      <c r="A30" s="200" t="s">
        <v>136</v>
      </c>
      <c r="B30" s="157" t="s">
        <v>144</v>
      </c>
      <c r="D30" s="157"/>
      <c r="G30" s="115"/>
    </row>
    <row r="31" spans="1:7" s="127" customFormat="1">
      <c r="A31" s="200" t="s">
        <v>71</v>
      </c>
      <c r="B31" s="129">
        <v>570</v>
      </c>
      <c r="C31" s="127" t="s">
        <v>110</v>
      </c>
      <c r="G31" s="115"/>
    </row>
    <row r="32" spans="1:7" s="127" customFormat="1">
      <c r="A32" s="200" t="s">
        <v>72</v>
      </c>
      <c r="B32" s="129">
        <f>120*2</f>
        <v>240</v>
      </c>
      <c r="C32" s="127" t="s">
        <v>110</v>
      </c>
      <c r="G32" s="115"/>
    </row>
    <row r="33" spans="1:7" s="127" customFormat="1">
      <c r="A33" s="200" t="s">
        <v>73</v>
      </c>
      <c r="B33" s="129">
        <f>200/3*3</f>
        <v>200</v>
      </c>
      <c r="C33" s="127" t="s">
        <v>110</v>
      </c>
      <c r="G33" s="115"/>
    </row>
    <row r="34" spans="1:7" s="127" customFormat="1" ht="18">
      <c r="A34" s="200" t="s">
        <v>106</v>
      </c>
      <c r="B34" s="201">
        <v>120</v>
      </c>
      <c r="C34" s="127" t="s">
        <v>110</v>
      </c>
      <c r="G34" s="115"/>
    </row>
    <row r="35" spans="1:7" s="127" customFormat="1">
      <c r="A35" s="126" t="s">
        <v>74</v>
      </c>
      <c r="B35" s="129">
        <f>SUM(B31:B34)</f>
        <v>1130</v>
      </c>
      <c r="G35" s="131"/>
    </row>
    <row r="36" spans="1:7" s="127" customFormat="1">
      <c r="A36" s="126" t="s">
        <v>108</v>
      </c>
      <c r="B36" s="202">
        <v>260</v>
      </c>
      <c r="C36" s="127" t="s">
        <v>110</v>
      </c>
      <c r="G36" s="131"/>
    </row>
    <row r="37" spans="1:7" s="127" customFormat="1">
      <c r="A37" s="126" t="s">
        <v>109</v>
      </c>
      <c r="B37" s="129">
        <f>B35+B36</f>
        <v>1390</v>
      </c>
      <c r="G37" s="131"/>
    </row>
    <row r="38" spans="1:7" s="127" customFormat="1" ht="16.5" thickBot="1">
      <c r="A38" s="126" t="s">
        <v>107</v>
      </c>
      <c r="B38" s="203">
        <f>B37*2</f>
        <v>2780</v>
      </c>
      <c r="G38" s="131"/>
    </row>
    <row r="39" spans="1:7" s="127" customFormat="1">
      <c r="A39" s="126"/>
      <c r="G39" s="131"/>
    </row>
    <row r="40" spans="1:7">
      <c r="A40" s="110" t="s">
        <v>75</v>
      </c>
      <c r="G40" s="130"/>
    </row>
    <row r="41" spans="1:7">
      <c r="A41" s="138" t="s">
        <v>4</v>
      </c>
      <c r="G41" s="122">
        <f>'NPS Budget'!J43</f>
        <v>1000</v>
      </c>
    </row>
    <row r="42" spans="1:7">
      <c r="A42" s="138" t="s">
        <v>90</v>
      </c>
      <c r="G42" s="122">
        <f>'NPS Budget'!J47</f>
        <v>0</v>
      </c>
    </row>
    <row r="43" spans="1:7">
      <c r="A43" s="138" t="s">
        <v>171</v>
      </c>
      <c r="G43" s="122">
        <v>0</v>
      </c>
    </row>
    <row r="44" spans="1:7">
      <c r="A44" s="213" t="s">
        <v>156</v>
      </c>
      <c r="G44" s="131">
        <f>'NPS Budget'!J48</f>
        <v>0</v>
      </c>
    </row>
    <row r="45" spans="1:7">
      <c r="A45" s="110"/>
      <c r="G45" s="131"/>
    </row>
    <row r="46" spans="1:7">
      <c r="A46" s="110" t="s">
        <v>22</v>
      </c>
      <c r="F46" s="121" t="s">
        <v>11</v>
      </c>
      <c r="G46" s="130">
        <f>SUM(G22:G44)</f>
        <v>11000</v>
      </c>
    </row>
    <row r="47" spans="1:7">
      <c r="A47" s="123" t="s">
        <v>22</v>
      </c>
      <c r="B47" s="124"/>
      <c r="C47" s="124"/>
      <c r="D47" s="124"/>
      <c r="E47" s="124"/>
      <c r="F47" s="124"/>
      <c r="G47" s="125"/>
    </row>
    <row r="48" spans="1:7" ht="42" customHeight="1">
      <c r="A48" s="219" t="str">
        <f>A1</f>
        <v>Subaward UNIVERSITY of CONNECTICUT (UConn)
Year 3:  11/01/2014 - 10/31/2015</v>
      </c>
      <c r="B48" s="220"/>
      <c r="C48" s="220"/>
      <c r="D48" s="220"/>
      <c r="E48" s="220"/>
      <c r="F48" s="220"/>
      <c r="G48" s="220"/>
    </row>
    <row r="49" spans="1:7">
      <c r="A49" s="107" t="s">
        <v>76</v>
      </c>
      <c r="B49" s="108"/>
      <c r="C49" s="108"/>
      <c r="D49" s="108"/>
      <c r="E49" s="108"/>
      <c r="F49" s="108"/>
      <c r="G49" s="109"/>
    </row>
    <row r="50" spans="1:7">
      <c r="A50" s="126" t="s">
        <v>155</v>
      </c>
      <c r="B50" s="111" t="s">
        <v>77</v>
      </c>
      <c r="C50" s="127" t="s">
        <v>154</v>
      </c>
      <c r="D50" s="127"/>
      <c r="G50" s="120"/>
    </row>
    <row r="51" spans="1:7">
      <c r="A51" s="110" t="s">
        <v>101</v>
      </c>
      <c r="D51" s="164" t="s">
        <v>78</v>
      </c>
      <c r="G51" s="120"/>
    </row>
    <row r="52" spans="1:7">
      <c r="A52" s="110"/>
      <c r="D52" s="164" t="s">
        <v>79</v>
      </c>
      <c r="G52" s="120"/>
    </row>
    <row r="53" spans="1:7">
      <c r="A53" s="110"/>
      <c r="D53" s="127"/>
      <c r="G53" s="120"/>
    </row>
    <row r="54" spans="1:7">
      <c r="A54" s="210" t="s">
        <v>80</v>
      </c>
      <c r="C54" s="121" t="s">
        <v>100</v>
      </c>
      <c r="D54" s="190">
        <f>G46-G44-G22-G24+G18</f>
        <v>56357.407355644995</v>
      </c>
      <c r="G54" s="120"/>
    </row>
    <row r="55" spans="1:7">
      <c r="A55" s="210" t="s">
        <v>148</v>
      </c>
      <c r="B55" s="127"/>
      <c r="G55" s="120"/>
    </row>
    <row r="56" spans="1:7">
      <c r="A56" s="210" t="s">
        <v>149</v>
      </c>
      <c r="B56" s="127"/>
      <c r="C56" s="127"/>
      <c r="D56" s="127"/>
      <c r="E56" s="127"/>
      <c r="F56" s="127"/>
      <c r="G56" s="118"/>
    </row>
    <row r="57" spans="1:7">
      <c r="A57" s="210" t="s">
        <v>150</v>
      </c>
      <c r="B57" s="127"/>
      <c r="C57" s="127"/>
      <c r="D57" s="127"/>
      <c r="E57" s="127"/>
      <c r="F57" s="127"/>
      <c r="G57" s="118"/>
    </row>
    <row r="58" spans="1:7">
      <c r="A58" s="210" t="s">
        <v>151</v>
      </c>
      <c r="B58" s="127"/>
      <c r="C58" s="127"/>
      <c r="D58" s="127"/>
      <c r="E58" s="127"/>
      <c r="F58" s="127"/>
      <c r="G58" s="118"/>
    </row>
    <row r="59" spans="1:7">
      <c r="A59" s="210" t="s">
        <v>152</v>
      </c>
      <c r="B59" s="127"/>
      <c r="C59" s="127"/>
      <c r="D59" s="127"/>
      <c r="E59" s="127"/>
      <c r="F59" s="127"/>
      <c r="G59" s="118"/>
    </row>
    <row r="60" spans="1:7">
      <c r="A60" s="210" t="s">
        <v>153</v>
      </c>
      <c r="B60" s="127"/>
      <c r="C60" s="127"/>
      <c r="D60" s="127"/>
      <c r="E60" s="127"/>
      <c r="G60" s="120"/>
    </row>
    <row r="61" spans="1:7">
      <c r="A61" s="187"/>
      <c r="B61" s="188"/>
      <c r="C61" s="188"/>
      <c r="D61" s="188"/>
      <c r="E61" s="188"/>
      <c r="F61" s="159" t="s">
        <v>11</v>
      </c>
      <c r="G61" s="115">
        <f>D54*0.58+1</f>
        <v>32688.296266274094</v>
      </c>
    </row>
    <row r="62" spans="1:7">
      <c r="A62" s="171"/>
      <c r="B62" s="172"/>
      <c r="C62" s="172"/>
      <c r="D62" s="172"/>
      <c r="E62" s="172"/>
      <c r="F62" s="136"/>
      <c r="G62" s="119"/>
    </row>
    <row r="63" spans="1:7">
      <c r="A63" s="127"/>
      <c r="B63" s="127"/>
      <c r="C63" s="127"/>
      <c r="D63" s="127"/>
      <c r="E63" s="127"/>
      <c r="F63" s="159"/>
      <c r="G63" s="165"/>
    </row>
    <row r="64" spans="1:7">
      <c r="A64" s="107" t="s">
        <v>81</v>
      </c>
      <c r="B64" s="108"/>
      <c r="C64" s="108"/>
      <c r="D64" s="108"/>
      <c r="E64" s="108"/>
      <c r="F64" s="108"/>
      <c r="G64" s="133">
        <v>0</v>
      </c>
    </row>
    <row r="65" spans="1:7" s="127" customFormat="1">
      <c r="G65" s="129"/>
    </row>
    <row r="66" spans="1:7">
      <c r="A66" s="168" t="s">
        <v>82</v>
      </c>
      <c r="B66" s="169"/>
      <c r="C66" s="169"/>
      <c r="D66" s="169"/>
      <c r="E66" s="169"/>
      <c r="F66" s="221">
        <f>G18+G46+G61+G64</f>
        <v>89045.703621919092</v>
      </c>
      <c r="G66" s="222"/>
    </row>
    <row r="67" spans="1:7" s="127" customFormat="1">
      <c r="A67" s="126"/>
      <c r="G67" s="170"/>
    </row>
    <row r="68" spans="1:7" s="127" customFormat="1">
      <c r="A68" s="134"/>
      <c r="B68" s="135"/>
      <c r="C68" s="135"/>
      <c r="D68" s="135"/>
      <c r="E68" s="135"/>
      <c r="F68" s="136" t="s">
        <v>83</v>
      </c>
      <c r="G68" s="137">
        <v>0</v>
      </c>
    </row>
    <row r="70" spans="1:7">
      <c r="A70" s="107" t="s">
        <v>91</v>
      </c>
      <c r="B70" s="108"/>
      <c r="C70" s="108"/>
      <c r="D70" s="108"/>
      <c r="E70" s="108"/>
      <c r="F70" s="214">
        <f>F66-G68</f>
        <v>89045.703621919092</v>
      </c>
      <c r="G70" s="215"/>
    </row>
  </sheetData>
  <mergeCells count="8">
    <mergeCell ref="F70:G70"/>
    <mergeCell ref="A1:G1"/>
    <mergeCell ref="A15:G15"/>
    <mergeCell ref="A16:G16"/>
    <mergeCell ref="A20:G20"/>
    <mergeCell ref="A48:G48"/>
    <mergeCell ref="F66:G66"/>
    <mergeCell ref="A17:G17"/>
  </mergeCells>
  <pageMargins left="1" right="1" top="1" bottom="1" header="0.5" footer="0.5"/>
  <pageSetup scale="83" fitToHeight="3" orientation="portrait" r:id="rId1"/>
  <rowBreaks count="2" manualBreakCount="2">
    <brk id="19" max="16383" man="1"/>
    <brk id="4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3" tint="-0.249977111117893"/>
  </sheetPr>
  <dimension ref="A1:F39"/>
  <sheetViews>
    <sheetView showGridLines="0" topLeftCell="A13" zoomScaleNormal="100" workbookViewId="0">
      <selection activeCell="A39" sqref="A1:F39"/>
    </sheetView>
  </sheetViews>
  <sheetFormatPr defaultRowHeight="15.75"/>
  <cols>
    <col min="1" max="1" width="28.42578125" style="111" customWidth="1"/>
    <col min="2" max="2" width="8.7109375" style="111" customWidth="1"/>
    <col min="3" max="5" width="11.28515625" style="111" customWidth="1"/>
    <col min="6" max="6" width="12.7109375" style="163" bestFit="1" customWidth="1"/>
    <col min="7" max="16384" width="9.140625" style="111"/>
  </cols>
  <sheetData>
    <row r="1" spans="1:6" ht="42" customHeight="1">
      <c r="A1" s="219" t="s">
        <v>115</v>
      </c>
      <c r="B1" s="219"/>
      <c r="C1" s="219"/>
      <c r="D1" s="219"/>
      <c r="E1" s="219"/>
      <c r="F1" s="219"/>
    </row>
    <row r="2" spans="1:6">
      <c r="A2" s="173"/>
      <c r="B2" s="173"/>
      <c r="C2" s="173" t="s">
        <v>97</v>
      </c>
      <c r="D2" s="173" t="s">
        <v>98</v>
      </c>
      <c r="E2" s="173" t="s">
        <v>99</v>
      </c>
      <c r="F2" s="173" t="s">
        <v>94</v>
      </c>
    </row>
    <row r="3" spans="1:6">
      <c r="A3" s="107" t="s">
        <v>66</v>
      </c>
      <c r="B3" s="108"/>
      <c r="C3" s="158"/>
      <c r="D3" s="158"/>
      <c r="E3" s="158"/>
      <c r="F3" s="144"/>
    </row>
    <row r="4" spans="1:6" ht="16.5" customHeight="1">
      <c r="A4" s="163" t="s">
        <v>116</v>
      </c>
      <c r="B4" s="112"/>
      <c r="C4" s="164"/>
      <c r="D4" s="164"/>
      <c r="E4" s="164"/>
      <c r="F4" s="174"/>
    </row>
    <row r="5" spans="1:6">
      <c r="A5" s="175" t="s">
        <v>93</v>
      </c>
      <c r="B5" s="114"/>
      <c r="C5" s="165">
        <f>'TB Year 1'!G5</f>
        <v>28372.762439999995</v>
      </c>
      <c r="D5" s="165">
        <f>'TB Year 2'!G5</f>
        <v>29791.400561999995</v>
      </c>
      <c r="E5" s="165">
        <f>'TB Year 3'!G5</f>
        <v>31280.970590099998</v>
      </c>
      <c r="F5" s="176">
        <f>SUM(C5:E5)</f>
        <v>89445.133592099985</v>
      </c>
    </row>
    <row r="6" spans="1:6" ht="18.75">
      <c r="A6" s="175" t="s">
        <v>114</v>
      </c>
      <c r="C6" s="165">
        <f>'TB Year 1'!G6</f>
        <v>12767.743097999997</v>
      </c>
      <c r="D6" s="165">
        <f>'TB Year 2'!G6</f>
        <v>13406.130252899999</v>
      </c>
      <c r="E6" s="165">
        <f>'TB Year 3'!G6</f>
        <v>14076.436765544999</v>
      </c>
      <c r="F6" s="176">
        <f>SUM(C6:E6)</f>
        <v>40250.310116444991</v>
      </c>
    </row>
    <row r="7" spans="1:6" ht="16.5" customHeight="1">
      <c r="A7" s="163" t="s">
        <v>117</v>
      </c>
      <c r="C7" s="127"/>
      <c r="D7" s="127"/>
      <c r="E7" s="127"/>
      <c r="F7" s="177"/>
    </row>
    <row r="8" spans="1:6">
      <c r="A8" s="175" t="s">
        <v>93</v>
      </c>
      <c r="B8" s="112"/>
      <c r="C8" s="165">
        <f>'TB Year 1'!G9+'TB Year 1'!G12</f>
        <v>0</v>
      </c>
      <c r="D8" s="165">
        <f>'TB Year 2'!G9+'TB Year 2'!G12</f>
        <v>0</v>
      </c>
      <c r="E8" s="165">
        <f>'TB Year 3'!G9+'TB Year 3'!G12</f>
        <v>0</v>
      </c>
      <c r="F8" s="176">
        <f>SUM(C8:E8)</f>
        <v>0</v>
      </c>
    </row>
    <row r="9" spans="1:6" ht="18.75">
      <c r="A9" s="175" t="s">
        <v>113</v>
      </c>
      <c r="B9" s="117"/>
      <c r="C9" s="185">
        <f>'TB Year 1'!G10+'TB Year 1'!G13</f>
        <v>0</v>
      </c>
      <c r="D9" s="185">
        <f>'TB Year 2'!G10+'TB Year 2'!G13</f>
        <v>0</v>
      </c>
      <c r="E9" s="185">
        <f>'TB Year 3'!G10+'TB Year 3'!G13</f>
        <v>0</v>
      </c>
      <c r="F9" s="186">
        <f>SUM(C9:E9)</f>
        <v>0</v>
      </c>
    </row>
    <row r="10" spans="1:6">
      <c r="A10" s="166"/>
      <c r="B10" s="121" t="s">
        <v>11</v>
      </c>
      <c r="C10" s="114">
        <f>SUM(C5:C9)</f>
        <v>41140.50553799999</v>
      </c>
      <c r="D10" s="114">
        <f>SUM(D5:D9)</f>
        <v>43197.53081489999</v>
      </c>
      <c r="E10" s="114">
        <f>SUM(E5:E9)</f>
        <v>45357.407355644995</v>
      </c>
      <c r="F10" s="178">
        <f>SUM(F5:F9)</f>
        <v>129695.44370854498</v>
      </c>
    </row>
    <row r="11" spans="1:6" ht="6.75" customHeight="1"/>
    <row r="12" spans="1:6">
      <c r="A12" s="107" t="s">
        <v>69</v>
      </c>
      <c r="B12" s="108"/>
      <c r="C12" s="108"/>
      <c r="D12" s="108"/>
      <c r="E12" s="108"/>
      <c r="F12" s="148"/>
    </row>
    <row r="13" spans="1:6">
      <c r="A13" s="111" t="s">
        <v>120</v>
      </c>
      <c r="C13" s="165">
        <f>'TB Year 1'!G22</f>
        <v>0</v>
      </c>
      <c r="D13" s="165">
        <f>'TB Year 2'!G22</f>
        <v>0</v>
      </c>
      <c r="E13" s="165">
        <f>'TB Year 3'!G22</f>
        <v>0</v>
      </c>
      <c r="F13" s="176">
        <f t="shared" ref="F13:F17" si="0">SUM(C13:E13)</f>
        <v>0</v>
      </c>
    </row>
    <row r="14" spans="1:6">
      <c r="A14" s="111" t="s">
        <v>87</v>
      </c>
      <c r="C14" s="114">
        <f>'TB Year 1'!G23</f>
        <v>0</v>
      </c>
      <c r="D14" s="114">
        <f>'TB Year 2'!G23</f>
        <v>0</v>
      </c>
      <c r="E14" s="114">
        <f>'TB Year 3'!G23</f>
        <v>0</v>
      </c>
      <c r="F14" s="178">
        <f t="shared" si="0"/>
        <v>0</v>
      </c>
    </row>
    <row r="15" spans="1:6">
      <c r="A15" s="111" t="s">
        <v>119</v>
      </c>
      <c r="C15" s="114">
        <f>'TB Year 1'!G24</f>
        <v>0</v>
      </c>
      <c r="D15" s="114">
        <f>'TB Year 2'!G24</f>
        <v>0</v>
      </c>
      <c r="E15" s="114">
        <f>'TB Year 3'!G24</f>
        <v>0</v>
      </c>
      <c r="F15" s="178">
        <f t="shared" si="0"/>
        <v>0</v>
      </c>
    </row>
    <row r="16" spans="1:6" s="127" customFormat="1">
      <c r="A16" s="127" t="s">
        <v>88</v>
      </c>
      <c r="C16" s="165">
        <f>'TB Year 1'!G25</f>
        <v>0</v>
      </c>
      <c r="D16" s="165">
        <f>'TB Year 2'!G25</f>
        <v>0</v>
      </c>
      <c r="E16" s="165">
        <f>'TB Year 3'!G25</f>
        <v>0</v>
      </c>
      <c r="F16" s="176">
        <f t="shared" si="0"/>
        <v>0</v>
      </c>
    </row>
    <row r="17" spans="1:6" s="127" customFormat="1">
      <c r="A17" s="127" t="s">
        <v>95</v>
      </c>
      <c r="C17" s="165">
        <f>'TB Year 1'!G26</f>
        <v>10000</v>
      </c>
      <c r="D17" s="165">
        <f>'TB Year 2'!G26</f>
        <v>10000</v>
      </c>
      <c r="E17" s="165">
        <f>'TB Year 3'!G26</f>
        <v>10000</v>
      </c>
      <c r="F17" s="176">
        <f t="shared" si="0"/>
        <v>30000</v>
      </c>
    </row>
    <row r="18" spans="1:6">
      <c r="A18" s="111" t="s">
        <v>75</v>
      </c>
      <c r="C18" s="167"/>
      <c r="D18" s="167"/>
      <c r="E18" s="167"/>
      <c r="F18" s="179"/>
    </row>
    <row r="19" spans="1:6">
      <c r="A19" s="175" t="s">
        <v>4</v>
      </c>
      <c r="C19" s="114">
        <f>'TB Year 1'!G41</f>
        <v>1500</v>
      </c>
      <c r="D19" s="114">
        <f>'TB Year 2'!G41</f>
        <v>1500</v>
      </c>
      <c r="E19" s="114">
        <f>'TB Year 3'!G41</f>
        <v>1000</v>
      </c>
      <c r="F19" s="178">
        <f t="shared" ref="F19:F22" si="1">SUM(C19:E19)</f>
        <v>4000</v>
      </c>
    </row>
    <row r="20" spans="1:6">
      <c r="A20" s="175" t="s">
        <v>90</v>
      </c>
      <c r="C20" s="114">
        <f>'TB Year 1'!G42</f>
        <v>0</v>
      </c>
      <c r="D20" s="114">
        <f>'TB Year 2'!G42</f>
        <v>0</v>
      </c>
      <c r="E20" s="114">
        <f>'TB Year 3'!G42</f>
        <v>0</v>
      </c>
      <c r="F20" s="178">
        <f t="shared" si="1"/>
        <v>0</v>
      </c>
    </row>
    <row r="21" spans="1:6">
      <c r="A21" s="175" t="s">
        <v>171</v>
      </c>
      <c r="C21" s="114">
        <v>0</v>
      </c>
      <c r="D21" s="114">
        <v>0</v>
      </c>
      <c r="E21" s="114">
        <v>0</v>
      </c>
      <c r="F21" s="178">
        <f t="shared" si="1"/>
        <v>0</v>
      </c>
    </row>
    <row r="22" spans="1:6">
      <c r="A22" s="208" t="s">
        <v>157</v>
      </c>
      <c r="C22" s="183">
        <f>'TB Year 1'!G44</f>
        <v>0</v>
      </c>
      <c r="D22" s="183">
        <f>'TB Year 2'!G44</f>
        <v>0</v>
      </c>
      <c r="E22" s="183">
        <f>'TB Year 3'!G44</f>
        <v>0</v>
      </c>
      <c r="F22" s="184">
        <f t="shared" si="1"/>
        <v>0</v>
      </c>
    </row>
    <row r="23" spans="1:6">
      <c r="A23" s="111" t="s">
        <v>22</v>
      </c>
      <c r="B23" s="121" t="s">
        <v>11</v>
      </c>
      <c r="C23" s="167">
        <f>SUM(C13:C22)</f>
        <v>11500</v>
      </c>
      <c r="D23" s="167">
        <f>SUM(D13:D22)</f>
        <v>11500</v>
      </c>
      <c r="E23" s="167">
        <f>SUM(E13:E22)</f>
        <v>11000</v>
      </c>
      <c r="F23" s="179">
        <f>F13+F14+F15+F16+F17+F19+F22+F20</f>
        <v>34000</v>
      </c>
    </row>
    <row r="24" spans="1:6" ht="6.75" customHeight="1">
      <c r="A24" s="111" t="s">
        <v>22</v>
      </c>
    </row>
    <row r="25" spans="1:6">
      <c r="A25" s="107" t="s">
        <v>76</v>
      </c>
      <c r="B25" s="108"/>
      <c r="C25" s="108"/>
      <c r="D25" s="108"/>
      <c r="E25" s="108"/>
      <c r="F25" s="148"/>
    </row>
    <row r="26" spans="1:6" ht="6.75" customHeight="1"/>
    <row r="27" spans="1:6">
      <c r="A27" s="111" t="s">
        <v>89</v>
      </c>
      <c r="B27" s="132"/>
      <c r="C27" s="167">
        <f>C23-C22-C15-C13+C10</f>
        <v>52640.50553799999</v>
      </c>
      <c r="D27" s="167">
        <f>D23-D22-D15-D13+D10</f>
        <v>54697.53081489999</v>
      </c>
      <c r="E27" s="167">
        <f>E23-E22-E15-E13+E10</f>
        <v>56357.407355644995</v>
      </c>
      <c r="F27" s="178">
        <f>SUM(C27:E27)</f>
        <v>163695.44370854498</v>
      </c>
    </row>
    <row r="28" spans="1:6">
      <c r="A28" s="127" t="s">
        <v>158</v>
      </c>
      <c r="B28" s="143"/>
      <c r="C28" s="167"/>
      <c r="D28" s="167"/>
    </row>
    <row r="29" spans="1:6">
      <c r="A29" s="127"/>
      <c r="B29" s="121" t="s">
        <v>96</v>
      </c>
      <c r="C29" s="165">
        <f>C27*0.57</f>
        <v>30005.088156659993</v>
      </c>
      <c r="D29" s="165">
        <f>D27*0.58</f>
        <v>31724.567872641994</v>
      </c>
      <c r="E29" s="165">
        <f>E27*0.58+1</f>
        <v>32688.296266274094</v>
      </c>
      <c r="F29" s="178">
        <f>SUM(C29:E29)</f>
        <v>94417.952295576077</v>
      </c>
    </row>
    <row r="30" spans="1:6" ht="6.75" customHeight="1"/>
    <row r="31" spans="1:6">
      <c r="A31" s="107" t="s">
        <v>81</v>
      </c>
      <c r="B31" s="108"/>
      <c r="C31" s="181">
        <v>0</v>
      </c>
      <c r="D31" s="181">
        <v>0</v>
      </c>
      <c r="E31" s="181">
        <v>0</v>
      </c>
      <c r="F31" s="151">
        <v>0</v>
      </c>
    </row>
    <row r="32" spans="1:6" s="127" customFormat="1" ht="12" customHeight="1">
      <c r="C32" s="129"/>
      <c r="D32" s="129"/>
      <c r="E32" s="129"/>
      <c r="F32" s="180"/>
    </row>
    <row r="33" spans="1:6">
      <c r="A33" s="107" t="s">
        <v>82</v>
      </c>
      <c r="B33" s="108"/>
      <c r="C33" s="182">
        <f>C10+C23+C29+C31</f>
        <v>82645.593694659983</v>
      </c>
      <c r="D33" s="182">
        <f>D10+D23+D29+D31</f>
        <v>86422.098687541991</v>
      </c>
      <c r="E33" s="182">
        <f>E10+E23+E29+E31</f>
        <v>89045.703621919092</v>
      </c>
      <c r="F33" s="152">
        <f>F10+F23+F29+F31</f>
        <v>258113.39600412105</v>
      </c>
    </row>
    <row r="34" spans="1:6" s="127" customFormat="1" ht="6.75" customHeight="1">
      <c r="C34" s="129"/>
      <c r="D34" s="129"/>
      <c r="E34" s="129"/>
      <c r="F34" s="180"/>
    </row>
    <row r="35" spans="1:6" s="127" customFormat="1">
      <c r="B35" s="159" t="s">
        <v>83</v>
      </c>
      <c r="C35" s="129">
        <v>0</v>
      </c>
      <c r="D35" s="129">
        <v>0</v>
      </c>
      <c r="E35" s="129">
        <v>0</v>
      </c>
      <c r="F35" s="180">
        <v>0</v>
      </c>
    </row>
    <row r="36" spans="1:6" ht="8.25" customHeight="1"/>
    <row r="37" spans="1:6">
      <c r="A37" s="107" t="s">
        <v>172</v>
      </c>
      <c r="B37" s="108"/>
      <c r="C37" s="182">
        <f>C33-C35</f>
        <v>82645.593694659983</v>
      </c>
      <c r="D37" s="182">
        <f t="shared" ref="D37:E37" si="2">D33-D35</f>
        <v>86422.098687541991</v>
      </c>
      <c r="E37" s="182">
        <f t="shared" si="2"/>
        <v>89045.703621919092</v>
      </c>
      <c r="F37" s="152">
        <f t="shared" ref="F37" si="3">F33-F35</f>
        <v>258113.39600412105</v>
      </c>
    </row>
    <row r="38" spans="1:6" ht="54.75" customHeight="1">
      <c r="A38" s="223" t="s">
        <v>159</v>
      </c>
      <c r="B38" s="223"/>
      <c r="C38" s="223"/>
      <c r="D38" s="223"/>
      <c r="E38" s="223"/>
      <c r="F38" s="223"/>
    </row>
    <row r="39" spans="1:6" ht="51" customHeight="1">
      <c r="A39" s="223" t="s">
        <v>160</v>
      </c>
      <c r="B39" s="223"/>
      <c r="C39" s="223"/>
      <c r="D39" s="223"/>
      <c r="E39" s="223"/>
      <c r="F39" s="223"/>
    </row>
  </sheetData>
  <mergeCells count="3">
    <mergeCell ref="A1:F1"/>
    <mergeCell ref="A38:F38"/>
    <mergeCell ref="A39:F39"/>
  </mergeCells>
  <pageMargins left="1" right="1" top="1" bottom="1" header="0.5" footer="0.5"/>
  <pageSetup fitToHeight="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8"/>
  <sheetViews>
    <sheetView showGridLines="0" zoomScaleNormal="100" workbookViewId="0">
      <selection activeCell="A2" sqref="A2"/>
    </sheetView>
  </sheetViews>
  <sheetFormatPr defaultRowHeight="15.75"/>
  <cols>
    <col min="1" max="1" width="28.42578125" style="106" customWidth="1"/>
    <col min="2" max="2" width="8.7109375" style="106" customWidth="1"/>
    <col min="3" max="5" width="11.7109375" style="106" customWidth="1"/>
    <col min="6" max="6" width="12" style="153" customWidth="1"/>
    <col min="7" max="7" width="9.140625" style="106"/>
    <col min="8" max="8" width="11.7109375" style="106" bestFit="1" customWidth="1"/>
    <col min="9" max="16384" width="9.140625" style="106"/>
  </cols>
  <sheetData>
    <row r="1" spans="1:8" ht="51.75" customHeight="1">
      <c r="A1" s="224" t="s">
        <v>173</v>
      </c>
      <c r="B1" s="225"/>
      <c r="C1" s="225"/>
      <c r="D1" s="225"/>
      <c r="E1" s="225"/>
      <c r="F1" s="226"/>
      <c r="G1" s="111"/>
    </row>
    <row r="2" spans="1:8">
      <c r="A2" s="193"/>
      <c r="B2" s="189"/>
      <c r="C2" s="189" t="s">
        <v>97</v>
      </c>
      <c r="D2" s="189" t="s">
        <v>98</v>
      </c>
      <c r="E2" s="189" t="s">
        <v>99</v>
      </c>
      <c r="F2" s="194" t="s">
        <v>94</v>
      </c>
      <c r="G2" s="111"/>
    </row>
    <row r="3" spans="1:8">
      <c r="A3" s="107" t="s">
        <v>9</v>
      </c>
      <c r="B3" s="108"/>
      <c r="C3" s="108"/>
      <c r="D3" s="108"/>
      <c r="E3" s="108"/>
      <c r="F3" s="148"/>
      <c r="G3" s="111"/>
    </row>
    <row r="4" spans="1:8">
      <c r="A4" s="110" t="str">
        <f>'TB Summary'!A13</f>
        <v>a. Subcontracts/Subawards</v>
      </c>
      <c r="B4" s="111"/>
      <c r="C4" s="165">
        <f>'TB Summary'!C13</f>
        <v>0</v>
      </c>
      <c r="D4" s="165">
        <f>'TB Summary'!D13</f>
        <v>0</v>
      </c>
      <c r="E4" s="165">
        <f>'TB Summary'!E13</f>
        <v>0</v>
      </c>
      <c r="F4" s="146">
        <f t="shared" ref="F4:F8" si="0">SUM(C4:E4)</f>
        <v>0</v>
      </c>
      <c r="G4" s="111"/>
    </row>
    <row r="5" spans="1:8">
      <c r="A5" s="110" t="str">
        <f>'TB Summary'!A14</f>
        <v>b. Consultants</v>
      </c>
      <c r="B5" s="111"/>
      <c r="C5" s="114">
        <f>'TB Summary'!C14</f>
        <v>0</v>
      </c>
      <c r="D5" s="114">
        <f>'TB Summary'!D14</f>
        <v>0</v>
      </c>
      <c r="E5" s="114">
        <f>'TB Summary'!E14</f>
        <v>0</v>
      </c>
      <c r="F5" s="147">
        <f t="shared" si="0"/>
        <v>0</v>
      </c>
      <c r="G5" s="111"/>
    </row>
    <row r="6" spans="1:8">
      <c r="A6" s="110" t="str">
        <f>'TB Summary'!A15</f>
        <v>c. Capital Equipment</v>
      </c>
      <c r="B6" s="111"/>
      <c r="C6" s="114">
        <f>'TB Summary'!C15</f>
        <v>0</v>
      </c>
      <c r="D6" s="114">
        <f>'TB Summary'!D15</f>
        <v>0</v>
      </c>
      <c r="E6" s="114">
        <f>'TB Summary'!E15</f>
        <v>0</v>
      </c>
      <c r="F6" s="147">
        <f t="shared" si="0"/>
        <v>0</v>
      </c>
      <c r="G6" s="111"/>
    </row>
    <row r="7" spans="1:8" s="128" customFormat="1">
      <c r="A7" s="126" t="str">
        <f>'TB Summary'!A16</f>
        <v>d. Materials &amp; Supplies</v>
      </c>
      <c r="B7" s="127"/>
      <c r="C7" s="165">
        <f>'TB Summary'!C16</f>
        <v>0</v>
      </c>
      <c r="D7" s="165">
        <f>'TB Summary'!D16</f>
        <v>0</v>
      </c>
      <c r="E7" s="165">
        <f>'TB Summary'!E16</f>
        <v>0</v>
      </c>
      <c r="F7" s="146">
        <f t="shared" si="0"/>
        <v>0</v>
      </c>
      <c r="G7" s="127"/>
    </row>
    <row r="8" spans="1:8" s="128" customFormat="1">
      <c r="A8" s="126" t="str">
        <f>'TB Summary'!A17</f>
        <v>e. Travel</v>
      </c>
      <c r="B8" s="127"/>
      <c r="C8" s="165">
        <f>'TB Summary'!C17</f>
        <v>10000</v>
      </c>
      <c r="D8" s="165">
        <f>'TB Summary'!D17</f>
        <v>10000</v>
      </c>
      <c r="E8" s="165">
        <f>'TB Summary'!E17</f>
        <v>10000</v>
      </c>
      <c r="F8" s="146">
        <f t="shared" si="0"/>
        <v>30000</v>
      </c>
      <c r="G8" s="127"/>
    </row>
    <row r="9" spans="1:8">
      <c r="A9" s="110" t="str">
        <f>'TB Summary'!A18</f>
        <v>f. Other</v>
      </c>
      <c r="B9" s="111"/>
      <c r="C9" s="167">
        <f>'TB Summary'!C18</f>
        <v>0</v>
      </c>
      <c r="D9" s="167">
        <f>'TB Summary'!D18</f>
        <v>0</v>
      </c>
      <c r="E9" s="167">
        <f>'TB Summary'!E18</f>
        <v>0</v>
      </c>
      <c r="F9" s="149"/>
      <c r="G9" s="111"/>
    </row>
    <row r="10" spans="1:8">
      <c r="A10" s="154" t="str">
        <f>'TB Summary'!A19</f>
        <v>Publication Costs</v>
      </c>
      <c r="B10" s="111"/>
      <c r="C10" s="114">
        <f>'TB Summary'!C19</f>
        <v>1500</v>
      </c>
      <c r="D10" s="114">
        <f>'TB Summary'!D19</f>
        <v>1500</v>
      </c>
      <c r="E10" s="114">
        <f>'TB Summary'!E19</f>
        <v>1000</v>
      </c>
      <c r="F10" s="147">
        <f t="shared" ref="F10:F13" si="1">SUM(C10:E10)</f>
        <v>4000</v>
      </c>
      <c r="G10" s="111"/>
    </row>
    <row r="11" spans="1:8">
      <c r="A11" s="154" t="str">
        <f>'TB Summary'!A20</f>
        <v>Facilities Use Fees</v>
      </c>
      <c r="B11" s="111"/>
      <c r="C11" s="114">
        <f>'TB Summary'!C20</f>
        <v>0</v>
      </c>
      <c r="D11" s="114">
        <f>'TB Summary'!D20</f>
        <v>0</v>
      </c>
      <c r="E11" s="114">
        <f>'TB Summary'!E20</f>
        <v>0</v>
      </c>
      <c r="F11" s="147">
        <f t="shared" si="1"/>
        <v>0</v>
      </c>
      <c r="G11" s="111"/>
    </row>
    <row r="12" spans="1:8">
      <c r="A12" s="154" t="s">
        <v>171</v>
      </c>
      <c r="B12" s="111"/>
      <c r="C12" s="114">
        <v>0</v>
      </c>
      <c r="D12" s="114">
        <v>0</v>
      </c>
      <c r="E12" s="114">
        <v>0</v>
      </c>
      <c r="F12" s="147">
        <v>0</v>
      </c>
      <c r="G12" s="111"/>
    </row>
    <row r="13" spans="1:8">
      <c r="A13" s="191" t="s">
        <v>121</v>
      </c>
      <c r="B13" s="111"/>
      <c r="C13" s="190">
        <f>'TB Summary'!C22</f>
        <v>0</v>
      </c>
      <c r="D13" s="190">
        <f>'TB Summary'!D22</f>
        <v>0</v>
      </c>
      <c r="E13" s="190">
        <f>'TB Summary'!E22</f>
        <v>0</v>
      </c>
      <c r="F13" s="150">
        <f t="shared" si="1"/>
        <v>0</v>
      </c>
      <c r="G13" s="111"/>
    </row>
    <row r="14" spans="1:8" ht="7.5" customHeight="1">
      <c r="A14" s="110"/>
      <c r="B14" s="111"/>
      <c r="C14" s="190"/>
      <c r="D14" s="190"/>
      <c r="E14" s="190"/>
      <c r="F14" s="150"/>
      <c r="G14" s="111"/>
    </row>
    <row r="15" spans="1:8">
      <c r="A15" s="107" t="s">
        <v>22</v>
      </c>
      <c r="B15" s="108" t="s">
        <v>11</v>
      </c>
      <c r="C15" s="182">
        <f>SUM(C4:C13)</f>
        <v>11500</v>
      </c>
      <c r="D15" s="182">
        <f>SUM(D4:D13)</f>
        <v>11500</v>
      </c>
      <c r="E15" s="182">
        <f>SUM(E4:E13)</f>
        <v>11000</v>
      </c>
      <c r="F15" s="152">
        <f>SUM(C15:E15)</f>
        <v>34000</v>
      </c>
      <c r="G15" s="111"/>
      <c r="H15" s="142"/>
    </row>
    <row r="16" spans="1:8">
      <c r="A16" s="110"/>
      <c r="B16" s="111"/>
      <c r="C16" s="111"/>
      <c r="D16" s="111"/>
      <c r="E16" s="111"/>
      <c r="F16" s="145"/>
      <c r="G16" s="111"/>
    </row>
    <row r="17" spans="1:7">
      <c r="A17" s="107" t="s">
        <v>102</v>
      </c>
      <c r="B17" s="108"/>
      <c r="C17" s="181">
        <v>0</v>
      </c>
      <c r="D17" s="181">
        <v>0</v>
      </c>
      <c r="E17" s="181">
        <v>0</v>
      </c>
      <c r="F17" s="151">
        <v>0</v>
      </c>
      <c r="G17" s="111"/>
    </row>
    <row r="18" spans="1:7">
      <c r="A18" s="126"/>
      <c r="B18" s="127"/>
      <c r="C18" s="129"/>
      <c r="D18" s="129"/>
      <c r="E18" s="129"/>
      <c r="F18" s="192"/>
      <c r="G18" s="111"/>
    </row>
    <row r="19" spans="1:7">
      <c r="A19" s="107" t="s">
        <v>112</v>
      </c>
      <c r="B19" s="108"/>
      <c r="C19" s="182">
        <f>C15+C17</f>
        <v>11500</v>
      </c>
      <c r="D19" s="182">
        <f>D15+D17</f>
        <v>11500</v>
      </c>
      <c r="E19" s="182">
        <f>E15+E17</f>
        <v>11000</v>
      </c>
      <c r="F19" s="152">
        <f>SUM(C19:E19)</f>
        <v>34000</v>
      </c>
      <c r="G19" s="111"/>
    </row>
    <row r="20" spans="1:7" ht="10.5" customHeight="1">
      <c r="A20" s="126"/>
      <c r="B20" s="127"/>
      <c r="C20" s="129"/>
      <c r="D20" s="129"/>
      <c r="E20" s="129"/>
      <c r="F20" s="192"/>
      <c r="G20" s="111"/>
    </row>
    <row r="21" spans="1:7">
      <c r="A21" s="126"/>
      <c r="B21" s="159" t="s">
        <v>83</v>
      </c>
      <c r="C21" s="129">
        <v>0</v>
      </c>
      <c r="D21" s="129">
        <v>0</v>
      </c>
      <c r="E21" s="129">
        <v>0</v>
      </c>
      <c r="F21" s="192">
        <v>0</v>
      </c>
      <c r="G21" s="111"/>
    </row>
    <row r="22" spans="1:7">
      <c r="A22" s="110"/>
      <c r="B22" s="111"/>
      <c r="C22" s="111"/>
      <c r="D22" s="111"/>
      <c r="E22" s="111"/>
      <c r="F22" s="145"/>
      <c r="G22" s="111"/>
    </row>
    <row r="23" spans="1:7">
      <c r="A23" s="107" t="s">
        <v>111</v>
      </c>
      <c r="B23" s="108"/>
      <c r="C23" s="182">
        <f>C19-C21</f>
        <v>11500</v>
      </c>
      <c r="D23" s="182">
        <f t="shared" ref="D23:F23" si="2">D19-D21</f>
        <v>11500</v>
      </c>
      <c r="E23" s="182">
        <f t="shared" si="2"/>
        <v>11000</v>
      </c>
      <c r="F23" s="152">
        <f t="shared" si="2"/>
        <v>34000</v>
      </c>
      <c r="G23" s="111"/>
    </row>
    <row r="24" spans="1:7">
      <c r="A24" s="111"/>
      <c r="B24" s="111"/>
      <c r="C24" s="111"/>
      <c r="D24" s="111"/>
      <c r="E24" s="111"/>
      <c r="F24" s="163"/>
      <c r="G24" s="111"/>
    </row>
    <row r="25" spans="1:7">
      <c r="A25" s="111"/>
      <c r="B25" s="111"/>
      <c r="C25" s="111"/>
      <c r="D25" s="111"/>
      <c r="E25" s="111"/>
      <c r="F25" s="163"/>
      <c r="G25" s="111"/>
    </row>
    <row r="26" spans="1:7">
      <c r="A26" s="111"/>
      <c r="B26" s="111"/>
      <c r="C26" s="111"/>
      <c r="D26" s="111"/>
      <c r="E26" s="111"/>
      <c r="F26" s="163"/>
      <c r="G26" s="111"/>
    </row>
    <row r="27" spans="1:7">
      <c r="A27" s="111"/>
      <c r="B27" s="111"/>
      <c r="C27" s="111"/>
      <c r="D27" s="111"/>
      <c r="E27" s="111"/>
      <c r="F27" s="163"/>
      <c r="G27" s="111"/>
    </row>
    <row r="28" spans="1:7">
      <c r="A28" s="111"/>
      <c r="B28" s="111"/>
      <c r="C28" s="111"/>
      <c r="D28" s="111"/>
      <c r="E28" s="111"/>
      <c r="F28" s="163"/>
      <c r="G28" s="111"/>
    </row>
  </sheetData>
  <mergeCells count="1">
    <mergeCell ref="A1:F1"/>
  </mergeCells>
  <pageMargins left="1" right="1" top="1" bottom="1" header="0.5" footer="0.5"/>
  <pageSetup fitToHeight="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6"/>
  <sheetViews>
    <sheetView tabSelected="1" zoomScaleNormal="100" workbookViewId="0">
      <selection activeCell="C52" sqref="C52:E52"/>
    </sheetView>
  </sheetViews>
  <sheetFormatPr defaultColWidth="9.140625" defaultRowHeight="12.75"/>
  <cols>
    <col min="1" max="1" width="3.42578125" style="94" customWidth="1"/>
    <col min="2" max="2" width="26.42578125" style="1" customWidth="1"/>
    <col min="3" max="3" width="6.28515625" style="1" customWidth="1"/>
    <col min="4" max="4" width="6.7109375" style="1" customWidth="1"/>
    <col min="5" max="5" width="6.140625" style="1" customWidth="1"/>
    <col min="6" max="7" width="6.85546875" style="1" customWidth="1"/>
    <col min="8" max="8" width="9.28515625" style="1" customWidth="1"/>
    <col min="9" max="9" width="9.42578125" style="1" customWidth="1"/>
    <col min="10" max="10" width="9.28515625" style="1" customWidth="1"/>
    <col min="11" max="11" width="10.7109375" style="1" customWidth="1"/>
    <col min="13" max="13" width="19.7109375" style="1" customWidth="1"/>
    <col min="14" max="16384" width="9.140625" style="1"/>
  </cols>
  <sheetData>
    <row r="1" spans="1:12" ht="36" customHeight="1">
      <c r="A1" s="235" t="s">
        <v>12</v>
      </c>
      <c r="B1" s="236"/>
      <c r="C1" s="236"/>
      <c r="D1" s="2"/>
      <c r="E1" s="2"/>
      <c r="F1" s="3"/>
      <c r="G1" s="3"/>
      <c r="I1" s="4"/>
      <c r="J1" s="4"/>
      <c r="K1" s="4"/>
      <c r="L1" s="1"/>
    </row>
    <row r="2" spans="1:12" ht="15.75" customHeight="1">
      <c r="A2" s="5"/>
      <c r="B2" s="6"/>
      <c r="C2" s="7"/>
      <c r="D2" s="7"/>
      <c r="E2" s="7"/>
      <c r="F2" s="7"/>
      <c r="G2" s="8"/>
      <c r="H2" s="9" t="s">
        <v>13</v>
      </c>
      <c r="I2" s="9" t="s">
        <v>7</v>
      </c>
      <c r="J2" s="9" t="s">
        <v>8</v>
      </c>
      <c r="K2" s="10" t="s">
        <v>0</v>
      </c>
      <c r="L2" s="1"/>
    </row>
    <row r="3" spans="1:12" ht="25.5" customHeight="1">
      <c r="A3" s="11" t="s">
        <v>14</v>
      </c>
      <c r="B3" s="12" t="s">
        <v>15</v>
      </c>
      <c r="C3" s="237" t="s">
        <v>16</v>
      </c>
      <c r="D3" s="237"/>
      <c r="E3" s="195" t="s">
        <v>17</v>
      </c>
      <c r="F3" s="195" t="s">
        <v>18</v>
      </c>
      <c r="G3" s="195" t="s">
        <v>19</v>
      </c>
      <c r="H3" s="13">
        <v>41214</v>
      </c>
      <c r="I3" s="14">
        <v>41579</v>
      </c>
      <c r="J3" s="14">
        <v>41944</v>
      </c>
      <c r="K3" s="15"/>
      <c r="L3" s="1"/>
    </row>
    <row r="4" spans="1:12" ht="12.75" customHeight="1">
      <c r="A4" s="16"/>
      <c r="B4" s="17" t="s">
        <v>174</v>
      </c>
      <c r="C4" s="232">
        <f>28375.6*3</f>
        <v>85126.799999999988</v>
      </c>
      <c r="D4" s="232"/>
      <c r="E4" s="18">
        <v>3</v>
      </c>
      <c r="F4" s="19">
        <f>E4*G4</f>
        <v>0.99990000000000001</v>
      </c>
      <c r="G4" s="20">
        <v>0.33329999999999999</v>
      </c>
      <c r="H4" s="21">
        <f>C4*G4</f>
        <v>28372.762439999995</v>
      </c>
      <c r="I4" s="22">
        <f t="shared" ref="I4:J8" si="0">H4*1.05</f>
        <v>29791.400561999995</v>
      </c>
      <c r="J4" s="22">
        <f t="shared" si="0"/>
        <v>31280.970590099998</v>
      </c>
      <c r="K4" s="23">
        <f>SUM(H4:J4)</f>
        <v>89445.133592099985</v>
      </c>
      <c r="L4" s="1"/>
    </row>
    <row r="5" spans="1:12" ht="12.75" customHeight="1">
      <c r="A5" s="16"/>
      <c r="B5" s="17" t="s">
        <v>175</v>
      </c>
      <c r="C5" s="232">
        <f>34218.8*3</f>
        <v>102656.40000000001</v>
      </c>
      <c r="D5" s="232"/>
      <c r="E5" s="18">
        <v>3</v>
      </c>
      <c r="F5" s="19">
        <v>1</v>
      </c>
      <c r="G5" s="20">
        <v>0.33329999999999999</v>
      </c>
      <c r="H5" s="21">
        <f>C5*G5</f>
        <v>34215.378120000001</v>
      </c>
      <c r="I5" s="22">
        <f t="shared" si="0"/>
        <v>35926.147026000006</v>
      </c>
      <c r="J5" s="22">
        <f t="shared" si="0"/>
        <v>37722.454377300011</v>
      </c>
      <c r="K5" s="23"/>
      <c r="L5" s="1"/>
    </row>
    <row r="6" spans="1:12" ht="12.75" customHeight="1">
      <c r="A6" s="16"/>
      <c r="B6" s="17" t="s">
        <v>176</v>
      </c>
      <c r="C6" s="232">
        <f>9480*3</f>
        <v>28440</v>
      </c>
      <c r="D6" s="232"/>
      <c r="E6" s="18">
        <v>3</v>
      </c>
      <c r="F6" s="19">
        <v>1</v>
      </c>
      <c r="G6" s="20">
        <v>0.33329999999999999</v>
      </c>
      <c r="H6" s="21">
        <f>C6*G6</f>
        <v>9479.0519999999997</v>
      </c>
      <c r="I6" s="22">
        <f t="shared" ref="I6" si="1">H6*1.05</f>
        <v>9953.0046000000002</v>
      </c>
      <c r="J6" s="22">
        <f t="shared" ref="J6" si="2">I6*1.05</f>
        <v>10450.654830000001</v>
      </c>
      <c r="K6" s="23"/>
      <c r="L6" s="1"/>
    </row>
    <row r="7" spans="1:12" ht="12.75" customHeight="1">
      <c r="A7" s="16"/>
      <c r="B7" s="17"/>
      <c r="C7" s="232"/>
      <c r="D7" s="232"/>
      <c r="E7" s="18"/>
      <c r="F7" s="19"/>
      <c r="G7" s="20"/>
      <c r="H7" s="21"/>
      <c r="I7" s="22"/>
      <c r="J7" s="22"/>
      <c r="K7" s="23"/>
      <c r="L7" s="1"/>
    </row>
    <row r="8" spans="1:12" ht="12.75" customHeight="1">
      <c r="A8" s="16"/>
      <c r="B8" s="17"/>
      <c r="C8" s="232"/>
      <c r="D8" s="232"/>
      <c r="E8" s="18"/>
      <c r="F8" s="19">
        <f t="shared" ref="F8:F15" si="3">E8*G8</f>
        <v>0</v>
      </c>
      <c r="G8" s="20"/>
      <c r="H8" s="21">
        <f>C8*G8</f>
        <v>0</v>
      </c>
      <c r="I8" s="22">
        <f t="shared" si="0"/>
        <v>0</v>
      </c>
      <c r="J8" s="22">
        <f t="shared" si="0"/>
        <v>0</v>
      </c>
      <c r="K8" s="23">
        <f>SUM(H8:J8)</f>
        <v>0</v>
      </c>
      <c r="L8" s="1"/>
    </row>
    <row r="9" spans="1:12" ht="12.75" customHeight="1">
      <c r="A9" s="24" t="s">
        <v>20</v>
      </c>
      <c r="B9" s="25" t="s">
        <v>21</v>
      </c>
      <c r="C9" s="232"/>
      <c r="D9" s="232"/>
      <c r="E9" s="18"/>
      <c r="F9" s="19"/>
      <c r="G9" s="20"/>
      <c r="H9" s="21"/>
      <c r="I9" s="26" t="s">
        <v>22</v>
      </c>
      <c r="J9" s="26" t="s">
        <v>22</v>
      </c>
      <c r="K9" s="23" t="s">
        <v>22</v>
      </c>
      <c r="L9" s="1"/>
    </row>
    <row r="10" spans="1:12" ht="12.75" customHeight="1">
      <c r="A10" s="16"/>
      <c r="B10" s="27" t="s">
        <v>23</v>
      </c>
      <c r="C10" s="232"/>
      <c r="D10" s="232"/>
      <c r="E10" s="18"/>
      <c r="F10" s="19">
        <f t="shared" si="3"/>
        <v>0</v>
      </c>
      <c r="G10" s="20"/>
      <c r="H10" s="21">
        <f t="shared" ref="H10:H15" si="4">C10*G10</f>
        <v>0</v>
      </c>
      <c r="I10" s="22">
        <f t="shared" ref="I10:J15" si="5">H10*1.05</f>
        <v>0</v>
      </c>
      <c r="J10" s="22">
        <f t="shared" si="5"/>
        <v>0</v>
      </c>
      <c r="K10" s="23">
        <f t="shared" ref="K10:K16" si="6">SUM(H10:J10)</f>
        <v>0</v>
      </c>
      <c r="L10" s="1"/>
    </row>
    <row r="11" spans="1:12" ht="12.75" customHeight="1">
      <c r="A11" s="16">
        <v>2</v>
      </c>
      <c r="B11" s="27" t="s">
        <v>24</v>
      </c>
      <c r="C11" s="232"/>
      <c r="D11" s="232"/>
      <c r="E11" s="18">
        <v>3</v>
      </c>
      <c r="F11" s="19"/>
      <c r="G11" s="20"/>
      <c r="H11" s="21">
        <f>C11*G11*A11</f>
        <v>0</v>
      </c>
      <c r="I11" s="22">
        <f t="shared" ref="I11:J12" si="7">H11*1.015</f>
        <v>0</v>
      </c>
      <c r="J11" s="22">
        <f t="shared" si="7"/>
        <v>0</v>
      </c>
      <c r="K11" s="23">
        <f t="shared" si="6"/>
        <v>0</v>
      </c>
      <c r="L11" s="1"/>
    </row>
    <row r="12" spans="1:12" ht="12.75" customHeight="1">
      <c r="A12" s="16">
        <v>2</v>
      </c>
      <c r="B12" s="27" t="s">
        <v>25</v>
      </c>
      <c r="C12" s="232"/>
      <c r="D12" s="232"/>
      <c r="E12" s="18">
        <v>3</v>
      </c>
      <c r="F12" s="19"/>
      <c r="G12" s="20"/>
      <c r="H12" s="21">
        <f>C12*G12*A12</f>
        <v>0</v>
      </c>
      <c r="I12" s="22">
        <f t="shared" si="7"/>
        <v>0</v>
      </c>
      <c r="J12" s="22">
        <f t="shared" si="7"/>
        <v>0</v>
      </c>
      <c r="K12" s="23">
        <f t="shared" si="6"/>
        <v>0</v>
      </c>
      <c r="L12" s="1"/>
    </row>
    <row r="13" spans="1:12" ht="12.75" customHeight="1">
      <c r="A13" s="16"/>
      <c r="B13" s="27" t="s">
        <v>1</v>
      </c>
      <c r="C13" s="232"/>
      <c r="D13" s="232"/>
      <c r="E13" s="18"/>
      <c r="F13" s="19">
        <f t="shared" si="3"/>
        <v>0</v>
      </c>
      <c r="G13" s="20"/>
      <c r="H13" s="21">
        <f t="shared" si="4"/>
        <v>0</v>
      </c>
      <c r="I13" s="22">
        <f t="shared" si="5"/>
        <v>0</v>
      </c>
      <c r="J13" s="22">
        <f t="shared" si="5"/>
        <v>0</v>
      </c>
      <c r="K13" s="23">
        <f t="shared" si="6"/>
        <v>0</v>
      </c>
      <c r="L13" s="1"/>
    </row>
    <row r="14" spans="1:12" ht="12.75" customHeight="1">
      <c r="A14" s="16"/>
      <c r="B14" s="27" t="s">
        <v>26</v>
      </c>
      <c r="C14" s="232"/>
      <c r="D14" s="232"/>
      <c r="E14" s="18"/>
      <c r="F14" s="19">
        <f t="shared" si="3"/>
        <v>0</v>
      </c>
      <c r="G14" s="20"/>
      <c r="H14" s="21">
        <f t="shared" si="4"/>
        <v>0</v>
      </c>
      <c r="I14" s="22">
        <f t="shared" si="5"/>
        <v>0</v>
      </c>
      <c r="J14" s="22">
        <f t="shared" si="5"/>
        <v>0</v>
      </c>
      <c r="K14" s="23">
        <f t="shared" si="6"/>
        <v>0</v>
      </c>
      <c r="L14" s="1"/>
    </row>
    <row r="15" spans="1:12" ht="12.75" customHeight="1">
      <c r="A15" s="16"/>
      <c r="B15" s="27" t="s">
        <v>2</v>
      </c>
      <c r="C15" s="232"/>
      <c r="D15" s="232"/>
      <c r="E15" s="18"/>
      <c r="F15" s="19">
        <f t="shared" si="3"/>
        <v>0</v>
      </c>
      <c r="G15" s="20"/>
      <c r="H15" s="28">
        <f t="shared" si="4"/>
        <v>0</v>
      </c>
      <c r="I15" s="29">
        <f t="shared" si="5"/>
        <v>0</v>
      </c>
      <c r="J15" s="29">
        <f t="shared" si="5"/>
        <v>0</v>
      </c>
      <c r="K15" s="30">
        <f t="shared" si="6"/>
        <v>0</v>
      </c>
      <c r="L15" s="1"/>
    </row>
    <row r="16" spans="1:12" ht="12.75" customHeight="1">
      <c r="A16" s="5"/>
      <c r="B16" s="229" t="s">
        <v>27</v>
      </c>
      <c r="C16" s="230"/>
      <c r="D16" s="230"/>
      <c r="E16" s="230"/>
      <c r="F16" s="230"/>
      <c r="G16" s="231"/>
      <c r="H16" s="31">
        <f>SUM(H4:H15)</f>
        <v>72067.192559999996</v>
      </c>
      <c r="I16" s="31">
        <f>SUM(I4:I15)</f>
        <v>75670.552188000001</v>
      </c>
      <c r="J16" s="31">
        <f>SUM(J4:J15)</f>
        <v>79454.079797400002</v>
      </c>
      <c r="K16" s="23">
        <f t="shared" si="6"/>
        <v>227191.82454539998</v>
      </c>
      <c r="L16" s="1"/>
    </row>
    <row r="17" spans="1:12" ht="12.75" customHeight="1">
      <c r="A17" s="16"/>
      <c r="B17" s="32"/>
      <c r="C17" s="233"/>
      <c r="D17" s="233"/>
      <c r="E17" s="233"/>
      <c r="F17" s="233"/>
      <c r="G17" s="234"/>
      <c r="H17" s="31"/>
      <c r="I17" s="33"/>
      <c r="J17" s="33"/>
      <c r="K17" s="34"/>
      <c r="L17" s="1"/>
    </row>
    <row r="18" spans="1:12" ht="26.25" customHeight="1">
      <c r="A18" s="35" t="s">
        <v>28</v>
      </c>
      <c r="B18" s="36" t="s">
        <v>29</v>
      </c>
      <c r="C18" s="37" t="s">
        <v>30</v>
      </c>
      <c r="D18" s="9" t="s">
        <v>31</v>
      </c>
      <c r="E18" s="9" t="s">
        <v>32</v>
      </c>
      <c r="F18" s="9"/>
      <c r="G18" s="10"/>
      <c r="H18" s="31"/>
      <c r="I18" s="38"/>
      <c r="J18" s="38"/>
      <c r="K18" s="39"/>
      <c r="L18" s="1"/>
    </row>
    <row r="19" spans="1:12" ht="12.75" customHeight="1">
      <c r="A19" s="16"/>
      <c r="B19" s="40" t="str">
        <f>+B4</f>
        <v>V.N.Dobrokhodov</v>
      </c>
      <c r="C19" s="41">
        <v>0.45</v>
      </c>
      <c r="D19" s="41">
        <v>0.45</v>
      </c>
      <c r="E19" s="41">
        <v>0.45</v>
      </c>
      <c r="F19" s="43"/>
      <c r="G19" s="44"/>
      <c r="H19" s="31">
        <f t="shared" ref="H19:J23" si="8">+H4*C19</f>
        <v>12767.743097999997</v>
      </c>
      <c r="I19" s="31">
        <f t="shared" si="8"/>
        <v>13406.130252899999</v>
      </c>
      <c r="J19" s="31">
        <f t="shared" si="8"/>
        <v>14076.436765544999</v>
      </c>
      <c r="K19" s="45">
        <f t="shared" ref="K19:K34" si="9">SUM(H19:J19)</f>
        <v>40250.310116444991</v>
      </c>
      <c r="L19" s="1"/>
    </row>
    <row r="20" spans="1:12" ht="12.75" customHeight="1">
      <c r="A20" s="16"/>
      <c r="B20" s="40" t="str">
        <f>+B5</f>
        <v>K.D.Jones</v>
      </c>
      <c r="C20" s="41">
        <v>0.45</v>
      </c>
      <c r="D20" s="41">
        <v>0.45</v>
      </c>
      <c r="E20" s="41">
        <v>0.45</v>
      </c>
      <c r="F20" s="42"/>
      <c r="G20" s="47"/>
      <c r="H20" s="31">
        <f t="shared" si="8"/>
        <v>15396.920154000001</v>
      </c>
      <c r="I20" s="31">
        <f t="shared" si="8"/>
        <v>16166.766161700003</v>
      </c>
      <c r="J20" s="31">
        <f t="shared" si="8"/>
        <v>16975.104469785005</v>
      </c>
      <c r="K20" s="45">
        <f t="shared" si="9"/>
        <v>48538.790785485005</v>
      </c>
      <c r="L20" s="1"/>
    </row>
    <row r="21" spans="1:12" ht="12.75" customHeight="1">
      <c r="A21" s="16"/>
      <c r="B21" s="40" t="str">
        <f>+B6</f>
        <v>I.I.Kaminer</v>
      </c>
      <c r="C21" s="41">
        <v>0.45</v>
      </c>
      <c r="D21" s="41">
        <v>0.45</v>
      </c>
      <c r="E21" s="41">
        <v>0.45</v>
      </c>
      <c r="F21" s="42"/>
      <c r="G21" s="47"/>
      <c r="H21" s="31">
        <f t="shared" si="8"/>
        <v>4265.5734000000002</v>
      </c>
      <c r="I21" s="31">
        <f t="shared" si="8"/>
        <v>4478.8520699999999</v>
      </c>
      <c r="J21" s="31">
        <f t="shared" si="8"/>
        <v>4702.7946735000005</v>
      </c>
      <c r="K21" s="45">
        <f t="shared" si="9"/>
        <v>13447.220143500001</v>
      </c>
      <c r="L21" s="1"/>
    </row>
    <row r="22" spans="1:12" ht="12.75" customHeight="1">
      <c r="A22" s="16"/>
      <c r="B22" s="40">
        <f>+B7</f>
        <v>0</v>
      </c>
      <c r="C22" s="46"/>
      <c r="D22" s="42"/>
      <c r="E22" s="42"/>
      <c r="F22" s="42"/>
      <c r="G22" s="47"/>
      <c r="H22" s="31">
        <f t="shared" si="8"/>
        <v>0</v>
      </c>
      <c r="I22" s="31">
        <f t="shared" si="8"/>
        <v>0</v>
      </c>
      <c r="J22" s="31">
        <f t="shared" si="8"/>
        <v>0</v>
      </c>
      <c r="K22" s="45">
        <f t="shared" si="9"/>
        <v>0</v>
      </c>
      <c r="L22" s="1"/>
    </row>
    <row r="23" spans="1:12" ht="12.75" customHeight="1">
      <c r="A23" s="16"/>
      <c r="B23" s="40">
        <f>+B8</f>
        <v>0</v>
      </c>
      <c r="C23" s="46"/>
      <c r="D23" s="42"/>
      <c r="E23" s="42"/>
      <c r="F23" s="42"/>
      <c r="G23" s="47"/>
      <c r="H23" s="31">
        <f t="shared" si="8"/>
        <v>0</v>
      </c>
      <c r="I23" s="31">
        <f t="shared" si="8"/>
        <v>0</v>
      </c>
      <c r="J23" s="31">
        <f t="shared" si="8"/>
        <v>0</v>
      </c>
      <c r="K23" s="45">
        <f t="shared" si="9"/>
        <v>0</v>
      </c>
      <c r="L23" s="1"/>
    </row>
    <row r="24" spans="1:12" ht="12.75" customHeight="1">
      <c r="A24" s="16"/>
      <c r="B24" s="32" t="str">
        <f t="shared" ref="B24:B29" si="10">+B10</f>
        <v>Post Docs</v>
      </c>
      <c r="C24" s="46"/>
      <c r="D24" s="42"/>
      <c r="E24" s="42"/>
      <c r="F24" s="42"/>
      <c r="G24" s="47"/>
      <c r="H24" s="31">
        <f t="shared" ref="H24:J29" si="11">+H10*C24</f>
        <v>0</v>
      </c>
      <c r="I24" s="31">
        <f t="shared" si="11"/>
        <v>0</v>
      </c>
      <c r="J24" s="31">
        <f t="shared" si="11"/>
        <v>0</v>
      </c>
      <c r="K24" s="45">
        <f t="shared" si="9"/>
        <v>0</v>
      </c>
      <c r="L24" s="1"/>
    </row>
    <row r="25" spans="1:12" ht="12.75" customHeight="1">
      <c r="A25" s="16"/>
      <c r="B25" s="32" t="str">
        <f t="shared" si="10"/>
        <v>Graduate Assistants - AY (L2)</v>
      </c>
      <c r="C25" s="46"/>
      <c r="D25" s="42"/>
      <c r="E25" s="42"/>
      <c r="F25" s="42"/>
      <c r="G25" s="47"/>
      <c r="H25" s="31">
        <f t="shared" si="11"/>
        <v>0</v>
      </c>
      <c r="I25" s="31">
        <f t="shared" si="11"/>
        <v>0</v>
      </c>
      <c r="J25" s="31">
        <f t="shared" si="11"/>
        <v>0</v>
      </c>
      <c r="K25" s="45">
        <f t="shared" si="9"/>
        <v>0</v>
      </c>
      <c r="L25" s="1"/>
    </row>
    <row r="26" spans="1:12" ht="12.75" customHeight="1">
      <c r="A26" s="16"/>
      <c r="B26" s="32" t="str">
        <f t="shared" si="10"/>
        <v>Graduate Assistants - Sum (L2)</v>
      </c>
      <c r="C26" s="46"/>
      <c r="D26" s="42"/>
      <c r="E26" s="42"/>
      <c r="F26" s="42"/>
      <c r="G26" s="47"/>
      <c r="H26" s="31">
        <f t="shared" si="11"/>
        <v>0</v>
      </c>
      <c r="I26" s="31">
        <f t="shared" si="11"/>
        <v>0</v>
      </c>
      <c r="J26" s="31">
        <f t="shared" si="11"/>
        <v>0</v>
      </c>
      <c r="K26" s="45">
        <f t="shared" si="9"/>
        <v>0</v>
      </c>
      <c r="L26" s="1"/>
    </row>
    <row r="27" spans="1:12" ht="12.75" customHeight="1">
      <c r="A27" s="16"/>
      <c r="B27" s="32" t="str">
        <f t="shared" si="10"/>
        <v>Undergraduate Students</v>
      </c>
      <c r="C27" s="46"/>
      <c r="D27" s="42"/>
      <c r="E27" s="42"/>
      <c r="F27" s="42"/>
      <c r="G27" s="47"/>
      <c r="H27" s="31">
        <f t="shared" si="11"/>
        <v>0</v>
      </c>
      <c r="I27" s="31">
        <f t="shared" si="11"/>
        <v>0</v>
      </c>
      <c r="J27" s="31">
        <f t="shared" si="11"/>
        <v>0</v>
      </c>
      <c r="K27" s="45">
        <f t="shared" si="9"/>
        <v>0</v>
      </c>
      <c r="L27" s="1"/>
    </row>
    <row r="28" spans="1:12" ht="12.75" customHeight="1">
      <c r="A28" s="16"/>
      <c r="B28" s="32" t="str">
        <f t="shared" si="10"/>
        <v>Secretarial/Clerical</v>
      </c>
      <c r="C28" s="48"/>
      <c r="D28" s="42"/>
      <c r="E28" s="42"/>
      <c r="F28" s="42"/>
      <c r="G28" s="47"/>
      <c r="H28" s="31">
        <f t="shared" si="11"/>
        <v>0</v>
      </c>
      <c r="I28" s="31">
        <f t="shared" si="11"/>
        <v>0</v>
      </c>
      <c r="J28" s="31">
        <f t="shared" si="11"/>
        <v>0</v>
      </c>
      <c r="K28" s="45">
        <f t="shared" si="9"/>
        <v>0</v>
      </c>
      <c r="L28" s="1"/>
    </row>
    <row r="29" spans="1:12" ht="12.75" customHeight="1">
      <c r="A29" s="16"/>
      <c r="B29" s="32" t="str">
        <f t="shared" si="10"/>
        <v>Other</v>
      </c>
      <c r="C29" s="49"/>
      <c r="D29" s="50"/>
      <c r="E29" s="50"/>
      <c r="F29" s="50"/>
      <c r="G29" s="51"/>
      <c r="H29" s="52">
        <f t="shared" si="11"/>
        <v>0</v>
      </c>
      <c r="I29" s="52">
        <f t="shared" si="11"/>
        <v>0</v>
      </c>
      <c r="J29" s="52">
        <f t="shared" si="11"/>
        <v>0</v>
      </c>
      <c r="K29" s="53">
        <f t="shared" si="9"/>
        <v>0</v>
      </c>
      <c r="L29" s="1"/>
    </row>
    <row r="30" spans="1:12" ht="12.75" customHeight="1">
      <c r="A30" s="5"/>
      <c r="B30" s="229" t="s">
        <v>3</v>
      </c>
      <c r="C30" s="230"/>
      <c r="D30" s="230"/>
      <c r="E30" s="230"/>
      <c r="F30" s="230"/>
      <c r="G30" s="231"/>
      <c r="H30" s="31">
        <f>SUM(H19:H29)</f>
        <v>32430.236652</v>
      </c>
      <c r="I30" s="31">
        <f>SUM(I19:I29)</f>
        <v>34051.748484600001</v>
      </c>
      <c r="J30" s="31">
        <f>SUM(J19:J29)</f>
        <v>35754.335908830006</v>
      </c>
      <c r="K30" s="45">
        <f t="shared" si="9"/>
        <v>102236.32104543001</v>
      </c>
      <c r="L30" s="1"/>
    </row>
    <row r="31" spans="1:12" ht="16.5" customHeight="1">
      <c r="A31" s="24"/>
      <c r="B31" s="229" t="s">
        <v>33</v>
      </c>
      <c r="C31" s="230"/>
      <c r="D31" s="230"/>
      <c r="E31" s="230"/>
      <c r="F31" s="230"/>
      <c r="G31" s="231"/>
      <c r="H31" s="31">
        <f>+H16+H30</f>
        <v>104497.42921199999</v>
      </c>
      <c r="I31" s="31">
        <f>+I16+I30</f>
        <v>109722.3006726</v>
      </c>
      <c r="J31" s="31">
        <f>+J16+J30</f>
        <v>115208.41570623001</v>
      </c>
      <c r="K31" s="45">
        <f t="shared" si="9"/>
        <v>329428.14559083001</v>
      </c>
      <c r="L31" s="1"/>
    </row>
    <row r="32" spans="1:12" ht="16.5" customHeight="1">
      <c r="A32" s="24" t="s">
        <v>34</v>
      </c>
      <c r="B32" s="54" t="s">
        <v>35</v>
      </c>
      <c r="C32" s="55" t="s">
        <v>36</v>
      </c>
      <c r="G32" s="56"/>
      <c r="H32" s="21"/>
      <c r="I32" s="21"/>
      <c r="J32" s="21"/>
      <c r="K32" s="45">
        <f t="shared" si="9"/>
        <v>0</v>
      </c>
      <c r="L32" s="1"/>
    </row>
    <row r="33" spans="1:13" ht="18.75" customHeight="1">
      <c r="A33" s="24" t="s">
        <v>37</v>
      </c>
      <c r="B33" s="54" t="s">
        <v>10</v>
      </c>
      <c r="C33" s="57" t="s">
        <v>38</v>
      </c>
      <c r="D33" s="57"/>
      <c r="G33" s="56"/>
      <c r="H33" s="21">
        <v>10000</v>
      </c>
      <c r="I33" s="21">
        <v>10000</v>
      </c>
      <c r="J33" s="21">
        <v>10000</v>
      </c>
      <c r="K33" s="45">
        <f t="shared" si="9"/>
        <v>30000</v>
      </c>
      <c r="L33" s="1"/>
    </row>
    <row r="34" spans="1:13" ht="14.25" customHeight="1">
      <c r="A34" s="5"/>
      <c r="B34" s="32"/>
      <c r="C34" s="57" t="s">
        <v>39</v>
      </c>
      <c r="D34" s="57"/>
      <c r="G34" s="56"/>
      <c r="H34" s="21"/>
      <c r="I34" s="21"/>
      <c r="J34" s="21"/>
      <c r="K34" s="45">
        <f t="shared" si="9"/>
        <v>0</v>
      </c>
      <c r="L34" s="1"/>
    </row>
    <row r="35" spans="1:13" ht="15" customHeight="1">
      <c r="A35" s="24" t="s">
        <v>40</v>
      </c>
      <c r="B35" s="7" t="s">
        <v>41</v>
      </c>
      <c r="C35" s="227" t="s">
        <v>42</v>
      </c>
      <c r="D35" s="227"/>
      <c r="E35" s="227"/>
      <c r="F35" s="227"/>
      <c r="G35" s="228"/>
      <c r="H35" s="21"/>
      <c r="I35" s="21"/>
      <c r="J35" s="21"/>
      <c r="K35" s="45"/>
      <c r="L35" s="1"/>
    </row>
    <row r="36" spans="1:13" ht="12.75" customHeight="1">
      <c r="A36" s="16"/>
      <c r="B36" s="32" t="s">
        <v>43</v>
      </c>
      <c r="C36" s="32"/>
      <c r="G36" s="56"/>
      <c r="H36" s="21"/>
      <c r="I36" s="21"/>
      <c r="J36" s="21"/>
      <c r="K36" s="45">
        <f>SUM(H36:J36)</f>
        <v>0</v>
      </c>
      <c r="L36" s="1"/>
    </row>
    <row r="37" spans="1:13" ht="12.75" customHeight="1">
      <c r="A37" s="16"/>
      <c r="B37" s="32" t="s">
        <v>10</v>
      </c>
      <c r="C37" s="32"/>
      <c r="G37" s="56"/>
      <c r="H37" s="21"/>
      <c r="I37" s="21"/>
      <c r="J37" s="21"/>
      <c r="K37" s="45">
        <f>SUM(H37:J37)</f>
        <v>0</v>
      </c>
      <c r="L37" s="1"/>
    </row>
    <row r="38" spans="1:13" ht="12.75" customHeight="1">
      <c r="A38" s="16"/>
      <c r="B38" s="32" t="s">
        <v>44</v>
      </c>
      <c r="C38" s="32"/>
      <c r="G38" s="56"/>
      <c r="H38" s="21"/>
      <c r="I38" s="21"/>
      <c r="J38" s="21"/>
      <c r="K38" s="45">
        <f>SUM(H38:J38)</f>
        <v>0</v>
      </c>
      <c r="L38" s="1"/>
    </row>
    <row r="39" spans="1:13" ht="12.75" customHeight="1">
      <c r="A39" s="16"/>
      <c r="B39" s="32" t="s">
        <v>2</v>
      </c>
      <c r="C39" s="32"/>
      <c r="G39" s="56"/>
      <c r="H39" s="58"/>
      <c r="I39" s="58"/>
      <c r="J39" s="58"/>
      <c r="K39" s="53">
        <f>SUM(H39:J39)</f>
        <v>0</v>
      </c>
      <c r="L39" s="1"/>
    </row>
    <row r="40" spans="1:13" ht="12.75" customHeight="1">
      <c r="A40" s="5"/>
      <c r="B40" s="229" t="s">
        <v>45</v>
      </c>
      <c r="C40" s="230"/>
      <c r="D40" s="230"/>
      <c r="E40" s="230"/>
      <c r="F40" s="230"/>
      <c r="G40" s="231"/>
      <c r="H40" s="59">
        <f>SUM(H36:H39)</f>
        <v>0</v>
      </c>
      <c r="I40" s="59">
        <f>SUM(I36:I39)</f>
        <v>0</v>
      </c>
      <c r="J40" s="59">
        <f>SUM(J36:J39)</f>
        <v>0</v>
      </c>
      <c r="K40" s="45">
        <f>SUM(H40:J40)</f>
        <v>0</v>
      </c>
      <c r="L40" s="1"/>
    </row>
    <row r="41" spans="1:13" ht="12.75" customHeight="1">
      <c r="A41" s="24" t="s">
        <v>46</v>
      </c>
      <c r="B41" s="54" t="s">
        <v>9</v>
      </c>
      <c r="C41" s="32"/>
      <c r="G41" s="56"/>
      <c r="H41" s="32"/>
      <c r="I41" s="32"/>
      <c r="J41" s="32"/>
      <c r="K41" s="45"/>
      <c r="L41" s="1"/>
    </row>
    <row r="42" spans="1:13" ht="12.75" customHeight="1">
      <c r="A42" s="16"/>
      <c r="B42" s="32" t="s">
        <v>47</v>
      </c>
      <c r="C42" s="32"/>
      <c r="G42" s="56"/>
      <c r="H42" s="59"/>
      <c r="I42" s="59"/>
      <c r="J42" s="59"/>
      <c r="K42" s="45">
        <f t="shared" ref="K42:K49" si="12">SUM(H42:J42)</f>
        <v>0</v>
      </c>
      <c r="L42" s="1"/>
    </row>
    <row r="43" spans="1:13" ht="12.75" customHeight="1">
      <c r="A43" s="16"/>
      <c r="B43" s="60" t="s">
        <v>4</v>
      </c>
      <c r="C43" s="60"/>
      <c r="D43" s="61"/>
      <c r="E43" s="61"/>
      <c r="F43" s="61"/>
      <c r="G43" s="56"/>
      <c r="H43" s="59">
        <v>1500</v>
      </c>
      <c r="I43" s="59">
        <v>1500</v>
      </c>
      <c r="J43" s="59">
        <v>1000</v>
      </c>
      <c r="K43" s="45">
        <f t="shared" si="12"/>
        <v>4000</v>
      </c>
      <c r="L43" s="1"/>
      <c r="M43" s="61"/>
    </row>
    <row r="44" spans="1:13" ht="12.75" customHeight="1">
      <c r="A44" s="16"/>
      <c r="B44" s="60" t="s">
        <v>5</v>
      </c>
      <c r="C44" s="60"/>
      <c r="D44" s="61"/>
      <c r="E44" s="61"/>
      <c r="F44" s="61"/>
      <c r="G44" s="56"/>
      <c r="H44" s="59"/>
      <c r="I44" s="59"/>
      <c r="J44" s="59"/>
      <c r="K44" s="45">
        <f t="shared" si="12"/>
        <v>0</v>
      </c>
      <c r="L44" s="1"/>
      <c r="M44" s="61"/>
    </row>
    <row r="45" spans="1:13" ht="12.75" customHeight="1">
      <c r="A45" s="16"/>
      <c r="B45" s="60" t="s">
        <v>48</v>
      </c>
      <c r="C45" s="60"/>
      <c r="D45" s="61"/>
      <c r="E45" s="62"/>
      <c r="F45" s="62"/>
      <c r="G45" s="56"/>
      <c r="H45" s="59"/>
      <c r="I45" s="59"/>
      <c r="J45" s="59"/>
      <c r="K45" s="45">
        <f t="shared" si="12"/>
        <v>0</v>
      </c>
      <c r="L45" s="1"/>
      <c r="M45" s="61"/>
    </row>
    <row r="46" spans="1:13" ht="12.75" customHeight="1">
      <c r="A46" s="16"/>
      <c r="B46" s="60" t="s">
        <v>49</v>
      </c>
      <c r="C46" s="55" t="s">
        <v>50</v>
      </c>
      <c r="D46" s="61"/>
      <c r="F46" s="62"/>
      <c r="G46" s="56"/>
      <c r="H46" s="59"/>
      <c r="I46" s="59"/>
      <c r="J46" s="59"/>
      <c r="K46" s="45">
        <f t="shared" si="12"/>
        <v>0</v>
      </c>
      <c r="L46" s="1"/>
      <c r="M46" s="61"/>
    </row>
    <row r="47" spans="1:13" ht="12.75" customHeight="1">
      <c r="A47" s="16"/>
      <c r="B47" s="60" t="s">
        <v>2</v>
      </c>
      <c r="C47" s="55"/>
      <c r="D47" s="61"/>
      <c r="F47" s="61"/>
      <c r="G47" s="56"/>
      <c r="H47" s="63"/>
      <c r="I47" s="63"/>
      <c r="J47" s="63"/>
      <c r="K47" s="45">
        <f t="shared" si="12"/>
        <v>0</v>
      </c>
      <c r="L47" s="1"/>
      <c r="M47" s="61"/>
    </row>
    <row r="48" spans="1:13" ht="12.75" customHeight="1">
      <c r="A48" s="16"/>
      <c r="B48" s="60" t="s">
        <v>51</v>
      </c>
      <c r="C48" s="33" t="s">
        <v>36</v>
      </c>
      <c r="D48" s="61"/>
      <c r="E48" s="61"/>
      <c r="F48" s="61" t="s">
        <v>52</v>
      </c>
      <c r="G48" s="56">
        <v>10782</v>
      </c>
      <c r="H48" s="58">
        <f>G48*0.6*G11*A11</f>
        <v>0</v>
      </c>
      <c r="I48" s="58">
        <f>+H48*1.06</f>
        <v>0</v>
      </c>
      <c r="J48" s="58">
        <f>+I48*1.06</f>
        <v>0</v>
      </c>
      <c r="K48" s="53">
        <f t="shared" si="12"/>
        <v>0</v>
      </c>
      <c r="L48" s="1"/>
      <c r="M48" s="61"/>
    </row>
    <row r="49" spans="1:13" ht="12.75" customHeight="1">
      <c r="A49" s="5"/>
      <c r="B49" s="64" t="s">
        <v>53</v>
      </c>
      <c r="C49" s="229" t="s">
        <v>54</v>
      </c>
      <c r="D49" s="229"/>
      <c r="E49" s="229"/>
      <c r="F49" s="229"/>
      <c r="G49" s="231"/>
      <c r="H49" s="31">
        <f>SUM(H42:H48)</f>
        <v>1500</v>
      </c>
      <c r="I49" s="31">
        <f>SUM(I42:I48)</f>
        <v>1500</v>
      </c>
      <c r="J49" s="31">
        <f>SUM(J42:J48)</f>
        <v>1000</v>
      </c>
      <c r="K49" s="45">
        <f t="shared" si="12"/>
        <v>4000</v>
      </c>
      <c r="L49" s="1"/>
      <c r="M49" s="61"/>
    </row>
    <row r="50" spans="1:13" ht="12.75" customHeight="1">
      <c r="A50" s="5"/>
      <c r="B50" s="60"/>
      <c r="C50" s="60"/>
      <c r="D50" s="61"/>
      <c r="E50" s="61"/>
      <c r="F50" s="61"/>
      <c r="G50" s="56"/>
      <c r="H50" s="52"/>
      <c r="I50" s="65"/>
      <c r="J50" s="65"/>
      <c r="K50" s="53"/>
      <c r="L50" s="1"/>
      <c r="M50" s="61"/>
    </row>
    <row r="51" spans="1:13" ht="12.75" customHeight="1">
      <c r="A51" s="24" t="s">
        <v>55</v>
      </c>
      <c r="B51" s="54" t="s">
        <v>6</v>
      </c>
      <c r="C51" s="66" t="s">
        <v>56</v>
      </c>
      <c r="D51" s="66" t="s">
        <v>57</v>
      </c>
      <c r="E51" s="66" t="s">
        <v>58</v>
      </c>
      <c r="F51" s="67"/>
      <c r="G51" s="68"/>
      <c r="H51" s="31">
        <f>+H31+H32+H33+H34+H40+H49</f>
        <v>115997.42921199999</v>
      </c>
      <c r="I51" s="31">
        <f>+I31+I32+I33+I34+I40+I49</f>
        <v>121222.3006726</v>
      </c>
      <c r="J51" s="31">
        <f>+J31+J32+J33+J34+J40+J49</f>
        <v>126208.41570623001</v>
      </c>
      <c r="K51" s="45">
        <f>SUM(H51:J51)</f>
        <v>363428.14559083001</v>
      </c>
      <c r="L51" s="1"/>
    </row>
    <row r="52" spans="1:13" ht="12.75" customHeight="1">
      <c r="A52" s="24" t="s">
        <v>59</v>
      </c>
      <c r="B52" s="54" t="s">
        <v>60</v>
      </c>
      <c r="C52" s="69"/>
      <c r="D52" s="69"/>
      <c r="E52" s="69"/>
      <c r="F52" s="70"/>
      <c r="G52" s="71"/>
      <c r="H52" s="31">
        <f>H56*C52</f>
        <v>0</v>
      </c>
      <c r="I52" s="31">
        <f>I56*D52</f>
        <v>0</v>
      </c>
      <c r="J52" s="31">
        <f>J56*E52+1</f>
        <v>1</v>
      </c>
      <c r="K52" s="45">
        <f>SUM(H52:J52)</f>
        <v>1</v>
      </c>
      <c r="L52" s="1"/>
    </row>
    <row r="53" spans="1:13" ht="12.75" customHeight="1">
      <c r="A53" s="72"/>
      <c r="B53" s="73" t="s">
        <v>61</v>
      </c>
      <c r="C53" s="74" t="s">
        <v>62</v>
      </c>
      <c r="D53" s="75"/>
      <c r="E53" s="196"/>
      <c r="F53" s="76"/>
      <c r="G53" s="56"/>
      <c r="H53" s="52"/>
      <c r="I53" s="65"/>
      <c r="J53" s="65"/>
      <c r="K53" s="53"/>
      <c r="L53" s="1"/>
    </row>
    <row r="54" spans="1:13" ht="18" customHeight="1">
      <c r="A54" s="77" t="s">
        <v>63</v>
      </c>
      <c r="B54" s="78" t="s">
        <v>64</v>
      </c>
      <c r="C54" s="79"/>
      <c r="D54" s="80"/>
      <c r="E54" s="80"/>
      <c r="F54" s="80"/>
      <c r="G54" s="81"/>
      <c r="H54" s="82">
        <f>SUM(H51:H53)</f>
        <v>115997.42921199999</v>
      </c>
      <c r="I54" s="83">
        <f>SUM(I51:I53)</f>
        <v>121222.3006726</v>
      </c>
      <c r="J54" s="83">
        <f>SUM(J51:J53)</f>
        <v>126209.41570623001</v>
      </c>
      <c r="K54" s="84">
        <f>SUM(H54:J54)</f>
        <v>363429.14559083001</v>
      </c>
      <c r="L54" s="1"/>
    </row>
    <row r="55" spans="1:13" ht="9" customHeight="1">
      <c r="A55" s="85"/>
      <c r="B55" s="86"/>
      <c r="C55" s="87"/>
      <c r="D55" s="87"/>
      <c r="E55" s="87"/>
      <c r="F55" s="87"/>
      <c r="G55" s="88"/>
      <c r="H55" s="88"/>
      <c r="I55" s="89"/>
      <c r="J55" s="89"/>
      <c r="K55" s="90"/>
      <c r="L55" s="1"/>
    </row>
    <row r="56" spans="1:13" ht="18" customHeight="1">
      <c r="A56" s="91"/>
      <c r="B56" s="92" t="s">
        <v>65</v>
      </c>
      <c r="C56" s="65"/>
      <c r="D56" s="65"/>
      <c r="E56" s="65"/>
      <c r="F56" s="65"/>
      <c r="G56" s="65"/>
      <c r="H56" s="82">
        <f>+(H51-H32-H40-H46-H48)</f>
        <v>115997.42921199999</v>
      </c>
      <c r="I56" s="83">
        <f>+(I51-I32-I40-I46-I48)</f>
        <v>121222.3006726</v>
      </c>
      <c r="J56" s="83">
        <f>+(J51-J32-J40-J46-J48)</f>
        <v>126208.41570623001</v>
      </c>
      <c r="K56" s="93">
        <f>SUM(H56:J56)</f>
        <v>363428.14559083001</v>
      </c>
      <c r="L56" s="1"/>
    </row>
    <row r="57" spans="1:13" ht="12">
      <c r="B57" s="60"/>
      <c r="C57" s="60"/>
      <c r="D57" s="60"/>
      <c r="E57" s="60"/>
      <c r="F57" s="60"/>
      <c r="G57" s="60"/>
      <c r="H57" s="95"/>
      <c r="I57" s="95"/>
      <c r="J57" s="95"/>
      <c r="K57" s="61"/>
      <c r="L57" s="1"/>
    </row>
    <row r="58" spans="1:13" s="61" customFormat="1" ht="11.25">
      <c r="A58" s="96"/>
      <c r="H58" s="95"/>
    </row>
    <row r="59" spans="1:13" s="61" customFormat="1" ht="12.6" customHeight="1">
      <c r="A59" s="96"/>
      <c r="H59" s="95"/>
    </row>
    <row r="60" spans="1:13" s="61" customFormat="1" ht="12.6" customHeight="1">
      <c r="A60" s="97"/>
      <c r="C60" s="98"/>
      <c r="H60" s="95"/>
    </row>
    <row r="61" spans="1:13" s="61" customFormat="1" ht="12.6" customHeight="1">
      <c r="A61" s="97"/>
      <c r="C61" s="98"/>
      <c r="H61" s="95"/>
    </row>
    <row r="62" spans="1:13" s="61" customFormat="1" ht="12.6" customHeight="1">
      <c r="A62" s="97"/>
      <c r="H62" s="95"/>
    </row>
    <row r="63" spans="1:13" s="61" customFormat="1" ht="12.6" customHeight="1">
      <c r="A63" s="97"/>
      <c r="H63" s="95"/>
    </row>
    <row r="64" spans="1:13" s="61" customFormat="1" ht="11.25">
      <c r="A64" s="97"/>
      <c r="H64" s="95"/>
    </row>
    <row r="65" spans="1:11" s="61" customFormat="1" ht="11.25">
      <c r="A65" s="96"/>
      <c r="C65" s="62"/>
      <c r="D65" s="62"/>
      <c r="E65" s="62"/>
      <c r="F65" s="62"/>
      <c r="G65" s="62"/>
      <c r="H65" s="95"/>
      <c r="I65" s="62"/>
      <c r="J65" s="62"/>
      <c r="K65" s="62"/>
    </row>
    <row r="66" spans="1:11" s="61" customFormat="1" ht="11.25">
      <c r="A66" s="96"/>
      <c r="H66" s="95"/>
    </row>
    <row r="67" spans="1:11" s="61" customFormat="1" ht="11.25">
      <c r="A67" s="99"/>
      <c r="H67" s="95"/>
    </row>
    <row r="68" spans="1:11" s="61" customFormat="1" ht="11.25">
      <c r="A68" s="97"/>
      <c r="C68" s="100"/>
      <c r="D68" s="100"/>
      <c r="E68" s="100"/>
      <c r="F68" s="100"/>
      <c r="G68" s="100"/>
      <c r="H68" s="95"/>
      <c r="I68" s="100"/>
      <c r="J68" s="100"/>
      <c r="K68" s="100"/>
    </row>
    <row r="69" spans="1:11" s="61" customFormat="1" ht="11.25">
      <c r="A69" s="97"/>
      <c r="C69" s="100"/>
      <c r="D69" s="100"/>
      <c r="E69" s="100"/>
      <c r="F69" s="100"/>
      <c r="G69" s="100"/>
      <c r="H69" s="95"/>
      <c r="I69" s="100"/>
      <c r="J69" s="100"/>
      <c r="K69" s="100"/>
    </row>
    <row r="70" spans="1:11" s="61" customFormat="1" ht="11.25">
      <c r="A70" s="97"/>
      <c r="C70" s="100"/>
      <c r="D70" s="100"/>
      <c r="E70" s="100"/>
      <c r="F70" s="100"/>
      <c r="G70" s="100"/>
      <c r="H70" s="95"/>
      <c r="I70" s="100"/>
      <c r="J70" s="100"/>
      <c r="K70" s="100"/>
    </row>
    <row r="71" spans="1:11" s="61" customFormat="1" ht="11.25">
      <c r="A71" s="97"/>
      <c r="C71" s="100"/>
      <c r="D71" s="100"/>
      <c r="E71" s="100"/>
      <c r="F71" s="100"/>
      <c r="G71" s="100"/>
      <c r="H71" s="95"/>
      <c r="I71" s="100"/>
      <c r="J71" s="100"/>
      <c r="K71" s="100"/>
    </row>
    <row r="72" spans="1:11" s="61" customFormat="1" ht="11.25">
      <c r="A72" s="97"/>
      <c r="C72" s="100"/>
      <c r="D72" s="100"/>
      <c r="E72" s="100"/>
      <c r="F72" s="100"/>
      <c r="G72" s="100"/>
      <c r="H72" s="95"/>
      <c r="I72" s="100"/>
      <c r="J72" s="100"/>
      <c r="K72" s="100"/>
    </row>
    <row r="73" spans="1:11" s="61" customFormat="1" ht="11.25">
      <c r="A73" s="96"/>
      <c r="H73" s="95"/>
    </row>
    <row r="74" spans="1:11" s="61" customFormat="1" ht="11.25">
      <c r="A74" s="99"/>
      <c r="H74" s="95"/>
    </row>
    <row r="75" spans="1:11" s="61" customFormat="1" ht="11.25">
      <c r="A75" s="96"/>
      <c r="H75" s="101"/>
    </row>
    <row r="76" spans="1:11" s="61" customFormat="1" ht="11.25">
      <c r="A76" s="96"/>
      <c r="H76" s="95"/>
    </row>
    <row r="77" spans="1:11" s="61" customFormat="1" ht="11.25">
      <c r="A77" s="96"/>
      <c r="H77" s="95"/>
    </row>
    <row r="78" spans="1:11" s="61" customFormat="1" ht="11.25">
      <c r="A78" s="96"/>
      <c r="H78" s="102"/>
    </row>
    <row r="79" spans="1:11" s="61" customFormat="1" ht="11.25">
      <c r="A79" s="96"/>
      <c r="H79" s="95"/>
    </row>
    <row r="80" spans="1:11" s="61" customFormat="1" ht="11.25">
      <c r="A80" s="99"/>
      <c r="H80" s="103"/>
    </row>
    <row r="81" spans="1:12" s="61" customFormat="1" ht="11.25">
      <c r="A81" s="96"/>
      <c r="H81" s="104"/>
    </row>
    <row r="82" spans="1:12" ht="11.25">
      <c r="A82" s="96"/>
      <c r="B82" s="61"/>
      <c r="C82" s="61"/>
      <c r="D82" s="61"/>
      <c r="E82" s="61"/>
      <c r="F82" s="61"/>
      <c r="G82" s="61"/>
      <c r="H82" s="104"/>
      <c r="I82" s="61"/>
      <c r="J82" s="61"/>
      <c r="K82" s="61"/>
      <c r="L82" s="1"/>
    </row>
    <row r="83" spans="1:12" ht="11.25">
      <c r="A83" s="96"/>
      <c r="B83" s="61"/>
      <c r="C83" s="61"/>
      <c r="D83" s="61"/>
      <c r="E83" s="61"/>
      <c r="F83" s="61"/>
      <c r="G83" s="61"/>
      <c r="H83" s="104"/>
      <c r="I83" s="61"/>
      <c r="J83" s="61"/>
      <c r="K83" s="61"/>
      <c r="L83" s="1"/>
    </row>
    <row r="84" spans="1:12" ht="11.25">
      <c r="A84" s="96"/>
      <c r="B84" s="61"/>
      <c r="C84" s="61"/>
      <c r="D84" s="61"/>
      <c r="E84" s="61"/>
      <c r="F84" s="61"/>
      <c r="G84" s="61"/>
      <c r="H84" s="104"/>
      <c r="I84" s="61"/>
      <c r="J84" s="61"/>
      <c r="K84" s="61"/>
      <c r="L84" s="1"/>
    </row>
    <row r="85" spans="1:12" ht="11.25">
      <c r="A85" s="96"/>
      <c r="B85" s="61"/>
      <c r="C85" s="61"/>
      <c r="D85" s="61"/>
      <c r="E85" s="61"/>
      <c r="F85" s="61"/>
      <c r="G85" s="61"/>
      <c r="H85" s="104"/>
      <c r="I85" s="61"/>
      <c r="J85" s="61"/>
      <c r="K85" s="61"/>
      <c r="L85" s="1"/>
    </row>
    <row r="86" spans="1:12" ht="11.25">
      <c r="H86" s="105"/>
      <c r="L86" s="1"/>
    </row>
    <row r="87" spans="1:12" ht="11.25">
      <c r="H87" s="105"/>
      <c r="L87" s="1"/>
    </row>
    <row r="88" spans="1:12" ht="11.25">
      <c r="H88" s="105"/>
      <c r="L88" s="1"/>
    </row>
    <row r="89" spans="1:12" ht="11.25">
      <c r="H89" s="105"/>
      <c r="L89" s="1"/>
    </row>
    <row r="90" spans="1:12" ht="11.25">
      <c r="H90" s="105"/>
      <c r="L90" s="1"/>
    </row>
    <row r="91" spans="1:12" ht="11.25">
      <c r="H91" s="105"/>
      <c r="L91" s="1"/>
    </row>
    <row r="92" spans="1:12" ht="11.25">
      <c r="H92" s="105"/>
      <c r="L92" s="1"/>
    </row>
    <row r="93" spans="1:12" ht="11.25">
      <c r="H93" s="105"/>
      <c r="L93" s="1"/>
    </row>
    <row r="94" spans="1:12" ht="11.25">
      <c r="H94" s="105"/>
      <c r="L94" s="1"/>
    </row>
    <row r="95" spans="1:12" ht="11.25">
      <c r="H95" s="105"/>
      <c r="L95" s="1"/>
    </row>
    <row r="96" spans="1:12" ht="11.25">
      <c r="H96" s="105"/>
      <c r="L96" s="1"/>
    </row>
    <row r="97" spans="8:12" ht="11.25">
      <c r="H97" s="105"/>
      <c r="L97" s="1"/>
    </row>
    <row r="98" spans="8:12" ht="11.25">
      <c r="H98" s="105"/>
      <c r="L98" s="1"/>
    </row>
    <row r="99" spans="8:12" ht="11.25">
      <c r="H99" s="105"/>
      <c r="L99" s="1"/>
    </row>
    <row r="100" spans="8:12" ht="11.25">
      <c r="H100" s="105"/>
      <c r="L100" s="1"/>
    </row>
    <row r="101" spans="8:12" ht="11.25">
      <c r="H101" s="105"/>
      <c r="L101" s="1"/>
    </row>
    <row r="102" spans="8:12" ht="11.25">
      <c r="H102" s="105"/>
      <c r="L102" s="1"/>
    </row>
    <row r="103" spans="8:12" ht="11.25">
      <c r="H103" s="105"/>
      <c r="L103" s="1"/>
    </row>
    <row r="104" spans="8:12" ht="11.25">
      <c r="H104" s="105"/>
      <c r="L104" s="1"/>
    </row>
    <row r="105" spans="8:12" ht="11.25">
      <c r="H105" s="105"/>
      <c r="L105" s="1"/>
    </row>
    <row r="106" spans="8:12" ht="11.25">
      <c r="H106" s="105"/>
      <c r="L106" s="1"/>
    </row>
    <row r="107" spans="8:12" ht="11.25">
      <c r="H107" s="105"/>
      <c r="L107" s="1"/>
    </row>
    <row r="108" spans="8:12" ht="11.25">
      <c r="H108" s="105"/>
      <c r="L108" s="1"/>
    </row>
    <row r="109" spans="8:12" ht="11.25">
      <c r="H109" s="105"/>
      <c r="L109" s="1"/>
    </row>
    <row r="110" spans="8:12" ht="11.25">
      <c r="H110" s="105"/>
      <c r="L110" s="1"/>
    </row>
    <row r="111" spans="8:12" ht="11.25">
      <c r="H111" s="105"/>
      <c r="L111" s="1"/>
    </row>
    <row r="112" spans="8:12" ht="11.25">
      <c r="H112" s="105"/>
      <c r="L112" s="1"/>
    </row>
    <row r="113" spans="8:12" ht="11.25">
      <c r="H113" s="105"/>
      <c r="L113" s="1"/>
    </row>
    <row r="114" spans="8:12" ht="11.25">
      <c r="H114" s="105"/>
      <c r="L114" s="1"/>
    </row>
    <row r="115" spans="8:12" ht="11.25">
      <c r="H115" s="105"/>
      <c r="L115" s="1"/>
    </row>
    <row r="116" spans="8:12" ht="11.25">
      <c r="H116" s="105"/>
      <c r="L116" s="1"/>
    </row>
    <row r="117" spans="8:12" ht="11.25">
      <c r="H117" s="105"/>
      <c r="L117" s="1"/>
    </row>
    <row r="118" spans="8:12" ht="11.25">
      <c r="H118" s="105"/>
      <c r="L118" s="1"/>
    </row>
    <row r="119" spans="8:12" ht="11.25">
      <c r="H119" s="105"/>
      <c r="L119" s="1"/>
    </row>
    <row r="120" spans="8:12" ht="11.25">
      <c r="H120" s="105"/>
      <c r="L120" s="1"/>
    </row>
    <row r="121" spans="8:12" ht="11.25">
      <c r="H121" s="105"/>
      <c r="L121" s="1"/>
    </row>
    <row r="122" spans="8:12" ht="11.25">
      <c r="H122" s="105"/>
      <c r="L122" s="1"/>
    </row>
    <row r="123" spans="8:12" ht="11.25">
      <c r="H123" s="105"/>
      <c r="L123" s="1"/>
    </row>
    <row r="124" spans="8:12" ht="11.25">
      <c r="H124" s="105"/>
      <c r="L124" s="1"/>
    </row>
    <row r="125" spans="8:12" ht="11.25">
      <c r="H125" s="105"/>
      <c r="L125" s="1"/>
    </row>
    <row r="126" spans="8:12" ht="11.25">
      <c r="H126" s="105"/>
      <c r="L126" s="1"/>
    </row>
    <row r="127" spans="8:12" ht="11.25">
      <c r="H127" s="105"/>
      <c r="L127" s="1"/>
    </row>
    <row r="128" spans="8:12" ht="11.25">
      <c r="H128" s="105"/>
      <c r="L128" s="1"/>
    </row>
    <row r="129" spans="8:12" ht="11.25">
      <c r="H129" s="105"/>
      <c r="L129" s="1"/>
    </row>
    <row r="130" spans="8:12" ht="11.25">
      <c r="H130" s="105"/>
      <c r="L130" s="1"/>
    </row>
    <row r="131" spans="8:12" ht="11.25">
      <c r="H131" s="105"/>
      <c r="L131" s="1"/>
    </row>
    <row r="132" spans="8:12" ht="11.25">
      <c r="H132" s="105"/>
      <c r="L132" s="1"/>
    </row>
    <row r="133" spans="8:12" ht="11.25">
      <c r="H133" s="105"/>
      <c r="L133" s="1"/>
    </row>
    <row r="134" spans="8:12" ht="11.25">
      <c r="H134" s="105"/>
      <c r="L134" s="1"/>
    </row>
    <row r="135" spans="8:12" ht="11.25">
      <c r="H135" s="105"/>
      <c r="L135" s="1"/>
    </row>
    <row r="136" spans="8:12" ht="11.25">
      <c r="H136" s="105"/>
      <c r="L136" s="1"/>
    </row>
    <row r="137" spans="8:12" ht="11.25">
      <c r="H137" s="105"/>
      <c r="L137" s="1"/>
    </row>
    <row r="138" spans="8:12" ht="11.25">
      <c r="H138" s="105"/>
      <c r="L138" s="1"/>
    </row>
    <row r="139" spans="8:12" ht="11.25">
      <c r="H139" s="105"/>
      <c r="L139" s="1"/>
    </row>
    <row r="140" spans="8:12" ht="11.25">
      <c r="H140" s="105"/>
      <c r="L140" s="1"/>
    </row>
    <row r="141" spans="8:12" ht="11.25">
      <c r="H141" s="105"/>
      <c r="L141" s="1"/>
    </row>
    <row r="142" spans="8:12" ht="11.25">
      <c r="H142" s="105"/>
      <c r="L142" s="1"/>
    </row>
    <row r="143" spans="8:12" ht="11.25">
      <c r="H143" s="105"/>
      <c r="L143" s="1"/>
    </row>
    <row r="144" spans="8:12" ht="11.25">
      <c r="H144" s="105"/>
      <c r="L144" s="1"/>
    </row>
    <row r="145" spans="8:12" ht="11.25">
      <c r="H145" s="105"/>
      <c r="L145" s="1"/>
    </row>
    <row r="146" spans="8:12" ht="11.25">
      <c r="H146" s="105"/>
      <c r="L146" s="1"/>
    </row>
    <row r="147" spans="8:12" ht="11.25">
      <c r="H147" s="105"/>
      <c r="L147" s="1"/>
    </row>
    <row r="148" spans="8:12" ht="11.25">
      <c r="H148" s="105"/>
      <c r="L148" s="1"/>
    </row>
    <row r="149" spans="8:12" ht="11.25">
      <c r="H149" s="105"/>
      <c r="L149" s="1"/>
    </row>
    <row r="150" spans="8:12" ht="11.25">
      <c r="H150" s="105"/>
      <c r="L150" s="1"/>
    </row>
    <row r="151" spans="8:12" ht="11.25">
      <c r="H151" s="105"/>
      <c r="L151" s="1"/>
    </row>
    <row r="152" spans="8:12" ht="11.25">
      <c r="H152" s="105"/>
      <c r="L152" s="1"/>
    </row>
    <row r="153" spans="8:12" ht="11.25">
      <c r="H153" s="105"/>
      <c r="L153" s="1"/>
    </row>
    <row r="154" spans="8:12" ht="11.25">
      <c r="H154" s="105"/>
      <c r="L154" s="1"/>
    </row>
    <row r="155" spans="8:12" ht="11.25">
      <c r="H155" s="105"/>
      <c r="L155" s="1"/>
    </row>
    <row r="156" spans="8:12" ht="11.25">
      <c r="H156" s="105"/>
      <c r="L156" s="1"/>
    </row>
    <row r="157" spans="8:12" ht="11.25">
      <c r="H157" s="105"/>
      <c r="L157" s="1"/>
    </row>
    <row r="158" spans="8:12" ht="11.25">
      <c r="H158" s="105"/>
      <c r="L158" s="1"/>
    </row>
    <row r="159" spans="8:12" ht="11.25">
      <c r="H159" s="105"/>
      <c r="L159" s="1"/>
    </row>
    <row r="160" spans="8:12" ht="11.25">
      <c r="H160" s="105"/>
      <c r="L160" s="1"/>
    </row>
    <row r="161" spans="8:12" ht="11.25">
      <c r="H161" s="105"/>
      <c r="L161" s="1"/>
    </row>
    <row r="162" spans="8:12" ht="11.25">
      <c r="H162" s="105"/>
      <c r="L162" s="1"/>
    </row>
    <row r="163" spans="8:12" ht="11.25">
      <c r="H163" s="105"/>
      <c r="L163" s="1"/>
    </row>
    <row r="164" spans="8:12" ht="11.25">
      <c r="H164" s="105"/>
      <c r="L164" s="1"/>
    </row>
    <row r="165" spans="8:12" ht="11.25">
      <c r="H165" s="105"/>
      <c r="L165" s="1"/>
    </row>
    <row r="166" spans="8:12" ht="11.25">
      <c r="H166" s="105"/>
      <c r="L166" s="1"/>
    </row>
  </sheetData>
  <mergeCells count="21">
    <mergeCell ref="C13:D13"/>
    <mergeCell ref="A1:C1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35:G35"/>
    <mergeCell ref="B40:G40"/>
    <mergeCell ref="C49:G49"/>
    <mergeCell ref="C14:D14"/>
    <mergeCell ref="C15:D15"/>
    <mergeCell ref="B16:G16"/>
    <mergeCell ref="C17:G17"/>
    <mergeCell ref="B30:G30"/>
    <mergeCell ref="B31:G31"/>
  </mergeCells>
  <conditionalFormatting sqref="H46:J46">
    <cfRule type="cellIs" dxfId="1" priority="2" stopIfTrue="1" operator="greaterThan">
      <formula>0</formula>
    </cfRule>
  </conditionalFormatting>
  <conditionalFormatting sqref="H46:J46">
    <cfRule type="cellIs" dxfId="0" priority="1" stopIfTrue="1" operator="greaterThan">
      <formula>0</formula>
    </cfRule>
  </conditionalFormatting>
  <hyperlinks>
    <hyperlink ref="B18" r:id="rId1" location="saf" display="Current Fringe Rates"/>
    <hyperlink ref="B49" r:id="rId2"/>
    <hyperlink ref="B53" r:id="rId3" location="faa"/>
  </hyperlinks>
  <printOptions horizontalCentered="1"/>
  <pageMargins left="0" right="0" top="0.15" bottom="0" header="0" footer="0"/>
  <pageSetup scale="92" orientation="portrait" horizontalDpi="300" verticalDpi="300" r:id="rId4"/>
  <headerFooter alignWithMargins="0">
    <oddFooter xml:space="preserve">&amp;R&amp;"Arial,Italic"&amp;8&amp;F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TB Year 1</vt:lpstr>
      <vt:lpstr>TB Year 2</vt:lpstr>
      <vt:lpstr>TB Year 3</vt:lpstr>
      <vt:lpstr>TB Summary</vt:lpstr>
      <vt:lpstr>Budget Detail</vt:lpstr>
      <vt:lpstr>NPS Budget</vt:lpstr>
      <vt:lpstr>'Budget Detail'!Print_Area</vt:lpstr>
      <vt:lpstr>'TB Summary'!Print_Area</vt:lpstr>
      <vt:lpstr>'TB Year 2'!Print_Area</vt:lpstr>
    </vt:vector>
  </TitlesOfParts>
  <Company>MechSE, UIUC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Amie Barber</dc:creator>
  <cp:lastModifiedBy>vldobr</cp:lastModifiedBy>
  <cp:lastPrinted>2012-04-18T15:16:40Z</cp:lastPrinted>
  <dcterms:created xsi:type="dcterms:W3CDTF">2009-11-13T15:43:49Z</dcterms:created>
  <dcterms:modified xsi:type="dcterms:W3CDTF">2013-08-28T21:22:12Z</dcterms:modified>
</cp:coreProperties>
</file>