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480" yWindow="400" windowWidth="18580" windowHeight="15180" tabRatio="826" activeTab="3"/>
  </bookViews>
  <sheets>
    <sheet name="TB Year 1" sheetId="10" r:id="rId1"/>
    <sheet name="TB Year 2" sheetId="20" r:id="rId2"/>
    <sheet name="TB Year 3" sheetId="21" r:id="rId3"/>
    <sheet name="TB Summary" sheetId="15" r:id="rId4"/>
    <sheet name="Sub NPS" sheetId="22" r:id="rId5"/>
    <sheet name="Travel Est" sheetId="23" r:id="rId6"/>
  </sheets>
  <externalReferences>
    <externalReference r:id="rId7"/>
  </externalReferences>
  <definedNames>
    <definedName name="_xlnm.Print_Area" localSheetId="4">'Sub NPS'!$A$1:$J$71</definedName>
    <definedName name="_xlnm.Print_Area" localSheetId="3">'TB Summary'!$A$1:$F$35</definedName>
    <definedName name="_xlnm.Print_Area" localSheetId="5">'Travel Est'!$A$1:$M$17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1" l="1"/>
  <c r="A8" i="21"/>
  <c r="A5" i="21"/>
  <c r="A11" i="20"/>
  <c r="A8" i="20"/>
  <c r="A5" i="20"/>
  <c r="E13" i="23"/>
  <c r="F13" i="23"/>
  <c r="M13" i="23"/>
  <c r="K13" i="23"/>
  <c r="O13" i="23"/>
  <c r="E5" i="23"/>
  <c r="F5" i="23"/>
  <c r="K5" i="23"/>
  <c r="M5" i="23"/>
  <c r="L17" i="23"/>
  <c r="O5" i="23"/>
  <c r="A35" i="15"/>
  <c r="G80" i="21"/>
  <c r="E28" i="15"/>
  <c r="G80" i="20"/>
  <c r="D28" i="15"/>
  <c r="D68" i="21"/>
  <c r="G77" i="21"/>
  <c r="A75" i="21"/>
  <c r="A74" i="21"/>
  <c r="A73" i="21"/>
  <c r="A72" i="21"/>
  <c r="A71" i="21"/>
  <c r="C66" i="21"/>
  <c r="A66" i="21"/>
  <c r="A64" i="21"/>
  <c r="G60" i="21"/>
  <c r="G59" i="21"/>
  <c r="G58" i="21"/>
  <c r="G57" i="21"/>
  <c r="B48" i="21"/>
  <c r="B51" i="21"/>
  <c r="B53" i="21"/>
  <c r="B54" i="21"/>
  <c r="A46" i="21"/>
  <c r="B34" i="21"/>
  <c r="B37" i="21"/>
  <c r="B39" i="21"/>
  <c r="B40" i="21"/>
  <c r="G28" i="21"/>
  <c r="H40" i="21"/>
  <c r="G27" i="21"/>
  <c r="G26" i="21"/>
  <c r="G25" i="21"/>
  <c r="G24" i="21"/>
  <c r="G62" i="21"/>
  <c r="A22" i="21"/>
  <c r="A18" i="21"/>
  <c r="G11" i="21"/>
  <c r="G12" i="21"/>
  <c r="G8" i="21"/>
  <c r="G9" i="21"/>
  <c r="G5" i="21"/>
  <c r="E5" i="15"/>
  <c r="A18" i="20"/>
  <c r="A75" i="20"/>
  <c r="A74" i="20"/>
  <c r="A73" i="20"/>
  <c r="A72" i="20"/>
  <c r="A71" i="20"/>
  <c r="C66" i="20"/>
  <c r="A66" i="20"/>
  <c r="D68" i="20"/>
  <c r="G77" i="20"/>
  <c r="A64" i="20"/>
  <c r="G60" i="20"/>
  <c r="G59" i="20"/>
  <c r="G58" i="20"/>
  <c r="G57" i="20"/>
  <c r="B48" i="20"/>
  <c r="B51" i="20"/>
  <c r="B53" i="20"/>
  <c r="B54" i="20"/>
  <c r="A46" i="20"/>
  <c r="B34" i="20"/>
  <c r="B37" i="20"/>
  <c r="B39" i="20"/>
  <c r="B40" i="20"/>
  <c r="G28" i="20"/>
  <c r="G27" i="20"/>
  <c r="G26" i="20"/>
  <c r="G25" i="20"/>
  <c r="G24" i="20"/>
  <c r="A22" i="20"/>
  <c r="G11" i="20"/>
  <c r="G12" i="20"/>
  <c r="G8" i="20"/>
  <c r="G9" i="20"/>
  <c r="G5" i="20"/>
  <c r="G6" i="20"/>
  <c r="B48" i="10"/>
  <c r="B51" i="10"/>
  <c r="B53" i="10"/>
  <c r="A46" i="10"/>
  <c r="B34" i="10"/>
  <c r="B37" i="10"/>
  <c r="B39" i="10"/>
  <c r="B40" i="10"/>
  <c r="D6" i="15"/>
  <c r="D5" i="15"/>
  <c r="G62" i="20"/>
  <c r="N17" i="23"/>
  <c r="G6" i="21"/>
  <c r="G20" i="21"/>
  <c r="F82" i="21"/>
  <c r="F86" i="21"/>
  <c r="E6" i="15"/>
  <c r="H40" i="20"/>
  <c r="G20" i="20"/>
  <c r="G80" i="10"/>
  <c r="C28" i="15"/>
  <c r="F28" i="15"/>
  <c r="D68" i="10"/>
  <c r="G77" i="10"/>
  <c r="G60" i="10"/>
  <c r="G59" i="10"/>
  <c r="G58" i="10"/>
  <c r="G57" i="10"/>
  <c r="G28" i="10"/>
  <c r="G27" i="10"/>
  <c r="G26" i="10"/>
  <c r="G25" i="10"/>
  <c r="G24" i="10"/>
  <c r="G11" i="10"/>
  <c r="G12" i="10"/>
  <c r="G8" i="10"/>
  <c r="G9" i="10"/>
  <c r="G5" i="10"/>
  <c r="A8" i="10"/>
  <c r="A5" i="10"/>
  <c r="A11" i="10"/>
  <c r="E24" i="15"/>
  <c r="E26" i="15"/>
  <c r="D24" i="15"/>
  <c r="D26" i="15"/>
  <c r="C24" i="15"/>
  <c r="C26" i="15"/>
  <c r="G69" i="22"/>
  <c r="H69" i="22"/>
  <c r="I69" i="22"/>
  <c r="J69" i="22"/>
  <c r="G62" i="22"/>
  <c r="G63" i="22"/>
  <c r="H61" i="22"/>
  <c r="J60" i="22"/>
  <c r="J59" i="22"/>
  <c r="J58" i="22"/>
  <c r="J57" i="22"/>
  <c r="J55" i="22"/>
  <c r="J54" i="22"/>
  <c r="J53" i="22"/>
  <c r="J52" i="22"/>
  <c r="H51" i="22"/>
  <c r="I51" i="22"/>
  <c r="J48" i="22"/>
  <c r="G46" i="22"/>
  <c r="J45" i="22"/>
  <c r="H44" i="22"/>
  <c r="J41" i="22"/>
  <c r="G23" i="22"/>
  <c r="G35" i="22"/>
  <c r="J30" i="22"/>
  <c r="H23" i="22"/>
  <c r="H35" i="22"/>
  <c r="G22" i="22"/>
  <c r="H22" i="22"/>
  <c r="I22" i="22"/>
  <c r="G21" i="22"/>
  <c r="H21" i="22"/>
  <c r="I21" i="22"/>
  <c r="B19" i="22"/>
  <c r="G18" i="22"/>
  <c r="H18" i="22"/>
  <c r="I18" i="22"/>
  <c r="L17" i="22"/>
  <c r="G17" i="22"/>
  <c r="H17" i="22"/>
  <c r="I17" i="22"/>
  <c r="J17" i="22"/>
  <c r="L16" i="22"/>
  <c r="G16" i="22"/>
  <c r="L15" i="22"/>
  <c r="G15" i="22"/>
  <c r="H15" i="22"/>
  <c r="G19" i="22"/>
  <c r="G13" i="22"/>
  <c r="G11" i="22"/>
  <c r="G24" i="22"/>
  <c r="O7" i="22"/>
  <c r="L7" i="22"/>
  <c r="N7" i="22"/>
  <c r="F7" i="22"/>
  <c r="G7" i="22"/>
  <c r="O6" i="22"/>
  <c r="L6" i="22"/>
  <c r="N6" i="22"/>
  <c r="F6" i="22"/>
  <c r="G6" i="22"/>
  <c r="O5" i="22"/>
  <c r="L5" i="22"/>
  <c r="N5" i="22"/>
  <c r="F5" i="22"/>
  <c r="G5" i="22"/>
  <c r="O4" i="22"/>
  <c r="N4" i="22"/>
  <c r="G4" i="22"/>
  <c r="H2" i="22"/>
  <c r="I2" i="22"/>
  <c r="H1" i="22"/>
  <c r="F82" i="20"/>
  <c r="F86" i="20"/>
  <c r="G6" i="10"/>
  <c r="C5" i="15"/>
  <c r="H6" i="22"/>
  <c r="I6" i="22"/>
  <c r="J6" i="22"/>
  <c r="H5" i="22"/>
  <c r="I5" i="22"/>
  <c r="J21" i="22"/>
  <c r="J51" i="22"/>
  <c r="G8" i="22"/>
  <c r="G26" i="22"/>
  <c r="G34" i="22"/>
  <c r="H4" i="22"/>
  <c r="H7" i="22"/>
  <c r="I7" i="22"/>
  <c r="J7" i="22"/>
  <c r="J22" i="22"/>
  <c r="H11" i="22"/>
  <c r="H13" i="22"/>
  <c r="I13" i="22"/>
  <c r="I15" i="22"/>
  <c r="H16" i="22"/>
  <c r="I16" i="22"/>
  <c r="I19" i="22"/>
  <c r="J18" i="22"/>
  <c r="I23" i="22"/>
  <c r="I35" i="22"/>
  <c r="J35" i="22"/>
  <c r="H62" i="22"/>
  <c r="H63" i="22"/>
  <c r="I1" i="22"/>
  <c r="J15" i="22"/>
  <c r="I44" i="22"/>
  <c r="I46" i="22"/>
  <c r="H46" i="22"/>
  <c r="I61" i="22"/>
  <c r="I62" i="22"/>
  <c r="C6" i="15"/>
  <c r="G20" i="10"/>
  <c r="I11" i="22"/>
  <c r="G29" i="22"/>
  <c r="G33" i="22"/>
  <c r="G32" i="22"/>
  <c r="G31" i="22"/>
  <c r="J44" i="22"/>
  <c r="J46" i="22"/>
  <c r="J23" i="22"/>
  <c r="I4" i="22"/>
  <c r="H8" i="22"/>
  <c r="J16" i="22"/>
  <c r="H19" i="22"/>
  <c r="H24" i="22"/>
  <c r="J19" i="22"/>
  <c r="J61" i="22"/>
  <c r="J62" i="22"/>
  <c r="I63" i="22"/>
  <c r="J13" i="22"/>
  <c r="J5" i="22"/>
  <c r="J63" i="22"/>
  <c r="H26" i="22"/>
  <c r="H34" i="22"/>
  <c r="G36" i="22"/>
  <c r="G38" i="22"/>
  <c r="G65" i="22"/>
  <c r="G71" i="22"/>
  <c r="H33" i="22"/>
  <c r="H32" i="22"/>
  <c r="H31" i="22"/>
  <c r="H29" i="22"/>
  <c r="H36" i="22"/>
  <c r="I8" i="22"/>
  <c r="I24" i="22"/>
  <c r="I26" i="22"/>
  <c r="I34" i="22"/>
  <c r="J4" i="22"/>
  <c r="J11" i="22"/>
  <c r="J24" i="22"/>
  <c r="J34" i="22"/>
  <c r="I29" i="22"/>
  <c r="J29" i="22"/>
  <c r="H38" i="22"/>
  <c r="I33" i="22"/>
  <c r="J33" i="22"/>
  <c r="I32" i="22"/>
  <c r="J32" i="22"/>
  <c r="I31" i="22"/>
  <c r="J31" i="22"/>
  <c r="J8" i="22"/>
  <c r="J26" i="22"/>
  <c r="H65" i="22"/>
  <c r="H71" i="22"/>
  <c r="J36" i="22"/>
  <c r="J38" i="22"/>
  <c r="J65" i="22"/>
  <c r="J68" i="22"/>
  <c r="I36" i="22"/>
  <c r="I38" i="22"/>
  <c r="I65" i="22"/>
  <c r="I71" i="22"/>
  <c r="J71" i="22"/>
  <c r="E19" i="15"/>
  <c r="E18" i="15"/>
  <c r="E17" i="15"/>
  <c r="E16" i="15"/>
  <c r="E14" i="15"/>
  <c r="E13" i="15"/>
  <c r="E12" i="15"/>
  <c r="E11" i="15"/>
  <c r="E10" i="15"/>
  <c r="D19" i="15"/>
  <c r="D18" i="15"/>
  <c r="D17" i="15"/>
  <c r="D16" i="15"/>
  <c r="D14" i="15"/>
  <c r="D13" i="15"/>
  <c r="D12" i="15"/>
  <c r="D11" i="15"/>
  <c r="D10" i="15"/>
  <c r="B54" i="10"/>
  <c r="H40" i="10"/>
  <c r="C19" i="15"/>
  <c r="C18" i="15"/>
  <c r="C17" i="15"/>
  <c r="C16" i="15"/>
  <c r="C14" i="15"/>
  <c r="C13" i="15"/>
  <c r="C12" i="15"/>
  <c r="C11" i="15"/>
  <c r="C10" i="15"/>
  <c r="F18" i="15"/>
  <c r="A22" i="10"/>
  <c r="A64" i="10"/>
  <c r="F12" i="15"/>
  <c r="F19" i="15"/>
  <c r="F16" i="15"/>
  <c r="F10" i="15"/>
  <c r="F17" i="15"/>
  <c r="F11" i="15"/>
  <c r="F5" i="15"/>
  <c r="D7" i="15"/>
  <c r="E7" i="15"/>
  <c r="F6" i="15"/>
  <c r="C7" i="15"/>
  <c r="F7" i="15"/>
  <c r="E20" i="15"/>
  <c r="E30" i="15"/>
  <c r="E34" i="15"/>
  <c r="F13" i="15"/>
  <c r="D20" i="15"/>
  <c r="G62" i="10"/>
  <c r="D30" i="15"/>
  <c r="D34" i="15"/>
  <c r="F82" i="10"/>
  <c r="F86" i="10"/>
  <c r="C20" i="15"/>
  <c r="C30" i="15"/>
  <c r="F14" i="15"/>
  <c r="F20" i="15"/>
  <c r="F24" i="15"/>
  <c r="F26" i="15"/>
  <c r="F30" i="15"/>
  <c r="F34" i="15"/>
  <c r="C34" i="15"/>
</calcChain>
</file>

<file path=xl/comments1.xml><?xml version="1.0" encoding="utf-8"?>
<comments xmlns="http://schemas.openxmlformats.org/spreadsheetml/2006/main">
  <authors>
    <author>Jeannette Beck</author>
  </authors>
  <commentList>
    <comment ref="G41" authorId="0">
      <text>
        <r>
          <rPr>
            <sz val="10"/>
            <color indexed="81"/>
            <rFont val="Tahoma"/>
            <family val="2"/>
          </rPr>
          <t>Detail will be required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Detail will be required</t>
        </r>
      </text>
    </comment>
    <comment ref="A48" authorId="0">
      <text>
        <r>
          <rPr>
            <b/>
            <sz val="10"/>
            <color indexed="81"/>
            <rFont val="Tahoma"/>
            <family val="2"/>
          </rPr>
          <t>Jeannette Beck:</t>
        </r>
        <r>
          <rPr>
            <sz val="10"/>
            <color indexed="81"/>
            <rFont val="Tahoma"/>
            <family val="2"/>
          </rPr>
          <t xml:space="preserve">
Participant costs are not subject to F&amp;A</t>
        </r>
      </text>
    </comment>
  </commentList>
</comments>
</file>

<file path=xl/sharedStrings.xml><?xml version="1.0" encoding="utf-8"?>
<sst xmlns="http://schemas.openxmlformats.org/spreadsheetml/2006/main" count="400" uniqueCount="184">
  <si>
    <t>Total</t>
  </si>
  <si>
    <t>Undergraduate Students</t>
  </si>
  <si>
    <t>Other</t>
  </si>
  <si>
    <t>Publication Costs</t>
  </si>
  <si>
    <t>Consultant Services</t>
  </si>
  <si>
    <t>Total Direct Costs</t>
  </si>
  <si>
    <t>Subtotal</t>
  </si>
  <si>
    <t xml:space="preserve"> </t>
  </si>
  <si>
    <t>Computer Services</t>
  </si>
  <si>
    <t>1. Direct Labor</t>
  </si>
  <si>
    <t>Work Effort per Year</t>
  </si>
  <si>
    <t>2. Other Direct Costs</t>
  </si>
  <si>
    <t xml:space="preserve">   Estimated length of trip:  3 days/2 nights</t>
  </si>
  <si>
    <t xml:space="preserve">   Airfare:</t>
  </si>
  <si>
    <t xml:space="preserve">   Lodging:</t>
  </si>
  <si>
    <t xml:space="preserve">   Per Diem:</t>
  </si>
  <si>
    <t xml:space="preserve">   Total Estimate per Individual</t>
  </si>
  <si>
    <t>f. Other</t>
  </si>
  <si>
    <t>3. Facilities and Administrative Costs</t>
  </si>
  <si>
    <t xml:space="preserve">Effective:  </t>
  </si>
  <si>
    <t>Cognizant Federal Agency/Contact:</t>
  </si>
  <si>
    <t>5. Subtotal - Estimated Costs (Items 1-4)</t>
  </si>
  <si>
    <t>Less Cost Sharing</t>
  </si>
  <si>
    <t>b. Consultants</t>
  </si>
  <si>
    <t>d. Materials &amp; Supplies</t>
  </si>
  <si>
    <t>Facilities Use Fees</t>
  </si>
  <si>
    <t>6. Total Estimated Costs Year 3</t>
  </si>
  <si>
    <t>6. Total Estimated Costs Year 1</t>
  </si>
  <si>
    <t>Salaries</t>
  </si>
  <si>
    <t>TOTAL</t>
  </si>
  <si>
    <t>e. Travel</t>
  </si>
  <si>
    <t>F &amp; A Subtotal</t>
  </si>
  <si>
    <t>YEAR 1</t>
  </si>
  <si>
    <t>YEAR 2</t>
  </si>
  <si>
    <t>YEAR 3</t>
  </si>
  <si>
    <t>c. Capital Equipment (Costing &gt; $5,000)</t>
  </si>
  <si>
    <t xml:space="preserve">   2 trips per year</t>
  </si>
  <si>
    <t xml:space="preserve">   Incidentals</t>
  </si>
  <si>
    <t xml:space="preserve">   Total for year</t>
  </si>
  <si>
    <t xml:space="preserve">   Rental car (only 1 per trip)</t>
  </si>
  <si>
    <t xml:space="preserve">   Subtotal per trip</t>
  </si>
  <si>
    <t xml:space="preserve">   Estimate based on previous travel</t>
  </si>
  <si>
    <r>
      <t>Fringe Benefits</t>
    </r>
    <r>
      <rPr>
        <vertAlign val="superscript"/>
        <sz val="12"/>
        <color theme="1"/>
        <rFont val="Times New Roman"/>
        <family val="1"/>
      </rPr>
      <t>1</t>
    </r>
  </si>
  <si>
    <t>c. Capital Equipment</t>
  </si>
  <si>
    <t>a. Subcontracts/Subawards</t>
  </si>
  <si>
    <t>Tuition Remission</t>
  </si>
  <si>
    <t>6. Total Estimated Costs Year 2</t>
  </si>
  <si>
    <t>Pilot Payments</t>
  </si>
  <si>
    <t xml:space="preserve">6. Total Estimated Costs </t>
  </si>
  <si>
    <t>J. Total Budgeted Costs</t>
  </si>
  <si>
    <t>I. Indirect Costs</t>
  </si>
  <si>
    <t>Subtotal Other Direct Costs</t>
  </si>
  <si>
    <t xml:space="preserve">  Subtotal Other Costs</t>
  </si>
  <si>
    <t xml:space="preserve">  Other ___________________________</t>
  </si>
  <si>
    <t>of Research Assistant Salaries (Tuition Remission)</t>
  </si>
  <si>
    <t xml:space="preserve">  Human Subject Payments</t>
  </si>
  <si>
    <t xml:space="preserve">  Machine Shop and Facility Use Fees</t>
  </si>
  <si>
    <t xml:space="preserve">  Expendable Equipment (Costing &lt; $5,000)</t>
  </si>
  <si>
    <t>Sub Awards (verify correct indirect cost rate being charged)</t>
  </si>
  <si>
    <t xml:space="preserve">Computer Services </t>
  </si>
  <si>
    <t xml:space="preserve">Materials &amp; Supplies </t>
  </si>
  <si>
    <t>G. Other Direct Costs</t>
  </si>
  <si>
    <t>F. Participant Support Costs</t>
  </si>
  <si>
    <t>Subtotal Travel</t>
  </si>
  <si>
    <t>Foreign Travel</t>
  </si>
  <si>
    <t>Domestic Travel (Includes Canada, Mexico, US Possessions)</t>
  </si>
  <si>
    <t>E. Travel</t>
  </si>
  <si>
    <t>Permanent Equipment (Costing &gt; $5,000)</t>
  </si>
  <si>
    <t>D. Equipment (items exceeding $5,000)</t>
  </si>
  <si>
    <t>Total Salaries, Wages and Benefits</t>
  </si>
  <si>
    <t>FY14 Rates</t>
  </si>
  <si>
    <t>C. Fringe Benefits</t>
  </si>
  <si>
    <t>Total Salaries and Wages</t>
  </si>
  <si>
    <t>Total Other Personnel</t>
  </si>
  <si>
    <t>Secretarial - Clerical</t>
  </si>
  <si>
    <t>Hourly Rate</t>
  </si>
  <si>
    <t>Hours</t>
  </si>
  <si>
    <t>Note: Grad rates are 100% for 9 months.</t>
  </si>
  <si>
    <t xml:space="preserve">Subtotal Grad Students </t>
  </si>
  <si>
    <t>Post_Prelim</t>
  </si>
  <si>
    <t>Post_Qual</t>
  </si>
  <si>
    <t>Post_MS</t>
  </si>
  <si>
    <t>MS_Candidate</t>
  </si>
  <si>
    <t>AY14 Rates</t>
  </si>
  <si>
    <t>summer mos</t>
  </si>
  <si>
    <t xml:space="preserve">Summer </t>
  </si>
  <si>
    <t>AY</t>
  </si>
  <si>
    <t>Graduate Students</t>
  </si>
  <si>
    <t>Other Professional Carbonari</t>
  </si>
  <si>
    <t>Other Professional Talleur</t>
  </si>
  <si>
    <t>Post Doctoral Research Associate</t>
  </si>
  <si>
    <t>9 Mo Salary</t>
  </si>
  <si>
    <t>12 Mo Salary</t>
  </si>
  <si>
    <t>9 month</t>
  </si>
  <si>
    <t xml:space="preserve">12 month </t>
  </si>
  <si>
    <t>B. Other Personnel</t>
  </si>
  <si>
    <t>Total PI Salaries</t>
  </si>
  <si>
    <t>Check on summer stipend being added into formula for G4 twice</t>
  </si>
  <si>
    <t>End</t>
  </si>
  <si>
    <t xml:space="preserve">Start </t>
  </si>
  <si>
    <t>PI: Hovakimyan</t>
  </si>
  <si>
    <t>Period 1</t>
  </si>
  <si>
    <t>Assumes 12-month periods</t>
  </si>
  <si>
    <t>Summer Stipend</t>
  </si>
  <si>
    <t>Summer Month</t>
  </si>
  <si>
    <t>Faculty Stipend</t>
  </si>
  <si>
    <t>Summer Months</t>
  </si>
  <si>
    <t>Summer Session</t>
  </si>
  <si>
    <t>Academic Year</t>
  </si>
  <si>
    <t>A. Senior Personnel</t>
  </si>
  <si>
    <t>Summer = 5/16/XX-8/15/XX</t>
  </si>
  <si>
    <t>Escalation Factor</t>
  </si>
  <si>
    <t>AY = 8/16/XX-5/15/XX+1</t>
  </si>
  <si>
    <t>Begin</t>
  </si>
  <si>
    <t>AY2015</t>
  </si>
  <si>
    <t>Human Subject Payments</t>
  </si>
  <si>
    <t xml:space="preserve">   Purpose of Trip:  NASA technical meetings</t>
  </si>
  <si>
    <t>Destination:  domestic NASA Selected site</t>
  </si>
  <si>
    <t xml:space="preserve">   1 trip per year</t>
  </si>
  <si>
    <t xml:space="preserve">   Purpose of Trip:   to present the results in AIAA Guidance, Navigation and Control conference</t>
  </si>
  <si>
    <t>Destination: to be determined, varies by year</t>
  </si>
  <si>
    <t>AY2016</t>
  </si>
  <si>
    <t>Co-I: Isaac Kaminer</t>
  </si>
  <si>
    <t>Co-I: Vladimir Dobrokhodov</t>
  </si>
  <si>
    <t>Co-I: Kevin Jones</t>
  </si>
  <si>
    <t>of salaries</t>
  </si>
  <si>
    <t>per labor hour</t>
  </si>
  <si>
    <t>Subaward NAVAL POSTGRADUATE SCHOOL (NPS)
Year 1:  07/01/2014 - 06/30/2015</t>
  </si>
  <si>
    <t>Rate:$ 26.24/labor hour</t>
  </si>
  <si>
    <t>4. Other Applicable Costs - Fees</t>
  </si>
  <si>
    <t>Senior Personnel (3)</t>
  </si>
  <si>
    <t>Professor</t>
  </si>
  <si>
    <t>Research Associate Professor</t>
  </si>
  <si>
    <r>
      <t>Applicable Fringe Rate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- 45.00%</t>
    </r>
  </si>
  <si>
    <t>440 hours (2.54 months)</t>
  </si>
  <si>
    <t>120 hours (0.69 months)</t>
  </si>
  <si>
    <r>
      <t xml:space="preserve">Negotiated Rate: </t>
    </r>
    <r>
      <rPr>
        <sz val="12"/>
        <color rgb="FFFF0000"/>
        <rFont val="Times New Roman"/>
        <family val="1"/>
      </rPr>
      <t>$26.24</t>
    </r>
  </si>
  <si>
    <t>Base:  $26.24 per labor hour</t>
  </si>
  <si>
    <t>Labor Hours:</t>
  </si>
  <si>
    <t xml:space="preserve">   Departure City: Monterey, CA</t>
  </si>
  <si>
    <r>
      <t xml:space="preserve">   </t>
    </r>
    <r>
      <rPr>
        <u/>
        <sz val="12"/>
        <color theme="1"/>
        <rFont val="Times New Roman"/>
        <family val="1"/>
      </rPr>
      <t>Travel</t>
    </r>
    <r>
      <rPr>
        <sz val="12"/>
        <color theme="1"/>
        <rFont val="Times New Roman"/>
        <family val="1"/>
      </rPr>
      <t xml:space="preserve"> -  2 senior personnel (tbd)</t>
    </r>
  </si>
  <si>
    <t xml:space="preserve">   Estimated length of trip:  4 days/3 nights</t>
  </si>
  <si>
    <r>
      <t xml:space="preserve">e. </t>
    </r>
    <r>
      <rPr>
        <u/>
        <sz val="12"/>
        <color theme="1"/>
        <rFont val="Times New Roman"/>
        <family val="1"/>
      </rPr>
      <t>Travel</t>
    </r>
    <r>
      <rPr>
        <sz val="12"/>
        <color theme="1"/>
        <rFont val="Times New Roman"/>
        <family val="1"/>
      </rPr>
      <t xml:space="preserve"> - all senior personnel</t>
    </r>
  </si>
  <si>
    <t xml:space="preserve">   Conference Registration</t>
  </si>
  <si>
    <t>Subaward NAVAL POSTGRADUATE SCHOOL (NPS)
Year 2:  07/01/2015 - 06/30/2016</t>
  </si>
  <si>
    <r>
      <t xml:space="preserve">NAVAL POSTGRADUATE SCHOOL
Total Budget for Project Duration:  </t>
    </r>
    <r>
      <rPr>
        <b/>
        <sz val="12"/>
        <rFont val="Times New Roman"/>
        <family val="1"/>
      </rPr>
      <t>07/01/2014 - 06/30/2017</t>
    </r>
  </si>
  <si>
    <t xml:space="preserve">   Estimate based on current registration prices</t>
  </si>
  <si>
    <t xml:space="preserve">   Estimate based on previous travel ($110/night)</t>
  </si>
  <si>
    <t xml:space="preserve">   Estimate based on previous travel ($32/day)</t>
  </si>
  <si>
    <t>Subaward NAVAL POSTGRADUATE SCHOOL (NPS)
Year 3:  07/01/2016 - 06/30/2017</t>
  </si>
  <si>
    <t>From Monterey, CA to domestic NASA Selected site</t>
  </si>
  <si>
    <t>2 times per year for duration of 3-year project</t>
  </si>
  <si>
    <t># of Days</t>
  </si>
  <si>
    <t>Conf
Fees</t>
  </si>
  <si>
    <t>Air
Fare</t>
  </si>
  <si>
    <t>Incidentals</t>
  </si>
  <si>
    <t>Hotel</t>
  </si>
  <si>
    <t>Meal Per Diem</t>
  </si>
  <si>
    <t># of Travelers</t>
  </si>
  <si>
    <t>1 rental Car, parking, fuel</t>
  </si>
  <si>
    <t>Subtotal per year
(2 trips)</t>
  </si>
  <si>
    <r>
      <rPr>
        <b/>
        <sz val="11"/>
        <rFont val="Times New Roman"/>
        <family val="1"/>
      </rPr>
      <t>Total:</t>
    </r>
    <r>
      <rPr>
        <sz val="11"/>
        <rFont val="Times New Roman"/>
        <family val="1"/>
      </rPr>
      <t xml:space="preserve">
2 times a year for 3 years</t>
    </r>
  </si>
  <si>
    <t>N/A</t>
  </si>
  <si>
    <t>x</t>
  </si>
  <si>
    <t>+</t>
  </si>
  <si>
    <t>From Monetery, CA to domestic unknown destination</t>
  </si>
  <si>
    <t>Purpose: to present the results in AIAA Guidance, Navigation and Control conference</t>
  </si>
  <si>
    <t>1 time during project</t>
  </si>
  <si>
    <t>Subtotal per year
(1 trip)</t>
  </si>
  <si>
    <r>
      <rPr>
        <b/>
        <sz val="11"/>
        <rFont val="Times New Roman"/>
        <family val="1"/>
      </rPr>
      <t>Total:</t>
    </r>
    <r>
      <rPr>
        <sz val="11"/>
        <rFont val="Times New Roman"/>
        <family val="1"/>
      </rPr>
      <t xml:space="preserve">
1 time a year for 3 years</t>
    </r>
  </si>
  <si>
    <t xml:space="preserve">Grand total
all Travel </t>
  </si>
  <si>
    <t>Purpose:  NASA technical meetings</t>
  </si>
  <si>
    <t>Graduate Research Assistants (4)</t>
  </si>
  <si>
    <t>4 Graduate Research Assistants</t>
  </si>
  <si>
    <t>Mechanical and Aerospace</t>
  </si>
  <si>
    <t>50% of 12-month Calendar Year^</t>
  </si>
  <si>
    <t>^ - NPS students are government employees (military or civilian) on full paid status and do not require funding for their participation in a research project.</t>
  </si>
  <si>
    <t>1 - Fringe benefits are charged at a rate of 45.00% on faculty salaries.  Benefits include paid annual leave, health(medical and dental) insurance, TSP matching.</t>
  </si>
  <si>
    <t>Naval Postgraduate School, RSPO office</t>
  </si>
  <si>
    <t>Deborah M.Buettner</t>
  </si>
  <si>
    <t>Office of Dean of Research, Halligan hall, room226</t>
  </si>
  <si>
    <t>Monterey, CA 93943-5138</t>
  </si>
  <si>
    <t>tel:831-6567893</t>
  </si>
  <si>
    <t>fax:831-656-2038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</si>
</sst>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Times"/>
      <family val="1"/>
    </font>
    <font>
      <sz val="12"/>
      <name val="Times New Roman"/>
      <family val="1"/>
    </font>
    <font>
      <sz val="10"/>
      <name val="Geneva"/>
    </font>
    <font>
      <sz val="10"/>
      <name val="Times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0"/>
      <name val="Arial"/>
      <family val="2"/>
    </font>
    <font>
      <sz val="12"/>
      <color theme="0"/>
      <name val="Times New Roman"/>
      <family val="1"/>
    </font>
    <font>
      <vertAlign val="superscript"/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  <font>
      <b/>
      <i/>
      <sz val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Tms Rmn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2"/>
      <color rgb="FFFF0000"/>
      <name val="Times New Roman"/>
      <family val="1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bgColor indexed="13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0" fontId="8" fillId="0" borderId="0" applyNumberFormat="0" applyFill="0" applyBorder="0" applyAlignment="0" applyProtection="0"/>
    <xf numFmtId="8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</cellStyleXfs>
  <cellXfs count="231">
    <xf numFmtId="0" fontId="0" fillId="0" borderId="0" xfId="0"/>
    <xf numFmtId="0" fontId="14" fillId="3" borderId="4" xfId="10" applyFont="1" applyFill="1" applyBorder="1"/>
    <xf numFmtId="0" fontId="14" fillId="3" borderId="2" xfId="10" applyFont="1" applyFill="1" applyBorder="1"/>
    <xf numFmtId="0" fontId="14" fillId="3" borderId="6" xfId="10" applyFont="1" applyFill="1" applyBorder="1"/>
    <xf numFmtId="0" fontId="14" fillId="0" borderId="10" xfId="10" applyFont="1" applyBorder="1"/>
    <xf numFmtId="0" fontId="14" fillId="0" borderId="0" xfId="10" applyFont="1" applyBorder="1"/>
    <xf numFmtId="0" fontId="14" fillId="0" borderId="0" xfId="10" applyFont="1" applyBorder="1" applyAlignment="1">
      <alignment horizontal="center"/>
    </xf>
    <xf numFmtId="0" fontId="14" fillId="0" borderId="11" xfId="10" applyFont="1" applyFill="1" applyBorder="1" applyAlignment="1">
      <alignment horizontal="center"/>
    </xf>
    <xf numFmtId="164" fontId="14" fillId="0" borderId="0" xfId="11" applyNumberFormat="1" applyFont="1" applyBorder="1"/>
    <xf numFmtId="164" fontId="14" fillId="0" borderId="11" xfId="11" applyNumberFormat="1" applyFont="1" applyFill="1" applyBorder="1"/>
    <xf numFmtId="0" fontId="14" fillId="0" borderId="0" xfId="10" applyFont="1" applyBorder="1" applyAlignment="1">
      <alignment horizontal="left"/>
    </xf>
    <xf numFmtId="0" fontId="14" fillId="0" borderId="11" xfId="10" applyFont="1" applyFill="1" applyBorder="1"/>
    <xf numFmtId="164" fontId="14" fillId="0" borderId="12" xfId="11" applyNumberFormat="1" applyFont="1" applyFill="1" applyBorder="1"/>
    <xf numFmtId="0" fontId="14" fillId="0" borderId="11" xfId="10" applyFont="1" applyBorder="1"/>
    <xf numFmtId="0" fontId="14" fillId="0" borderId="0" xfId="10" applyFont="1" applyBorder="1" applyAlignment="1">
      <alignment horizontal="right"/>
    </xf>
    <xf numFmtId="164" fontId="14" fillId="0" borderId="11" xfId="11" applyNumberFormat="1" applyFont="1" applyBorder="1"/>
    <xf numFmtId="0" fontId="14" fillId="0" borderId="5" xfId="10" applyFont="1" applyBorder="1"/>
    <xf numFmtId="0" fontId="14" fillId="0" borderId="1" xfId="10" applyFont="1" applyBorder="1"/>
    <xf numFmtId="0" fontId="14" fillId="0" borderId="12" xfId="10" applyFont="1" applyBorder="1"/>
    <xf numFmtId="0" fontId="14" fillId="0" borderId="10" xfId="10" applyFont="1" applyFill="1" applyBorder="1"/>
    <xf numFmtId="0" fontId="14" fillId="0" borderId="0" xfId="10" applyFont="1" applyFill="1" applyBorder="1"/>
    <xf numFmtId="44" fontId="14" fillId="0" borderId="0" xfId="11" applyFont="1" applyFill="1" applyBorder="1"/>
    <xf numFmtId="164" fontId="14" fillId="0" borderId="11" xfId="10" applyNumberFormat="1" applyFont="1" applyBorder="1"/>
    <xf numFmtId="164" fontId="14" fillId="0" borderId="11" xfId="10" applyNumberFormat="1" applyFont="1" applyFill="1" applyBorder="1"/>
    <xf numFmtId="0" fontId="14" fillId="0" borderId="0" xfId="10" applyFont="1" applyBorder="1" applyAlignment="1"/>
    <xf numFmtId="0" fontId="14" fillId="0" borderId="5" xfId="10" applyFont="1" applyFill="1" applyBorder="1"/>
    <xf numFmtId="0" fontId="14" fillId="0" borderId="1" xfId="10" applyFont="1" applyFill="1" applyBorder="1"/>
    <xf numFmtId="0" fontId="14" fillId="0" borderId="1" xfId="10" applyFont="1" applyFill="1" applyBorder="1" applyAlignment="1">
      <alignment horizontal="right"/>
    </xf>
    <xf numFmtId="44" fontId="14" fillId="0" borderId="12" xfId="11" applyFont="1" applyFill="1" applyBorder="1"/>
    <xf numFmtId="0" fontId="14" fillId="0" borderId="10" xfId="10" applyFont="1" applyBorder="1" applyAlignment="1">
      <alignment horizontal="left" indent="2"/>
    </xf>
    <xf numFmtId="0" fontId="13" fillId="0" borderId="0" xfId="10" applyFont="1" applyBorder="1" applyAlignment="1">
      <alignment horizontal="center"/>
    </xf>
    <xf numFmtId="0" fontId="13" fillId="0" borderId="11" xfId="10" applyFont="1" applyBorder="1" applyAlignment="1">
      <alignment horizontal="center"/>
    </xf>
    <xf numFmtId="0" fontId="13" fillId="0" borderId="10" xfId="10" applyFont="1" applyBorder="1"/>
    <xf numFmtId="165" fontId="17" fillId="0" borderId="0" xfId="12" applyNumberFormat="1" applyFont="1" applyFill="1" applyBorder="1"/>
    <xf numFmtId="0" fontId="13" fillId="3" borderId="6" xfId="10" applyFont="1" applyFill="1" applyBorder="1" applyAlignment="1">
      <alignment horizontal="center"/>
    </xf>
    <xf numFmtId="0" fontId="13" fillId="3" borderId="6" xfId="10" applyFont="1" applyFill="1" applyBorder="1"/>
    <xf numFmtId="164" fontId="13" fillId="3" borderId="6" xfId="11" applyNumberFormat="1" applyFont="1" applyFill="1" applyBorder="1"/>
    <xf numFmtId="0" fontId="14" fillId="0" borderId="10" xfId="10" applyFont="1" applyBorder="1" applyAlignment="1"/>
    <xf numFmtId="0" fontId="14" fillId="0" borderId="0" xfId="10" applyFont="1" applyBorder="1" applyAlignment="1">
      <alignment horizontal="right" indent="1"/>
    </xf>
    <xf numFmtId="0" fontId="9" fillId="0" borderId="0" xfId="10" applyFont="1" applyFill="1" applyBorder="1"/>
    <xf numFmtId="0" fontId="14" fillId="3" borderId="2" xfId="10" applyFont="1" applyFill="1" applyBorder="1" applyAlignment="1">
      <alignment horizontal="center"/>
    </xf>
    <xf numFmtId="0" fontId="14" fillId="0" borderId="0" xfId="10" applyFont="1" applyFill="1" applyBorder="1" applyAlignment="1">
      <alignment horizontal="right"/>
    </xf>
    <xf numFmtId="0" fontId="14" fillId="0" borderId="10" xfId="10" applyFont="1" applyFill="1" applyBorder="1" applyAlignment="1">
      <alignment vertical="center" wrapText="1"/>
    </xf>
    <xf numFmtId="0" fontId="14" fillId="0" borderId="0" xfId="10" applyFont="1" applyFill="1" applyBorder="1" applyAlignment="1">
      <alignment vertical="center" wrapText="1"/>
    </xf>
    <xf numFmtId="0" fontId="13" fillId="0" borderId="0" xfId="10" applyFont="1" applyBorder="1" applyAlignment="1">
      <alignment horizontal="left"/>
    </xf>
    <xf numFmtId="0" fontId="13" fillId="0" borderId="0" xfId="10" applyFont="1" applyBorder="1"/>
    <xf numFmtId="0" fontId="14" fillId="0" borderId="0" xfId="10" applyFont="1" applyFill="1" applyBorder="1" applyAlignment="1">
      <alignment horizontal="center"/>
    </xf>
    <xf numFmtId="164" fontId="14" fillId="0" borderId="0" xfId="11" applyNumberFormat="1" applyFont="1" applyFill="1" applyBorder="1"/>
    <xf numFmtId="0" fontId="14" fillId="0" borderId="0" xfId="10" applyFont="1" applyBorder="1" applyAlignment="1">
      <alignment horizontal="left" indent="2"/>
    </xf>
    <xf numFmtId="164" fontId="14" fillId="0" borderId="0" xfId="10" applyNumberFormat="1" applyFont="1" applyBorder="1"/>
    <xf numFmtId="0" fontId="14" fillId="3" borderId="7" xfId="10" applyFont="1" applyFill="1" applyBorder="1"/>
    <xf numFmtId="0" fontId="14" fillId="3" borderId="8" xfId="10" applyFont="1" applyFill="1" applyBorder="1"/>
    <xf numFmtId="44" fontId="14" fillId="0" borderId="11" xfId="11" applyFont="1" applyFill="1" applyBorder="1"/>
    <xf numFmtId="0" fontId="14" fillId="0" borderId="5" xfId="10" applyFont="1" applyFill="1" applyBorder="1" applyAlignment="1">
      <alignment vertical="center" wrapText="1"/>
    </xf>
    <xf numFmtId="0" fontId="14" fillId="0" borderId="1" xfId="10" applyFont="1" applyFill="1" applyBorder="1" applyAlignment="1">
      <alignment vertical="center" wrapText="1"/>
    </xf>
    <xf numFmtId="0" fontId="13" fillId="0" borderId="0" xfId="10" applyFont="1" applyBorder="1" applyAlignment="1">
      <alignment horizontal="center" vertical="center" wrapText="1"/>
    </xf>
    <xf numFmtId="0" fontId="13" fillId="0" borderId="0" xfId="10" applyFont="1" applyFill="1" applyBorder="1" applyAlignment="1">
      <alignment horizontal="center"/>
    </xf>
    <xf numFmtId="0" fontId="14" fillId="0" borderId="0" xfId="10" applyFont="1" applyBorder="1" applyAlignment="1">
      <alignment horizontal="left" indent="1"/>
    </xf>
    <xf numFmtId="164" fontId="13" fillId="0" borderId="0" xfId="11" applyNumberFormat="1" applyFont="1" applyFill="1" applyBorder="1"/>
    <xf numFmtId="164" fontId="13" fillId="0" borderId="0" xfId="11" applyNumberFormat="1" applyFont="1" applyBorder="1"/>
    <xf numFmtId="164" fontId="13" fillId="0" borderId="0" xfId="10" applyNumberFormat="1" applyFont="1" applyBorder="1"/>
    <xf numFmtId="44" fontId="13" fillId="0" borderId="0" xfId="11" applyFont="1" applyFill="1" applyBorder="1"/>
    <xf numFmtId="164" fontId="14" fillId="3" borderId="2" xfId="11" applyNumberFormat="1" applyFont="1" applyFill="1" applyBorder="1"/>
    <xf numFmtId="164" fontId="14" fillId="0" borderId="1" xfId="10" applyNumberFormat="1" applyFont="1" applyFill="1" applyBorder="1"/>
    <xf numFmtId="164" fontId="13" fillId="0" borderId="1" xfId="10" applyNumberFormat="1" applyFont="1" applyFill="1" applyBorder="1"/>
    <xf numFmtId="0" fontId="14" fillId="0" borderId="10" xfId="10" applyFont="1" applyFill="1" applyBorder="1" applyAlignment="1">
      <alignment vertical="center" wrapText="1"/>
    </xf>
    <xf numFmtId="0" fontId="14" fillId="0" borderId="0" xfId="10" applyFont="1" applyFill="1" applyBorder="1" applyAlignment="1">
      <alignment vertical="center" wrapText="1"/>
    </xf>
    <xf numFmtId="164" fontId="14" fillId="0" borderId="0" xfId="10" applyNumberFormat="1" applyFont="1" applyFill="1" applyBorder="1"/>
    <xf numFmtId="3" fontId="14" fillId="0" borderId="0" xfId="11" applyNumberFormat="1" applyFont="1" applyFill="1" applyBorder="1" applyAlignment="1">
      <alignment horizontal="center"/>
    </xf>
    <xf numFmtId="0" fontId="14" fillId="0" borderId="0" xfId="10" applyFont="1" applyFill="1" applyBorder="1" applyAlignment="1">
      <alignment horizontal="left"/>
    </xf>
    <xf numFmtId="0" fontId="9" fillId="0" borderId="10" xfId="10" applyFont="1" applyFill="1" applyBorder="1"/>
    <xf numFmtId="44" fontId="19" fillId="0" borderId="0" xfId="11" applyFont="1" applyFill="1" applyBorder="1"/>
    <xf numFmtId="44" fontId="14" fillId="0" borderId="1" xfId="11" applyFont="1" applyFill="1" applyBorder="1"/>
    <xf numFmtId="44" fontId="14" fillId="0" borderId="13" xfId="11" applyFont="1" applyFill="1" applyBorder="1"/>
    <xf numFmtId="0" fontId="14" fillId="0" borderId="10" xfId="10" applyFont="1" applyFill="1" applyBorder="1" applyAlignment="1"/>
    <xf numFmtId="0" fontId="14" fillId="0" borderId="10" xfId="10" applyFont="1" applyFill="1" applyBorder="1" applyAlignment="1">
      <alignment horizontal="left" indent="2"/>
    </xf>
    <xf numFmtId="0" fontId="14" fillId="0" borderId="0" xfId="10" applyFont="1" applyFill="1" applyBorder="1" applyAlignment="1">
      <alignment horizontal="left" indent="1"/>
    </xf>
    <xf numFmtId="0" fontId="14" fillId="0" borderId="10" xfId="13" applyFont="1" applyFill="1" applyBorder="1"/>
    <xf numFmtId="0" fontId="3" fillId="0" borderId="0" xfId="15" applyFont="1"/>
    <xf numFmtId="3" fontId="3" fillId="0" borderId="0" xfId="6" applyNumberFormat="1" applyFont="1" applyAlignment="1"/>
    <xf numFmtId="3" fontId="3" fillId="0" borderId="0" xfId="6" applyNumberFormat="1" applyFont="1"/>
    <xf numFmtId="6" fontId="3" fillId="4" borderId="0" xfId="15" applyNumberFormat="1" applyFont="1" applyFill="1"/>
    <xf numFmtId="6" fontId="3" fillId="0" borderId="0" xfId="15" applyNumberFormat="1" applyFont="1"/>
    <xf numFmtId="0" fontId="3" fillId="0" borderId="0" xfId="15" applyFont="1" applyAlignment="1">
      <alignment horizontal="center"/>
    </xf>
    <xf numFmtId="5" fontId="3" fillId="0" borderId="0" xfId="15" applyNumberFormat="1" applyFont="1"/>
    <xf numFmtId="2" fontId="3" fillId="0" borderId="0" xfId="15" applyNumberFormat="1" applyFont="1" applyAlignment="1">
      <alignment horizontal="center"/>
    </xf>
    <xf numFmtId="10" fontId="3" fillId="0" borderId="0" xfId="15" applyNumberFormat="1" applyFont="1" applyAlignment="1">
      <alignment horizontal="center"/>
    </xf>
    <xf numFmtId="0" fontId="3" fillId="0" borderId="0" xfId="15" applyFont="1" applyProtection="1">
      <protection hidden="1"/>
    </xf>
    <xf numFmtId="0" fontId="3" fillId="5" borderId="0" xfId="15" applyFont="1" applyFill="1"/>
    <xf numFmtId="3" fontId="3" fillId="5" borderId="0" xfId="6" applyNumberFormat="1" applyFont="1" applyFill="1" applyAlignment="1"/>
    <xf numFmtId="3" fontId="3" fillId="5" borderId="0" xfId="6" applyNumberFormat="1" applyFont="1" applyFill="1"/>
    <xf numFmtId="0" fontId="20" fillId="0" borderId="0" xfId="15" applyFont="1"/>
    <xf numFmtId="5" fontId="3" fillId="4" borderId="0" xfId="15" applyNumberFormat="1" applyFont="1" applyFill="1"/>
    <xf numFmtId="6" fontId="3" fillId="0" borderId="2" xfId="15" applyNumberFormat="1" applyFont="1" applyBorder="1"/>
    <xf numFmtId="5" fontId="3" fillId="0" borderId="1" xfId="15" applyNumberFormat="1" applyFont="1" applyBorder="1"/>
    <xf numFmtId="0" fontId="7" fillId="0" borderId="0" xfId="15" applyFont="1"/>
    <xf numFmtId="5" fontId="3" fillId="0" borderId="2" xfId="15" applyNumberFormat="1" applyFont="1" applyBorder="1"/>
    <xf numFmtId="5" fontId="3" fillId="0" borderId="0" xfId="15" applyNumberFormat="1" applyFont="1" applyBorder="1"/>
    <xf numFmtId="10" fontId="3" fillId="0" borderId="0" xfId="15" applyNumberFormat="1" applyFont="1"/>
    <xf numFmtId="5" fontId="21" fillId="0" borderId="0" xfId="15" applyNumberFormat="1" applyFont="1"/>
    <xf numFmtId="9" fontId="3" fillId="0" borderId="0" xfId="15" applyNumberFormat="1" applyFont="1"/>
    <xf numFmtId="5" fontId="21" fillId="0" borderId="0" xfId="15" applyNumberFormat="1" applyFont="1" applyBorder="1"/>
    <xf numFmtId="5" fontId="21" fillId="0" borderId="2" xfId="15" applyNumberFormat="1" applyFont="1" applyBorder="1"/>
    <xf numFmtId="10" fontId="3" fillId="0" borderId="0" xfId="15" applyNumberFormat="1" applyFont="1" applyAlignment="1">
      <alignment shrinkToFit="1"/>
    </xf>
    <xf numFmtId="3" fontId="5" fillId="5" borderId="0" xfId="16" applyNumberFormat="1" applyFont="1" applyFill="1" applyAlignment="1" applyProtection="1"/>
    <xf numFmtId="0" fontId="4" fillId="0" borderId="0" xfId="15" applyFont="1"/>
    <xf numFmtId="0" fontId="6" fillId="6" borderId="1" xfId="15" applyFont="1" applyFill="1" applyBorder="1" applyAlignment="1">
      <alignment horizontal="right"/>
    </xf>
    <xf numFmtId="0" fontId="4" fillId="0" borderId="0" xfId="15" applyFont="1" applyAlignment="1">
      <alignment horizontal="center"/>
    </xf>
    <xf numFmtId="0" fontId="20" fillId="0" borderId="0" xfId="15" applyFont="1" applyAlignment="1">
      <alignment horizontal="left"/>
    </xf>
    <xf numFmtId="7" fontId="3" fillId="0" borderId="0" xfId="15" applyNumberFormat="1" applyFont="1" applyAlignment="1">
      <alignment horizontal="center"/>
    </xf>
    <xf numFmtId="0" fontId="3" fillId="0" borderId="0" xfId="15" applyFont="1" applyAlignment="1">
      <alignment horizontal="left"/>
    </xf>
    <xf numFmtId="3" fontId="3" fillId="5" borderId="0" xfId="6" applyNumberFormat="1" applyFont="1" applyFill="1" applyBorder="1" applyAlignment="1"/>
    <xf numFmtId="3" fontId="3" fillId="5" borderId="0" xfId="6" applyNumberFormat="1" applyFont="1" applyFill="1" applyBorder="1"/>
    <xf numFmtId="7" fontId="21" fillId="0" borderId="0" xfId="15" applyNumberFormat="1" applyFont="1" applyAlignment="1">
      <alignment horizontal="center"/>
    </xf>
    <xf numFmtId="2" fontId="21" fillId="0" borderId="0" xfId="15" applyNumberFormat="1" applyFont="1" applyAlignment="1">
      <alignment horizontal="center"/>
    </xf>
    <xf numFmtId="0" fontId="6" fillId="0" borderId="1" xfId="15" applyFont="1" applyBorder="1" applyAlignment="1">
      <alignment horizontal="center"/>
    </xf>
    <xf numFmtId="0" fontId="3" fillId="0" borderId="0" xfId="15" applyFont="1" applyAlignment="1" applyProtection="1">
      <alignment horizontal="left"/>
      <protection hidden="1"/>
    </xf>
    <xf numFmtId="0" fontId="3" fillId="5" borderId="0" xfId="15" applyFont="1" applyFill="1" applyAlignment="1">
      <alignment horizontal="left"/>
    </xf>
    <xf numFmtId="3" fontId="3" fillId="5" borderId="0" xfId="6" applyNumberFormat="1" applyFont="1" applyFill="1" applyAlignment="1">
      <alignment horizontal="left"/>
    </xf>
    <xf numFmtId="3" fontId="23" fillId="5" borderId="0" xfId="6" applyNumberFormat="1" applyFont="1" applyFill="1" applyAlignment="1">
      <alignment horizontal="left"/>
    </xf>
    <xf numFmtId="6" fontId="3" fillId="4" borderId="0" xfId="15" applyNumberFormat="1" applyFont="1" applyFill="1" applyAlignment="1">
      <alignment horizontal="left"/>
    </xf>
    <xf numFmtId="5" fontId="3" fillId="0" borderId="2" xfId="15" applyNumberFormat="1" applyFont="1" applyBorder="1" applyAlignment="1">
      <alignment horizontal="right"/>
    </xf>
    <xf numFmtId="2" fontId="21" fillId="0" borderId="0" xfId="15" applyNumberFormat="1" applyFont="1" applyAlignment="1">
      <alignment horizontal="left"/>
    </xf>
    <xf numFmtId="10" fontId="21" fillId="0" borderId="0" xfId="15" applyNumberFormat="1" applyFont="1" applyAlignment="1">
      <alignment horizontal="left"/>
    </xf>
    <xf numFmtId="0" fontId="3" fillId="0" borderId="2" xfId="15" applyFont="1" applyBorder="1" applyAlignment="1">
      <alignment horizontal="center"/>
    </xf>
    <xf numFmtId="3" fontId="3" fillId="2" borderId="2" xfId="6" applyNumberFormat="1" applyFont="1" applyFill="1" applyBorder="1" applyProtection="1">
      <protection hidden="1"/>
    </xf>
    <xf numFmtId="10" fontId="21" fillId="0" borderId="0" xfId="15" applyNumberFormat="1" applyFont="1" applyAlignment="1">
      <alignment horizontal="center"/>
    </xf>
    <xf numFmtId="0" fontId="21" fillId="0" borderId="0" xfId="15" applyFont="1" applyAlignment="1">
      <alignment horizontal="center"/>
    </xf>
    <xf numFmtId="3" fontId="3" fillId="7" borderId="0" xfId="6" applyNumberFormat="1" applyFont="1" applyFill="1" applyAlignment="1"/>
    <xf numFmtId="3" fontId="24" fillId="7" borderId="0" xfId="6" applyNumberFormat="1" applyFont="1" applyFill="1" applyBorder="1" applyAlignment="1"/>
    <xf numFmtId="2" fontId="6" fillId="0" borderId="1" xfId="15" applyNumberFormat="1" applyFont="1" applyBorder="1" applyAlignment="1">
      <alignment horizontal="center"/>
    </xf>
    <xf numFmtId="10" fontId="6" fillId="0" borderId="1" xfId="15" applyNumberFormat="1" applyFont="1" applyBorder="1" applyAlignment="1">
      <alignment horizontal="center"/>
    </xf>
    <xf numFmtId="3" fontId="21" fillId="0" borderId="4" xfId="6" applyNumberFormat="1" applyFont="1" applyBorder="1" applyProtection="1">
      <protection hidden="1"/>
    </xf>
    <xf numFmtId="3" fontId="21" fillId="0" borderId="3" xfId="6" applyNumberFormat="1" applyFont="1" applyBorder="1"/>
    <xf numFmtId="0" fontId="3" fillId="0" borderId="0" xfId="15" applyFont="1" applyBorder="1"/>
    <xf numFmtId="3" fontId="7" fillId="2" borderId="3" xfId="6" applyNumberFormat="1" applyFont="1" applyFill="1" applyBorder="1" applyAlignment="1">
      <alignment wrapText="1"/>
    </xf>
    <xf numFmtId="164" fontId="3" fillId="0" borderId="0" xfId="15" applyNumberFormat="1" applyFont="1" applyBorder="1"/>
    <xf numFmtId="0" fontId="3" fillId="0" borderId="0" xfId="15" applyFont="1" applyFill="1" applyBorder="1"/>
    <xf numFmtId="0" fontId="24" fillId="0" borderId="0" xfId="15" applyFont="1" applyBorder="1" applyAlignment="1">
      <alignment horizontal="right"/>
    </xf>
    <xf numFmtId="6" fontId="3" fillId="4" borderId="0" xfId="15" applyNumberFormat="1" applyFont="1" applyFill="1" applyBorder="1"/>
    <xf numFmtId="6" fontId="3" fillId="0" borderId="0" xfId="15" applyNumberFormat="1" applyFont="1" applyBorder="1"/>
    <xf numFmtId="0" fontId="24" fillId="0" borderId="0" xfId="15" applyFont="1" applyBorder="1" applyAlignment="1"/>
    <xf numFmtId="3" fontId="21" fillId="0" borderId="4" xfId="6" applyNumberFormat="1" applyFont="1" applyBorder="1" applyAlignment="1"/>
    <xf numFmtId="3" fontId="21" fillId="0" borderId="6" xfId="6" applyNumberFormat="1" applyFont="1" applyBorder="1" applyProtection="1">
      <protection hidden="1"/>
    </xf>
    <xf numFmtId="0" fontId="21" fillId="0" borderId="0" xfId="15" applyFont="1"/>
    <xf numFmtId="14" fontId="3" fillId="0" borderId="3" xfId="15" applyNumberFormat="1" applyFont="1" applyBorder="1"/>
    <xf numFmtId="0" fontId="3" fillId="0" borderId="3" xfId="15" applyFont="1" applyBorder="1"/>
    <xf numFmtId="164" fontId="3" fillId="0" borderId="0" xfId="15" applyNumberFormat="1" applyFont="1"/>
    <xf numFmtId="14" fontId="21" fillId="0" borderId="3" xfId="15" applyNumberFormat="1" applyFont="1" applyBorder="1"/>
    <xf numFmtId="3" fontId="21" fillId="0" borderId="5" xfId="6" applyNumberFormat="1" applyFont="1" applyBorder="1" applyAlignment="1"/>
    <xf numFmtId="164" fontId="3" fillId="8" borderId="15" xfId="9" applyNumberFormat="1" applyFont="1" applyFill="1" applyBorder="1"/>
    <xf numFmtId="0" fontId="3" fillId="0" borderId="0" xfId="15" applyFont="1" applyBorder="1" applyAlignment="1">
      <alignment horizontal="center"/>
    </xf>
    <xf numFmtId="14" fontId="3" fillId="0" borderId="0" xfId="15" applyNumberFormat="1" applyFont="1" applyBorder="1" applyAlignment="1">
      <alignment wrapText="1"/>
    </xf>
    <xf numFmtId="3" fontId="7" fillId="2" borderId="4" xfId="6" applyNumberFormat="1" applyFont="1" applyFill="1" applyBorder="1" applyAlignment="1">
      <alignment wrapText="1"/>
    </xf>
    <xf numFmtId="6" fontId="3" fillId="4" borderId="0" xfId="15" applyNumberFormat="1" applyFont="1" applyFill="1" applyAlignment="1">
      <alignment horizontal="right"/>
    </xf>
    <xf numFmtId="6" fontId="3" fillId="0" borderId="2" xfId="15" applyNumberFormat="1" applyFont="1" applyBorder="1" applyAlignment="1">
      <alignment horizontal="right"/>
    </xf>
    <xf numFmtId="3" fontId="6" fillId="0" borderId="1" xfId="6" applyNumberFormat="1" applyFont="1" applyBorder="1" applyAlignment="1">
      <alignment horizontal="center" wrapText="1"/>
    </xf>
    <xf numFmtId="0" fontId="3" fillId="9" borderId="0" xfId="15" applyFont="1" applyFill="1"/>
    <xf numFmtId="6" fontId="3" fillId="0" borderId="1" xfId="15" applyNumberFormat="1" applyFont="1" applyBorder="1" applyAlignment="1">
      <alignment horizontal="center"/>
    </xf>
    <xf numFmtId="14" fontId="3" fillId="0" borderId="1" xfId="15" applyNumberFormat="1" applyFont="1" applyFill="1" applyBorder="1"/>
    <xf numFmtId="14" fontId="3" fillId="0" borderId="1" xfId="15" applyNumberFormat="1" applyFont="1" applyFill="1" applyBorder="1" applyAlignment="1">
      <alignment horizontal="right"/>
    </xf>
    <xf numFmtId="0" fontId="3" fillId="0" borderId="0" xfId="15" applyFont="1" applyAlignment="1">
      <alignment horizontal="right"/>
    </xf>
    <xf numFmtId="0" fontId="4" fillId="0" borderId="0" xfId="15" applyFont="1" applyAlignment="1">
      <alignment horizontal="left"/>
    </xf>
    <xf numFmtId="3" fontId="3" fillId="9" borderId="0" xfId="6" applyNumberFormat="1" applyFont="1" applyFill="1" applyBorder="1" applyAlignment="1"/>
    <xf numFmtId="14" fontId="3" fillId="0" borderId="0" xfId="15" applyNumberFormat="1" applyFont="1" applyFill="1"/>
    <xf numFmtId="7" fontId="3" fillId="0" borderId="0" xfId="15" applyNumberFormat="1" applyFont="1"/>
    <xf numFmtId="165" fontId="3" fillId="0" borderId="0" xfId="7" applyNumberFormat="1" applyFont="1"/>
    <xf numFmtId="7" fontId="21" fillId="0" borderId="0" xfId="15" applyNumberFormat="1" applyFont="1"/>
    <xf numFmtId="5" fontId="3" fillId="2" borderId="2" xfId="15" applyNumberFormat="1" applyFont="1" applyFill="1" applyBorder="1" applyAlignment="1">
      <alignment horizontal="right"/>
    </xf>
    <xf numFmtId="43" fontId="3" fillId="0" borderId="0" xfId="6" applyFont="1" applyAlignment="1">
      <alignment horizontal="right"/>
    </xf>
    <xf numFmtId="7" fontId="3" fillId="0" borderId="14" xfId="15" applyNumberFormat="1" applyFont="1" applyBorder="1"/>
    <xf numFmtId="43" fontId="14" fillId="0" borderId="0" xfId="17" applyFont="1" applyFill="1" applyBorder="1" applyAlignment="1">
      <alignment horizontal="center"/>
    </xf>
    <xf numFmtId="166" fontId="14" fillId="0" borderId="11" xfId="17" applyNumberFormat="1" applyFont="1" applyFill="1" applyBorder="1"/>
    <xf numFmtId="0" fontId="14" fillId="10" borderId="10" xfId="10" applyFont="1" applyFill="1" applyBorder="1"/>
    <xf numFmtId="166" fontId="14" fillId="0" borderId="0" xfId="17" applyNumberFormat="1" applyFont="1" applyFill="1" applyBorder="1" applyAlignment="1">
      <alignment horizontal="center"/>
    </xf>
    <xf numFmtId="5" fontId="14" fillId="3" borderId="6" xfId="11" applyNumberFormat="1" applyFont="1" applyFill="1" applyBorder="1"/>
    <xf numFmtId="44" fontId="14" fillId="0" borderId="0" xfId="10" applyNumberFormat="1" applyFont="1" applyFill="1" applyBorder="1"/>
    <xf numFmtId="0" fontId="27" fillId="10" borderId="10" xfId="13" applyFont="1" applyFill="1" applyBorder="1"/>
    <xf numFmtId="5" fontId="14" fillId="3" borderId="2" xfId="11" applyNumberFormat="1" applyFont="1" applyFill="1" applyBorder="1"/>
    <xf numFmtId="5" fontId="13" fillId="3" borderId="6" xfId="11" applyNumberFormat="1" applyFont="1" applyFill="1" applyBorder="1"/>
    <xf numFmtId="0" fontId="29" fillId="0" borderId="0" xfId="15" applyFont="1" applyBorder="1"/>
    <xf numFmtId="0" fontId="12" fillId="0" borderId="0" xfId="15" applyFont="1" applyBorder="1" applyAlignment="1">
      <alignment horizontal="right"/>
    </xf>
    <xf numFmtId="0" fontId="29" fillId="0" borderId="0" xfId="15" applyFont="1"/>
    <xf numFmtId="0" fontId="30" fillId="0" borderId="1" xfId="15" applyFont="1" applyBorder="1" applyAlignment="1">
      <alignment horizontal="center" wrapText="1"/>
    </xf>
    <xf numFmtId="0" fontId="30" fillId="0" borderId="5" xfId="15" applyFont="1" applyBorder="1" applyAlignment="1">
      <alignment horizontal="center" wrapText="1"/>
    </xf>
    <xf numFmtId="0" fontId="30" fillId="0" borderId="1" xfId="15" applyFont="1" applyBorder="1" applyAlignment="1">
      <alignment horizontal="right" wrapText="1"/>
    </xf>
    <xf numFmtId="0" fontId="30" fillId="0" borderId="12" xfId="15" applyFont="1" applyBorder="1" applyAlignment="1">
      <alignment horizontal="center" wrapText="1"/>
    </xf>
    <xf numFmtId="0" fontId="30" fillId="0" borderId="0" xfId="15" applyFont="1" applyAlignment="1">
      <alignment horizontal="center" wrapText="1"/>
    </xf>
    <xf numFmtId="0" fontId="30" fillId="0" borderId="0" xfId="15" applyFont="1" applyAlignment="1">
      <alignment horizontal="center"/>
    </xf>
    <xf numFmtId="0" fontId="30" fillId="0" borderId="10" xfId="15" applyFont="1" applyBorder="1" applyAlignment="1">
      <alignment horizontal="center"/>
    </xf>
    <xf numFmtId="166" fontId="30" fillId="0" borderId="0" xfId="6" applyNumberFormat="1" applyFont="1" applyBorder="1"/>
    <xf numFmtId="166" fontId="30" fillId="0" borderId="11" xfId="6" applyNumberFormat="1" applyFont="1" applyBorder="1"/>
    <xf numFmtId="0" fontId="9" fillId="0" borderId="0" xfId="15" applyFont="1" applyAlignment="1">
      <alignment horizontal="right"/>
    </xf>
    <xf numFmtId="0" fontId="30" fillId="0" borderId="11" xfId="15" applyFont="1" applyBorder="1" applyAlignment="1">
      <alignment horizontal="center"/>
    </xf>
    <xf numFmtId="166" fontId="30" fillId="0" borderId="11" xfId="6" applyNumberFormat="1" applyFont="1" applyBorder="1" applyAlignment="1">
      <alignment horizontal="center"/>
    </xf>
    <xf numFmtId="166" fontId="29" fillId="0" borderId="0" xfId="6" applyNumberFormat="1" applyFont="1"/>
    <xf numFmtId="0" fontId="30" fillId="0" borderId="0" xfId="15" applyFont="1"/>
    <xf numFmtId="43" fontId="30" fillId="0" borderId="0" xfId="15" applyNumberFormat="1" applyFont="1"/>
    <xf numFmtId="0" fontId="30" fillId="0" borderId="0" xfId="15" applyFont="1" applyBorder="1"/>
    <xf numFmtId="0" fontId="9" fillId="0" borderId="0" xfId="15" applyFont="1" applyBorder="1" applyAlignment="1">
      <alignment horizontal="right"/>
    </xf>
    <xf numFmtId="166" fontId="30" fillId="0" borderId="10" xfId="6" applyNumberFormat="1" applyFont="1" applyBorder="1" applyAlignment="1">
      <alignment horizontal="center"/>
    </xf>
    <xf numFmtId="0" fontId="30" fillId="0" borderId="21" xfId="15" applyFont="1" applyBorder="1"/>
    <xf numFmtId="8" fontId="30" fillId="0" borderId="0" xfId="15" applyNumberFormat="1" applyFont="1" applyBorder="1"/>
    <xf numFmtId="0" fontId="30" fillId="0" borderId="10" xfId="15" applyFont="1" applyBorder="1"/>
    <xf numFmtId="0" fontId="30" fillId="0" borderId="11" xfId="15" applyFont="1" applyBorder="1"/>
    <xf numFmtId="164" fontId="14" fillId="3" borderId="2" xfId="11" applyNumberFormat="1" applyFont="1" applyFill="1" applyBorder="1" applyAlignment="1">
      <alignment horizontal="center"/>
    </xf>
    <xf numFmtId="164" fontId="14" fillId="3" borderId="6" xfId="11" applyNumberFormat="1" applyFont="1" applyFill="1" applyBorder="1" applyAlignment="1">
      <alignment horizontal="center"/>
    </xf>
    <xf numFmtId="0" fontId="14" fillId="10" borderId="10" xfId="10" applyFont="1" applyFill="1" applyBorder="1" applyAlignment="1">
      <alignment horizontal="left" wrapText="1"/>
    </xf>
    <xf numFmtId="0" fontId="14" fillId="10" borderId="0" xfId="10" applyFont="1" applyFill="1" applyBorder="1" applyAlignment="1">
      <alignment horizontal="left" wrapText="1"/>
    </xf>
    <xf numFmtId="0" fontId="14" fillId="10" borderId="11" xfId="10" applyFont="1" applyFill="1" applyBorder="1" applyAlignment="1">
      <alignment horizontal="left" wrapText="1"/>
    </xf>
    <xf numFmtId="0" fontId="13" fillId="0" borderId="0" xfId="10" applyFont="1" applyBorder="1" applyAlignment="1">
      <alignment horizontal="center" vertical="center" wrapText="1"/>
    </xf>
    <xf numFmtId="0" fontId="13" fillId="0" borderId="0" xfId="10" applyFont="1" applyBorder="1" applyAlignment="1">
      <alignment horizontal="center" vertical="center"/>
    </xf>
    <xf numFmtId="164" fontId="14" fillId="3" borderId="8" xfId="11" applyNumberFormat="1" applyFont="1" applyFill="1" applyBorder="1" applyAlignment="1">
      <alignment horizontal="center"/>
    </xf>
    <xf numFmtId="164" fontId="14" fillId="3" borderId="9" xfId="11" applyNumberFormat="1" applyFont="1" applyFill="1" applyBorder="1" applyAlignment="1">
      <alignment horizontal="center"/>
    </xf>
    <xf numFmtId="0" fontId="14" fillId="0" borderId="10" xfId="10" applyFont="1" applyFill="1" applyBorder="1" applyAlignment="1">
      <alignment horizontal="left" wrapText="1"/>
    </xf>
    <xf numFmtId="0" fontId="14" fillId="0" borderId="0" xfId="10" applyFont="1" applyFill="1" applyBorder="1" applyAlignment="1">
      <alignment horizontal="left" wrapText="1"/>
    </xf>
    <xf numFmtId="0" fontId="14" fillId="0" borderId="11" xfId="10" applyFont="1" applyFill="1" applyBorder="1" applyAlignment="1">
      <alignment horizontal="left" wrapText="1"/>
    </xf>
    <xf numFmtId="0" fontId="14" fillId="0" borderId="8" xfId="13" applyFont="1" applyFill="1" applyBorder="1" applyAlignment="1">
      <alignment horizontal="left" wrapText="1"/>
    </xf>
    <xf numFmtId="166" fontId="30" fillId="0" borderId="7" xfId="6" applyNumberFormat="1" applyFont="1" applyBorder="1" applyAlignment="1">
      <alignment horizontal="center" wrapText="1"/>
    </xf>
    <xf numFmtId="166" fontId="30" fillId="0" borderId="9" xfId="6" applyNumberFormat="1" applyFont="1" applyBorder="1" applyAlignment="1">
      <alignment horizontal="center" wrapText="1"/>
    </xf>
    <xf numFmtId="0" fontId="29" fillId="0" borderId="16" xfId="15" applyFont="1" applyBorder="1" applyAlignment="1">
      <alignment horizontal="right" wrapText="1"/>
    </xf>
    <xf numFmtId="0" fontId="29" fillId="0" borderId="17" xfId="15" applyFont="1" applyBorder="1" applyAlignment="1">
      <alignment horizontal="right" wrapText="1"/>
    </xf>
    <xf numFmtId="0" fontId="29" fillId="0" borderId="18" xfId="15" applyFont="1" applyBorder="1" applyAlignment="1">
      <alignment horizontal="right" wrapText="1"/>
    </xf>
    <xf numFmtId="0" fontId="29" fillId="0" borderId="19" xfId="15" applyFont="1" applyBorder="1" applyAlignment="1">
      <alignment horizontal="right" wrapText="1"/>
    </xf>
    <xf numFmtId="0" fontId="29" fillId="0" borderId="0" xfId="15" applyFont="1" applyBorder="1" applyAlignment="1">
      <alignment horizontal="right" wrapText="1"/>
    </xf>
    <xf numFmtId="0" fontId="29" fillId="0" borderId="20" xfId="15" applyFont="1" applyBorder="1" applyAlignment="1">
      <alignment horizontal="right" wrapText="1"/>
    </xf>
    <xf numFmtId="164" fontId="29" fillId="0" borderId="22" xfId="9" applyNumberFormat="1" applyFont="1" applyBorder="1" applyAlignment="1">
      <alignment horizontal="right" vertical="top"/>
    </xf>
    <xf numFmtId="164" fontId="29" fillId="0" borderId="23" xfId="9" applyNumberFormat="1" applyFont="1" applyBorder="1" applyAlignment="1">
      <alignment horizontal="right" vertical="top"/>
    </xf>
    <xf numFmtId="0" fontId="30" fillId="0" borderId="5" xfId="15" applyFont="1" applyBorder="1" applyAlignment="1">
      <alignment horizontal="center" wrapText="1"/>
    </xf>
    <xf numFmtId="0" fontId="30" fillId="0" borderId="12" xfId="15" applyFont="1" applyBorder="1" applyAlignment="1">
      <alignment horizontal="center" wrapText="1"/>
    </xf>
    <xf numFmtId="14" fontId="27" fillId="10" borderId="0" xfId="10" applyNumberFormat="1" applyFont="1" applyFill="1" applyBorder="1"/>
  </cellXfs>
  <cellStyles count="18">
    <cellStyle name="Comma" xfId="17" builtinId="3"/>
    <cellStyle name="Comma 2" xfId="3"/>
    <cellStyle name="Comma 3" xfId="6"/>
    <cellStyle name="Currency 2" xfId="2"/>
    <cellStyle name="Currency 3" xfId="9"/>
    <cellStyle name="Currency 4" xfId="11"/>
    <cellStyle name="Currency 4 2" xfId="14"/>
    <cellStyle name="Hyperlink 2" xfId="8"/>
    <cellStyle name="Hyperlink 3" xfId="16"/>
    <cellStyle name="Normal" xfId="0" builtinId="0"/>
    <cellStyle name="Normal 2" xfId="1"/>
    <cellStyle name="Normal 3" xfId="5"/>
    <cellStyle name="Normal 4" xfId="10"/>
    <cellStyle name="Normal 4 2" xfId="13"/>
    <cellStyle name="Normal 5" xfId="15"/>
    <cellStyle name="Percent" xfId="12" builtinId="5"/>
    <cellStyle name="Percent 2" xfId="4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 Year 1"/>
      <sheetName val="TB Year 2"/>
      <sheetName val="TB Year 3"/>
      <sheetName val="TB Summary"/>
      <sheetName val="Budget Detail"/>
      <sheetName val="Combined Budget"/>
      <sheetName val="Naira Budget"/>
      <sheetName val="Kirlik Budget"/>
      <sheetName val="Bragg Budget"/>
      <sheetName val="UConn Budget"/>
      <sheetName val="Travel Est"/>
      <sheetName val="Summ of Personnel"/>
    </sheetNames>
    <sheetDataSet>
      <sheetData sheetId="0"/>
      <sheetData sheetId="1"/>
      <sheetData sheetId="2"/>
      <sheetData sheetId="3"/>
      <sheetData sheetId="4"/>
      <sheetData sheetId="5">
        <row r="43">
          <cell r="J43">
            <v>31114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H86"/>
  <sheetViews>
    <sheetView topLeftCell="A39" zoomScale="85" zoomScaleNormal="85" zoomScalePageLayoutView="85" workbookViewId="0">
      <selection activeCell="A77" sqref="A77"/>
    </sheetView>
  </sheetViews>
  <sheetFormatPr baseColWidth="10" defaultColWidth="8.83203125" defaultRowHeight="15" x14ac:dyDescent="0"/>
  <cols>
    <col min="1" max="1" width="29.83203125" style="5" customWidth="1"/>
    <col min="2" max="2" width="12.5" style="5" customWidth="1"/>
    <col min="3" max="3" width="16.1640625" style="5" customWidth="1"/>
    <col min="4" max="4" width="20.6640625" style="5" customWidth="1"/>
    <col min="5" max="5" width="6" style="5" customWidth="1"/>
    <col min="6" max="6" width="5.5" style="5" customWidth="1"/>
    <col min="7" max="7" width="11.5" style="5" customWidth="1"/>
    <col min="8" max="8" width="34.5" style="5" bestFit="1" customWidth="1"/>
    <col min="9" max="16384" width="8.83203125" style="5"/>
  </cols>
  <sheetData>
    <row r="1" spans="1:8" ht="32.25" customHeight="1">
      <c r="A1" s="210" t="s">
        <v>127</v>
      </c>
      <c r="B1" s="211"/>
      <c r="C1" s="211"/>
      <c r="D1" s="211"/>
      <c r="E1" s="211"/>
      <c r="F1" s="211"/>
      <c r="G1" s="211"/>
    </row>
    <row r="2" spans="1:8">
      <c r="A2" s="1" t="s">
        <v>9</v>
      </c>
      <c r="B2" s="2"/>
      <c r="C2" s="2"/>
      <c r="D2" s="2"/>
      <c r="E2" s="2"/>
      <c r="F2" s="2"/>
      <c r="G2" s="3"/>
    </row>
    <row r="3" spans="1:8" ht="21.75" customHeight="1">
      <c r="A3" s="4"/>
      <c r="C3" s="30" t="s">
        <v>114</v>
      </c>
      <c r="D3" s="44" t="s">
        <v>10</v>
      </c>
      <c r="G3" s="31"/>
    </row>
    <row r="4" spans="1:8">
      <c r="A4" s="32" t="s">
        <v>130</v>
      </c>
      <c r="F4" s="6"/>
      <c r="G4" s="7"/>
      <c r="H4" s="45"/>
    </row>
    <row r="5" spans="1:8">
      <c r="A5" s="37" t="str">
        <f>'Sub NPS'!C7</f>
        <v>Co-I: Kevin Jones</v>
      </c>
      <c r="C5" s="38" t="s">
        <v>75</v>
      </c>
      <c r="D5" s="10" t="s">
        <v>134</v>
      </c>
      <c r="G5" s="9">
        <f>440*C6</f>
        <v>34218.799999999996</v>
      </c>
    </row>
    <row r="6" spans="1:8">
      <c r="A6" s="37" t="s">
        <v>132</v>
      </c>
      <c r="B6" s="20"/>
      <c r="C6" s="171">
        <v>77.77</v>
      </c>
      <c r="D6" s="69" t="s">
        <v>133</v>
      </c>
      <c r="E6" s="20"/>
      <c r="F6" s="20"/>
      <c r="G6" s="9">
        <f>G5*0.45</f>
        <v>15398.46</v>
      </c>
      <c r="H6" s="20"/>
    </row>
    <row r="7" spans="1:8">
      <c r="B7" s="20"/>
      <c r="C7" s="68"/>
      <c r="D7" s="69"/>
      <c r="E7" s="20"/>
      <c r="F7" s="20"/>
      <c r="G7" s="9"/>
      <c r="H7" s="20"/>
    </row>
    <row r="8" spans="1:8">
      <c r="A8" s="37" t="str">
        <f>'Sub NPS'!C6</f>
        <v>Co-I: Vladimir Dobrokhodov</v>
      </c>
      <c r="B8" s="20"/>
      <c r="C8" s="38" t="s">
        <v>75</v>
      </c>
      <c r="D8" s="10" t="s">
        <v>134</v>
      </c>
      <c r="G8" s="9">
        <f>440*C9</f>
        <v>28375.599999999999</v>
      </c>
      <c r="H8" s="20"/>
    </row>
    <row r="9" spans="1:8">
      <c r="A9" s="37" t="s">
        <v>132</v>
      </c>
      <c r="B9" s="20"/>
      <c r="C9" s="171">
        <v>64.489999999999995</v>
      </c>
      <c r="D9" s="69" t="s">
        <v>133</v>
      </c>
      <c r="E9" s="20"/>
      <c r="F9" s="20"/>
      <c r="G9" s="9">
        <f>G8*0.45</f>
        <v>12769.02</v>
      </c>
      <c r="H9" s="20"/>
    </row>
    <row r="10" spans="1:8">
      <c r="B10" s="20"/>
      <c r="C10" s="68"/>
      <c r="D10" s="69"/>
      <c r="E10" s="20"/>
      <c r="F10" s="21"/>
      <c r="G10" s="9"/>
      <c r="H10" s="20"/>
    </row>
    <row r="11" spans="1:8">
      <c r="A11" s="37" t="str">
        <f>'Sub NPS'!C5</f>
        <v>Co-I: Isaac Kaminer</v>
      </c>
      <c r="B11" s="20"/>
      <c r="C11" s="38" t="s">
        <v>75</v>
      </c>
      <c r="D11" s="10" t="s">
        <v>135</v>
      </c>
      <c r="G11" s="9">
        <f>120*C12</f>
        <v>9480</v>
      </c>
      <c r="H11" s="20"/>
    </row>
    <row r="12" spans="1:8">
      <c r="A12" s="5" t="s">
        <v>131</v>
      </c>
      <c r="B12" s="20"/>
      <c r="C12" s="171">
        <v>79</v>
      </c>
      <c r="D12" s="69" t="s">
        <v>133</v>
      </c>
      <c r="E12" s="20"/>
      <c r="F12" s="20"/>
      <c r="G12" s="9">
        <f>G11*0.45</f>
        <v>4266</v>
      </c>
      <c r="H12" s="20"/>
    </row>
    <row r="13" spans="1:8">
      <c r="A13" s="74"/>
      <c r="B13" s="20"/>
      <c r="C13" s="68"/>
      <c r="D13" s="69"/>
      <c r="E13" s="20"/>
      <c r="F13" s="21"/>
      <c r="G13" s="9"/>
      <c r="H13" s="20"/>
    </row>
    <row r="14" spans="1:8">
      <c r="A14" s="32" t="s">
        <v>172</v>
      </c>
      <c r="B14" s="20"/>
      <c r="C14" s="68"/>
      <c r="D14" s="69"/>
      <c r="E14" s="20"/>
      <c r="F14" s="21"/>
      <c r="G14" s="9"/>
      <c r="H14" s="20"/>
    </row>
    <row r="15" spans="1:8">
      <c r="A15" s="37" t="s">
        <v>173</v>
      </c>
      <c r="B15" s="20"/>
      <c r="C15" s="69" t="s">
        <v>175</v>
      </c>
      <c r="E15" s="20"/>
      <c r="F15" s="21"/>
      <c r="G15" s="9">
        <v>0</v>
      </c>
      <c r="H15" s="20"/>
    </row>
    <row r="16" spans="1:8">
      <c r="A16" s="37" t="s">
        <v>174</v>
      </c>
      <c r="B16" s="20"/>
      <c r="C16" s="68"/>
      <c r="D16" s="69"/>
      <c r="E16" s="20"/>
      <c r="F16" s="21"/>
      <c r="G16" s="9"/>
      <c r="H16" s="20"/>
    </row>
    <row r="17" spans="1:8">
      <c r="A17" s="74"/>
      <c r="B17" s="20"/>
      <c r="C17" s="68"/>
      <c r="D17" s="69"/>
      <c r="E17" s="20"/>
      <c r="F17" s="21"/>
      <c r="G17" s="9"/>
      <c r="H17" s="20"/>
    </row>
    <row r="18" spans="1:8" ht="45.75" customHeight="1">
      <c r="A18" s="207" t="s">
        <v>177</v>
      </c>
      <c r="B18" s="208"/>
      <c r="C18" s="208"/>
      <c r="D18" s="208"/>
      <c r="E18" s="208"/>
      <c r="F18" s="208"/>
      <c r="G18" s="209"/>
    </row>
    <row r="19" spans="1:8" ht="45.75" customHeight="1">
      <c r="A19" s="207" t="s">
        <v>176</v>
      </c>
      <c r="B19" s="208"/>
      <c r="C19" s="208"/>
      <c r="D19" s="208"/>
      <c r="E19" s="208"/>
      <c r="F19" s="208"/>
      <c r="G19" s="209"/>
    </row>
    <row r="20" spans="1:8">
      <c r="A20" s="75"/>
      <c r="B20" s="20"/>
      <c r="C20" s="20"/>
      <c r="D20" s="20"/>
      <c r="E20" s="20"/>
      <c r="F20" s="41" t="s">
        <v>6</v>
      </c>
      <c r="G20" s="172">
        <f>SUM(G5:G12)</f>
        <v>104507.87999999999</v>
      </c>
    </row>
    <row r="21" spans="1:8">
      <c r="A21" s="16"/>
      <c r="B21" s="17"/>
      <c r="C21" s="17"/>
      <c r="D21" s="17"/>
      <c r="E21" s="17"/>
      <c r="F21" s="17"/>
      <c r="G21" s="18"/>
    </row>
    <row r="22" spans="1:8" ht="38.25" customHeight="1">
      <c r="A22" s="210" t="str">
        <f>A1</f>
        <v>Subaward NAVAL POSTGRADUATE SCHOOL (NPS)_x000D_Year 1:  07/01/2014 - 06/30/2015</v>
      </c>
      <c r="B22" s="211"/>
      <c r="C22" s="211"/>
      <c r="D22" s="211"/>
      <c r="E22" s="211"/>
      <c r="F22" s="211"/>
      <c r="G22" s="211"/>
    </row>
    <row r="23" spans="1:8">
      <c r="A23" s="1" t="s">
        <v>11</v>
      </c>
      <c r="B23" s="2"/>
      <c r="C23" s="2"/>
      <c r="D23" s="2"/>
      <c r="E23" s="2"/>
      <c r="F23" s="2"/>
      <c r="G23" s="3"/>
    </row>
    <row r="24" spans="1:8">
      <c r="A24" s="19" t="s">
        <v>44</v>
      </c>
      <c r="B24" s="20"/>
      <c r="C24" s="20"/>
      <c r="D24" s="20"/>
      <c r="E24" s="20"/>
      <c r="F24" s="20"/>
      <c r="G24" s="9">
        <f>'Sub NPS'!G55</f>
        <v>0</v>
      </c>
    </row>
    <row r="25" spans="1:8">
      <c r="A25" s="19" t="s">
        <v>23</v>
      </c>
      <c r="B25" s="20"/>
      <c r="C25" s="20"/>
      <c r="D25" s="20"/>
      <c r="E25" s="20"/>
      <c r="F25" s="20"/>
      <c r="G25" s="9">
        <f>'Sub NPS'!G53</f>
        <v>0</v>
      </c>
    </row>
    <row r="26" spans="1:8">
      <c r="A26" s="19" t="s">
        <v>35</v>
      </c>
      <c r="B26" s="20"/>
      <c r="C26" s="20"/>
      <c r="D26" s="20"/>
      <c r="E26" s="20"/>
      <c r="F26" s="20"/>
      <c r="G26" s="9">
        <f>'Sub NPS'!G41</f>
        <v>0</v>
      </c>
    </row>
    <row r="27" spans="1:8" s="20" customFormat="1">
      <c r="A27" s="19" t="s">
        <v>24</v>
      </c>
      <c r="G27" s="9">
        <f>'Sub NPS'!G51</f>
        <v>7600</v>
      </c>
    </row>
    <row r="28" spans="1:8" s="20" customFormat="1">
      <c r="A28" s="19" t="s">
        <v>142</v>
      </c>
      <c r="G28" s="9">
        <f>'Sub NPS'!G44</f>
        <v>10000</v>
      </c>
    </row>
    <row r="29" spans="1:8" s="20" customFormat="1">
      <c r="A29" s="19" t="s">
        <v>12</v>
      </c>
      <c r="G29" s="9"/>
    </row>
    <row r="30" spans="1:8" s="20" customFormat="1">
      <c r="A30" s="19" t="s">
        <v>36</v>
      </c>
      <c r="G30" s="9"/>
    </row>
    <row r="31" spans="1:8" s="20" customFormat="1">
      <c r="A31" s="19" t="s">
        <v>116</v>
      </c>
      <c r="G31" s="9"/>
    </row>
    <row r="32" spans="1:8" s="20" customFormat="1">
      <c r="A32" s="70" t="s">
        <v>139</v>
      </c>
      <c r="C32" s="39" t="s">
        <v>117</v>
      </c>
      <c r="D32" s="39"/>
      <c r="G32" s="9"/>
    </row>
    <row r="33" spans="1:8" s="20" customFormat="1">
      <c r="A33" s="70" t="s">
        <v>13</v>
      </c>
      <c r="B33" s="21">
        <v>450</v>
      </c>
      <c r="C33" s="20" t="s">
        <v>41</v>
      </c>
      <c r="G33" s="9"/>
    </row>
    <row r="34" spans="1:8" s="20" customFormat="1">
      <c r="A34" s="70" t="s">
        <v>14</v>
      </c>
      <c r="B34" s="21">
        <f>110*2</f>
        <v>220</v>
      </c>
      <c r="C34" s="20" t="s">
        <v>147</v>
      </c>
      <c r="G34" s="9"/>
    </row>
    <row r="35" spans="1:8" s="20" customFormat="1">
      <c r="A35" s="70" t="s">
        <v>15</v>
      </c>
      <c r="B35" s="21">
        <v>96</v>
      </c>
      <c r="C35" s="20" t="s">
        <v>148</v>
      </c>
      <c r="G35" s="9"/>
    </row>
    <row r="36" spans="1:8" s="20" customFormat="1" ht="18">
      <c r="A36" s="70" t="s">
        <v>37</v>
      </c>
      <c r="B36" s="71">
        <v>37</v>
      </c>
      <c r="C36" s="20" t="s">
        <v>41</v>
      </c>
      <c r="G36" s="9"/>
    </row>
    <row r="37" spans="1:8" s="20" customFormat="1">
      <c r="A37" s="19" t="s">
        <v>16</v>
      </c>
      <c r="B37" s="21">
        <f>SUM(B33:B36)</f>
        <v>803</v>
      </c>
      <c r="G37" s="23"/>
    </row>
    <row r="38" spans="1:8" s="20" customFormat="1">
      <c r="A38" s="19" t="s">
        <v>39</v>
      </c>
      <c r="B38" s="72">
        <v>145</v>
      </c>
      <c r="C38" s="20" t="s">
        <v>41</v>
      </c>
      <c r="G38" s="23"/>
    </row>
    <row r="39" spans="1:8" s="20" customFormat="1">
      <c r="A39" s="19" t="s">
        <v>40</v>
      </c>
      <c r="B39" s="21">
        <f>B37*3+B38</f>
        <v>2554</v>
      </c>
      <c r="G39" s="23"/>
    </row>
    <row r="40" spans="1:8" s="20" customFormat="1" ht="16" thickBot="1">
      <c r="A40" s="19" t="s">
        <v>38</v>
      </c>
      <c r="B40" s="73">
        <f>B39*2</f>
        <v>5108</v>
      </c>
      <c r="G40" s="23"/>
      <c r="H40" s="176">
        <f>G28-B40-B54</f>
        <v>0</v>
      </c>
    </row>
    <row r="41" spans="1:8" s="20" customFormat="1">
      <c r="A41" s="19"/>
      <c r="G41" s="23"/>
    </row>
    <row r="42" spans="1:8" s="20" customFormat="1">
      <c r="A42" s="19" t="s">
        <v>140</v>
      </c>
      <c r="G42" s="9"/>
    </row>
    <row r="43" spans="1:8" s="20" customFormat="1">
      <c r="A43" s="19" t="s">
        <v>141</v>
      </c>
      <c r="G43" s="9"/>
    </row>
    <row r="44" spans="1:8" s="20" customFormat="1">
      <c r="A44" s="19" t="s">
        <v>118</v>
      </c>
      <c r="G44" s="9"/>
    </row>
    <row r="45" spans="1:8" s="20" customFormat="1">
      <c r="A45" s="19" t="s">
        <v>119</v>
      </c>
      <c r="G45" s="9"/>
    </row>
    <row r="46" spans="1:8" s="20" customFormat="1">
      <c r="A46" s="70" t="str">
        <f>A32</f>
        <v xml:space="preserve">   Departure City: Monterey, CA</v>
      </c>
      <c r="C46" s="39" t="s">
        <v>120</v>
      </c>
      <c r="D46" s="39"/>
      <c r="G46" s="9"/>
    </row>
    <row r="47" spans="1:8" s="20" customFormat="1">
      <c r="A47" s="70" t="s">
        <v>13</v>
      </c>
      <c r="B47" s="21">
        <v>450</v>
      </c>
      <c r="C47" s="20" t="s">
        <v>41</v>
      </c>
      <c r="G47" s="9"/>
    </row>
    <row r="48" spans="1:8" s="20" customFormat="1">
      <c r="A48" s="70" t="s">
        <v>14</v>
      </c>
      <c r="B48" s="21">
        <f>3*110</f>
        <v>330</v>
      </c>
      <c r="C48" s="20" t="s">
        <v>147</v>
      </c>
      <c r="G48" s="9"/>
    </row>
    <row r="49" spans="1:7" s="20" customFormat="1">
      <c r="A49" s="70" t="s">
        <v>15</v>
      </c>
      <c r="B49" s="21">
        <v>128</v>
      </c>
      <c r="C49" s="20" t="s">
        <v>148</v>
      </c>
      <c r="G49" s="9"/>
    </row>
    <row r="50" spans="1:7" s="20" customFormat="1" ht="18">
      <c r="A50" s="70" t="s">
        <v>143</v>
      </c>
      <c r="B50" s="71">
        <v>1465</v>
      </c>
      <c r="C50" s="20" t="s">
        <v>146</v>
      </c>
      <c r="G50" s="9"/>
    </row>
    <row r="51" spans="1:7" s="20" customFormat="1">
      <c r="A51" s="19" t="s">
        <v>16</v>
      </c>
      <c r="B51" s="21">
        <f>SUM(B47:B50)</f>
        <v>2373</v>
      </c>
      <c r="G51" s="23"/>
    </row>
    <row r="52" spans="1:7" s="20" customFormat="1">
      <c r="A52" s="19" t="s">
        <v>39</v>
      </c>
      <c r="B52" s="72">
        <v>146</v>
      </c>
      <c r="C52" s="20" t="s">
        <v>41</v>
      </c>
      <c r="G52" s="23"/>
    </row>
    <row r="53" spans="1:7" s="20" customFormat="1">
      <c r="A53" s="19" t="s">
        <v>40</v>
      </c>
      <c r="B53" s="21">
        <f>B51*2+B52</f>
        <v>4892</v>
      </c>
      <c r="G53" s="23"/>
    </row>
    <row r="54" spans="1:7" s="20" customFormat="1" ht="16" thickBot="1">
      <c r="A54" s="19" t="s">
        <v>38</v>
      </c>
      <c r="B54" s="73">
        <f>B53*1</f>
        <v>4892</v>
      </c>
      <c r="G54" s="23"/>
    </row>
    <row r="55" spans="1:7" s="20" customFormat="1">
      <c r="A55" s="19"/>
      <c r="B55" s="21"/>
      <c r="G55" s="23"/>
    </row>
    <row r="56" spans="1:7">
      <c r="A56" s="19" t="s">
        <v>17</v>
      </c>
      <c r="B56" s="20"/>
      <c r="C56" s="20"/>
      <c r="D56" s="20"/>
      <c r="E56" s="20"/>
      <c r="G56" s="22"/>
    </row>
    <row r="57" spans="1:7">
      <c r="A57" s="75" t="s">
        <v>3</v>
      </c>
      <c r="B57" s="20"/>
      <c r="C57" s="20"/>
      <c r="D57" s="20"/>
      <c r="E57" s="20"/>
      <c r="G57" s="15">
        <f>'Sub NPS'!G52</f>
        <v>1000</v>
      </c>
    </row>
    <row r="58" spans="1:7">
      <c r="A58" s="29" t="s">
        <v>8</v>
      </c>
      <c r="G58" s="15">
        <f>'Sub NPS'!G54</f>
        <v>0</v>
      </c>
    </row>
    <row r="59" spans="1:7">
      <c r="A59" s="29" t="s">
        <v>115</v>
      </c>
      <c r="G59" s="15">
        <f>'Sub NPS'!G59</f>
        <v>0</v>
      </c>
    </row>
    <row r="60" spans="1:7">
      <c r="A60" s="29" t="s">
        <v>45</v>
      </c>
      <c r="G60" s="23">
        <f>'Sub NPS'!G60</f>
        <v>0</v>
      </c>
    </row>
    <row r="61" spans="1:7">
      <c r="A61" s="4"/>
      <c r="G61" s="23"/>
    </row>
    <row r="62" spans="1:7">
      <c r="A62" s="4" t="s">
        <v>7</v>
      </c>
      <c r="F62" s="14" t="s">
        <v>6</v>
      </c>
      <c r="G62" s="22">
        <f>SUM(G24:G60)</f>
        <v>18600</v>
      </c>
    </row>
    <row r="63" spans="1:7">
      <c r="A63" s="16" t="s">
        <v>7</v>
      </c>
      <c r="B63" s="17"/>
      <c r="C63" s="17"/>
      <c r="D63" s="17"/>
      <c r="E63" s="17"/>
      <c r="F63" s="17"/>
      <c r="G63" s="18"/>
    </row>
    <row r="64" spans="1:7" ht="42" customHeight="1">
      <c r="A64" s="210" t="str">
        <f>A1</f>
        <v>Subaward NAVAL POSTGRADUATE SCHOOL (NPS)_x000D_Year 1:  07/01/2014 - 06/30/2015</v>
      </c>
      <c r="B64" s="211"/>
      <c r="C64" s="211"/>
      <c r="D64" s="211"/>
      <c r="E64" s="211"/>
      <c r="F64" s="211"/>
      <c r="G64" s="211"/>
    </row>
    <row r="65" spans="1:7">
      <c r="A65" s="1" t="s">
        <v>18</v>
      </c>
      <c r="B65" s="2"/>
      <c r="C65" s="2"/>
      <c r="D65" s="2"/>
      <c r="E65" s="2"/>
      <c r="F65" s="2"/>
      <c r="G65" s="3"/>
    </row>
    <row r="66" spans="1:7">
      <c r="A66" s="173" t="s">
        <v>136</v>
      </c>
      <c r="B66" s="5" t="s">
        <v>19</v>
      </c>
      <c r="C66" s="230">
        <v>41284</v>
      </c>
      <c r="D66" s="20"/>
      <c r="G66" s="13"/>
    </row>
    <row r="67" spans="1:7">
      <c r="A67" s="4" t="s">
        <v>137</v>
      </c>
      <c r="D67" s="46"/>
      <c r="G67" s="13"/>
    </row>
    <row r="68" spans="1:7">
      <c r="A68" s="4"/>
      <c r="C68" s="14" t="s">
        <v>138</v>
      </c>
      <c r="D68" s="174">
        <f>440+440+120</f>
        <v>1000</v>
      </c>
      <c r="G68" s="13"/>
    </row>
    <row r="69" spans="1:7">
      <c r="A69" s="4"/>
      <c r="D69" s="20"/>
      <c r="G69" s="13"/>
    </row>
    <row r="70" spans="1:7">
      <c r="A70" s="77" t="s">
        <v>20</v>
      </c>
      <c r="C70" s="14"/>
      <c r="D70" s="67"/>
      <c r="G70" s="13"/>
    </row>
    <row r="71" spans="1:7">
      <c r="A71" s="177" t="s">
        <v>178</v>
      </c>
      <c r="B71" s="20"/>
      <c r="G71" s="13"/>
    </row>
    <row r="72" spans="1:7">
      <c r="A72" s="177" t="s">
        <v>179</v>
      </c>
      <c r="B72" s="20"/>
      <c r="C72" s="20"/>
      <c r="D72" s="20"/>
      <c r="E72" s="20"/>
      <c r="F72" s="20"/>
      <c r="G72" s="11"/>
    </row>
    <row r="73" spans="1:7">
      <c r="A73" s="177" t="s">
        <v>180</v>
      </c>
      <c r="B73" s="20"/>
      <c r="C73" s="20"/>
      <c r="D73" s="20"/>
      <c r="E73" s="20"/>
      <c r="F73" s="20"/>
      <c r="G73" s="11"/>
    </row>
    <row r="74" spans="1:7">
      <c r="A74" s="177" t="s">
        <v>181</v>
      </c>
      <c r="B74" s="20"/>
      <c r="C74" s="20"/>
      <c r="D74" s="20"/>
      <c r="E74" s="20"/>
      <c r="F74" s="20"/>
      <c r="G74" s="11"/>
    </row>
    <row r="75" spans="1:7">
      <c r="A75" s="177" t="s">
        <v>182</v>
      </c>
      <c r="B75" s="20"/>
      <c r="C75" s="20"/>
      <c r="D75" s="20"/>
      <c r="E75" s="20"/>
      <c r="F75" s="20"/>
      <c r="G75" s="11"/>
    </row>
    <row r="76" spans="1:7">
      <c r="A76" s="5" t="s">
        <v>183</v>
      </c>
      <c r="B76" s="20"/>
      <c r="C76" s="20"/>
      <c r="D76" s="20"/>
      <c r="E76" s="20"/>
      <c r="G76" s="13"/>
    </row>
    <row r="77" spans="1:7">
      <c r="A77" s="42"/>
      <c r="B77" s="43"/>
      <c r="C77" s="43"/>
      <c r="D77" s="43"/>
      <c r="E77" s="43"/>
      <c r="F77" s="41" t="s">
        <v>6</v>
      </c>
      <c r="G77" s="9">
        <f>D68*26.24</f>
        <v>26240</v>
      </c>
    </row>
    <row r="78" spans="1:7">
      <c r="A78" s="53"/>
      <c r="B78" s="54"/>
      <c r="C78" s="54"/>
      <c r="D78" s="54"/>
      <c r="E78" s="54"/>
      <c r="F78" s="27"/>
      <c r="G78" s="12"/>
    </row>
    <row r="79" spans="1:7">
      <c r="A79" s="20"/>
      <c r="B79" s="20"/>
      <c r="C79" s="20"/>
      <c r="D79" s="20"/>
      <c r="E79" s="20"/>
      <c r="F79" s="41"/>
      <c r="G79" s="47"/>
    </row>
    <row r="80" spans="1:7">
      <c r="A80" s="1" t="s">
        <v>129</v>
      </c>
      <c r="B80" s="2"/>
      <c r="C80" s="2"/>
      <c r="D80" s="2"/>
      <c r="E80" s="2"/>
      <c r="F80" s="2"/>
      <c r="G80" s="175">
        <f>'Sub NPS'!G61</f>
        <v>158.24</v>
      </c>
    </row>
    <row r="81" spans="1:7" s="20" customFormat="1">
      <c r="G81" s="21"/>
    </row>
    <row r="82" spans="1:7">
      <c r="A82" s="50" t="s">
        <v>21</v>
      </c>
      <c r="B82" s="51"/>
      <c r="C82" s="51"/>
      <c r="D82" s="51"/>
      <c r="E82" s="51"/>
      <c r="F82" s="212">
        <f>G20+G62+G77+G80</f>
        <v>149506.12</v>
      </c>
      <c r="G82" s="213"/>
    </row>
    <row r="83" spans="1:7" s="20" customFormat="1">
      <c r="A83" s="19"/>
      <c r="G83" s="52"/>
    </row>
    <row r="84" spans="1:7" s="20" customFormat="1">
      <c r="A84" s="25"/>
      <c r="B84" s="26"/>
      <c r="C84" s="26"/>
      <c r="D84" s="26"/>
      <c r="E84" s="26"/>
      <c r="F84" s="27" t="s">
        <v>22</v>
      </c>
      <c r="G84" s="28">
        <v>0</v>
      </c>
    </row>
    <row r="86" spans="1:7">
      <c r="A86" s="1" t="s">
        <v>27</v>
      </c>
      <c r="B86" s="2"/>
      <c r="C86" s="2"/>
      <c r="D86" s="2"/>
      <c r="E86" s="2"/>
      <c r="F86" s="205">
        <f>F82-G84</f>
        <v>149506.12</v>
      </c>
      <c r="G86" s="206"/>
    </row>
  </sheetData>
  <mergeCells count="7">
    <mergeCell ref="F86:G86"/>
    <mergeCell ref="A18:G18"/>
    <mergeCell ref="A1:G1"/>
    <mergeCell ref="A64:G64"/>
    <mergeCell ref="A22:G22"/>
    <mergeCell ref="F82:G82"/>
    <mergeCell ref="A19:G19"/>
  </mergeCells>
  <pageMargins left="1" right="1" top="1" bottom="1" header="0.5" footer="0.5"/>
  <pageSetup scale="83" fitToHeight="3" orientation="portrait"/>
  <rowBreaks count="2" manualBreakCount="2">
    <brk id="21" max="16383" man="1"/>
    <brk id="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H86"/>
  <sheetViews>
    <sheetView topLeftCell="A47" zoomScale="85" zoomScaleNormal="85" zoomScalePageLayoutView="85" workbookViewId="0">
      <selection activeCell="A9" sqref="A9"/>
    </sheetView>
  </sheetViews>
  <sheetFormatPr baseColWidth="10" defaultColWidth="8.83203125" defaultRowHeight="15" x14ac:dyDescent="0"/>
  <cols>
    <col min="1" max="1" width="29.83203125" style="5" customWidth="1"/>
    <col min="2" max="2" width="12.5" style="5" customWidth="1"/>
    <col min="3" max="3" width="16.1640625" style="5" customWidth="1"/>
    <col min="4" max="4" width="20.6640625" style="5" customWidth="1"/>
    <col min="5" max="5" width="6" style="5" customWidth="1"/>
    <col min="6" max="6" width="5.5" style="5" customWidth="1"/>
    <col min="7" max="7" width="11.5" style="5" customWidth="1"/>
    <col min="8" max="8" width="34.5" style="5" bestFit="1" customWidth="1"/>
    <col min="9" max="16384" width="8.83203125" style="5"/>
  </cols>
  <sheetData>
    <row r="1" spans="1:8" ht="32.25" customHeight="1">
      <c r="A1" s="210" t="s">
        <v>144</v>
      </c>
      <c r="B1" s="211"/>
      <c r="C1" s="211"/>
      <c r="D1" s="211"/>
      <c r="E1" s="211"/>
      <c r="F1" s="211"/>
      <c r="G1" s="211"/>
    </row>
    <row r="2" spans="1:8">
      <c r="A2" s="1" t="s">
        <v>9</v>
      </c>
      <c r="B2" s="2"/>
      <c r="C2" s="2"/>
      <c r="D2" s="2"/>
      <c r="E2" s="2"/>
      <c r="F2" s="2"/>
      <c r="G2" s="3"/>
    </row>
    <row r="3" spans="1:8" ht="21.75" customHeight="1">
      <c r="A3" s="4"/>
      <c r="C3" s="30" t="s">
        <v>121</v>
      </c>
      <c r="D3" s="44" t="s">
        <v>10</v>
      </c>
      <c r="G3" s="31"/>
    </row>
    <row r="4" spans="1:8">
      <c r="A4" s="32" t="s">
        <v>130</v>
      </c>
      <c r="F4" s="6"/>
      <c r="G4" s="7"/>
      <c r="H4" s="45"/>
    </row>
    <row r="5" spans="1:8">
      <c r="A5" s="37" t="str">
        <f>'Sub NPS'!C7</f>
        <v>Co-I: Kevin Jones</v>
      </c>
      <c r="C5" s="38" t="s">
        <v>75</v>
      </c>
      <c r="D5" s="10" t="s">
        <v>134</v>
      </c>
      <c r="G5" s="9">
        <f>440*C6</f>
        <v>34218.799999999996</v>
      </c>
    </row>
    <row r="6" spans="1:8">
      <c r="A6" s="37" t="s">
        <v>132</v>
      </c>
      <c r="B6" s="20"/>
      <c r="C6" s="171">
        <v>77.77</v>
      </c>
      <c r="D6" s="69" t="s">
        <v>133</v>
      </c>
      <c r="E6" s="20"/>
      <c r="F6" s="20"/>
      <c r="G6" s="9">
        <f>G5*0.45</f>
        <v>15398.46</v>
      </c>
      <c r="H6" s="20"/>
    </row>
    <row r="7" spans="1:8">
      <c r="B7" s="20"/>
      <c r="C7" s="68"/>
      <c r="D7" s="69"/>
      <c r="E7" s="20"/>
      <c r="F7" s="20"/>
      <c r="G7" s="9"/>
      <c r="H7" s="20"/>
    </row>
    <row r="8" spans="1:8">
      <c r="A8" s="37" t="str">
        <f>'Sub NPS'!C6</f>
        <v>Co-I: Vladimir Dobrokhodov</v>
      </c>
      <c r="B8" s="20"/>
      <c r="C8" s="38" t="s">
        <v>75</v>
      </c>
      <c r="D8" s="10" t="s">
        <v>134</v>
      </c>
      <c r="G8" s="9">
        <f>440*C9</f>
        <v>28375.599999999999</v>
      </c>
      <c r="H8" s="20"/>
    </row>
    <row r="9" spans="1:8">
      <c r="A9" s="37" t="s">
        <v>132</v>
      </c>
      <c r="B9" s="20"/>
      <c r="C9" s="171">
        <v>64.489999999999995</v>
      </c>
      <c r="D9" s="69" t="s">
        <v>133</v>
      </c>
      <c r="E9" s="20"/>
      <c r="F9" s="20"/>
      <c r="G9" s="9">
        <f>G8*0.45</f>
        <v>12769.02</v>
      </c>
      <c r="H9" s="20"/>
    </row>
    <row r="10" spans="1:8">
      <c r="B10" s="20"/>
      <c r="C10" s="68"/>
      <c r="D10" s="69"/>
      <c r="E10" s="20"/>
      <c r="F10" s="21"/>
      <c r="G10" s="9"/>
      <c r="H10" s="20"/>
    </row>
    <row r="11" spans="1:8">
      <c r="A11" s="37" t="str">
        <f>'Sub NPS'!C5</f>
        <v>Co-I: Isaac Kaminer</v>
      </c>
      <c r="B11" s="20"/>
      <c r="C11" s="38" t="s">
        <v>75</v>
      </c>
      <c r="D11" s="10" t="s">
        <v>135</v>
      </c>
      <c r="G11" s="9">
        <f>120*C12</f>
        <v>9480</v>
      </c>
      <c r="H11" s="20"/>
    </row>
    <row r="12" spans="1:8">
      <c r="A12" s="5" t="s">
        <v>131</v>
      </c>
      <c r="B12" s="20"/>
      <c r="C12" s="171">
        <v>79</v>
      </c>
      <c r="D12" s="69" t="s">
        <v>133</v>
      </c>
      <c r="E12" s="20"/>
      <c r="F12" s="20"/>
      <c r="G12" s="9">
        <f>G11*0.45</f>
        <v>4266</v>
      </c>
      <c r="H12" s="20"/>
    </row>
    <row r="13" spans="1:8">
      <c r="A13" s="74"/>
      <c r="B13" s="20"/>
      <c r="C13" s="68"/>
      <c r="D13" s="69"/>
      <c r="E13" s="20"/>
      <c r="F13" s="21"/>
      <c r="G13" s="9"/>
      <c r="H13" s="20"/>
    </row>
    <row r="14" spans="1:8">
      <c r="A14" s="32" t="s">
        <v>172</v>
      </c>
      <c r="B14" s="20"/>
      <c r="C14" s="68"/>
      <c r="D14" s="69"/>
      <c r="E14" s="20"/>
      <c r="F14" s="21"/>
      <c r="G14" s="9"/>
      <c r="H14" s="20"/>
    </row>
    <row r="15" spans="1:8">
      <c r="A15" s="37" t="s">
        <v>173</v>
      </c>
      <c r="B15" s="20"/>
      <c r="C15" s="69" t="s">
        <v>175</v>
      </c>
      <c r="E15" s="20"/>
      <c r="F15" s="21"/>
      <c r="G15" s="9">
        <v>0</v>
      </c>
      <c r="H15" s="20"/>
    </row>
    <row r="16" spans="1:8">
      <c r="A16" s="37" t="s">
        <v>174</v>
      </c>
      <c r="B16" s="20"/>
      <c r="C16" s="68"/>
      <c r="D16" s="69"/>
      <c r="E16" s="20"/>
      <c r="F16" s="21"/>
      <c r="G16" s="9"/>
      <c r="H16" s="20"/>
    </row>
    <row r="17" spans="1:8">
      <c r="A17" s="74"/>
      <c r="B17" s="20"/>
      <c r="C17" s="68"/>
      <c r="D17" s="69"/>
      <c r="E17" s="20"/>
      <c r="F17" s="21"/>
      <c r="G17" s="9"/>
      <c r="H17" s="20"/>
    </row>
    <row r="18" spans="1:8" ht="45.75" customHeight="1">
      <c r="A18" s="214" t="str">
        <f>'TB Year 1'!A18:G18</f>
        <v>1 - Fringe benefits are charged at a rate of 45.00% on faculty salaries.  Benefits include paid annual leave, health(medical and dental) insurance, TSP matching.</v>
      </c>
      <c r="B18" s="215"/>
      <c r="C18" s="215"/>
      <c r="D18" s="215"/>
      <c r="E18" s="215"/>
      <c r="F18" s="215"/>
      <c r="G18" s="216"/>
    </row>
    <row r="19" spans="1:8" ht="45.75" customHeight="1">
      <c r="A19" s="214" t="s">
        <v>176</v>
      </c>
      <c r="B19" s="215"/>
      <c r="C19" s="215"/>
      <c r="D19" s="215"/>
      <c r="E19" s="215"/>
      <c r="F19" s="215"/>
      <c r="G19" s="216"/>
    </row>
    <row r="20" spans="1:8">
      <c r="A20" s="75"/>
      <c r="B20" s="20"/>
      <c r="C20" s="20"/>
      <c r="D20" s="20"/>
      <c r="E20" s="20"/>
      <c r="F20" s="41" t="s">
        <v>6</v>
      </c>
      <c r="G20" s="172">
        <f>SUM(G5:G12)</f>
        <v>104507.87999999999</v>
      </c>
    </row>
    <row r="21" spans="1:8">
      <c r="A21" s="16"/>
      <c r="B21" s="17"/>
      <c r="C21" s="17"/>
      <c r="D21" s="17"/>
      <c r="E21" s="17"/>
      <c r="F21" s="17"/>
      <c r="G21" s="18"/>
    </row>
    <row r="22" spans="1:8" ht="38.25" customHeight="1">
      <c r="A22" s="210" t="str">
        <f>A1</f>
        <v>Subaward NAVAL POSTGRADUATE SCHOOL (NPS)_x000D_Year 2:  07/01/2015 - 06/30/2016</v>
      </c>
      <c r="B22" s="211"/>
      <c r="C22" s="211"/>
      <c r="D22" s="211"/>
      <c r="E22" s="211"/>
      <c r="F22" s="211"/>
      <c r="G22" s="211"/>
    </row>
    <row r="23" spans="1:8">
      <c r="A23" s="1" t="s">
        <v>11</v>
      </c>
      <c r="B23" s="2"/>
      <c r="C23" s="2"/>
      <c r="D23" s="2"/>
      <c r="E23" s="2"/>
      <c r="F23" s="2"/>
      <c r="G23" s="3"/>
    </row>
    <row r="24" spans="1:8">
      <c r="A24" s="19" t="s">
        <v>44</v>
      </c>
      <c r="B24" s="20"/>
      <c r="C24" s="20"/>
      <c r="D24" s="20"/>
      <c r="E24" s="20"/>
      <c r="F24" s="20"/>
      <c r="G24" s="9">
        <f>'Sub NPS'!G55</f>
        <v>0</v>
      </c>
    </row>
    <row r="25" spans="1:8">
      <c r="A25" s="19" t="s">
        <v>23</v>
      </c>
      <c r="B25" s="20"/>
      <c r="C25" s="20"/>
      <c r="D25" s="20"/>
      <c r="E25" s="20"/>
      <c r="F25" s="20"/>
      <c r="G25" s="9">
        <f>'Sub NPS'!G53</f>
        <v>0</v>
      </c>
    </row>
    <row r="26" spans="1:8">
      <c r="A26" s="19" t="s">
        <v>35</v>
      </c>
      <c r="B26" s="20"/>
      <c r="C26" s="20"/>
      <c r="D26" s="20"/>
      <c r="E26" s="20"/>
      <c r="F26" s="20"/>
      <c r="G26" s="9">
        <f>'Sub NPS'!G41</f>
        <v>0</v>
      </c>
    </row>
    <row r="27" spans="1:8" s="20" customFormat="1">
      <c r="A27" s="19" t="s">
        <v>24</v>
      </c>
      <c r="G27" s="9">
        <f>'Sub NPS'!G51</f>
        <v>7600</v>
      </c>
    </row>
    <row r="28" spans="1:8" s="20" customFormat="1">
      <c r="A28" s="19" t="s">
        <v>142</v>
      </c>
      <c r="G28" s="9">
        <f>'Sub NPS'!G44</f>
        <v>10000</v>
      </c>
    </row>
    <row r="29" spans="1:8" s="20" customFormat="1">
      <c r="A29" s="19" t="s">
        <v>12</v>
      </c>
      <c r="G29" s="9"/>
    </row>
    <row r="30" spans="1:8" s="20" customFormat="1">
      <c r="A30" s="19" t="s">
        <v>36</v>
      </c>
      <c r="G30" s="9"/>
    </row>
    <row r="31" spans="1:8" s="20" customFormat="1">
      <c r="A31" s="19" t="s">
        <v>116</v>
      </c>
      <c r="G31" s="9"/>
    </row>
    <row r="32" spans="1:8" s="20" customFormat="1">
      <c r="A32" s="70" t="s">
        <v>139</v>
      </c>
      <c r="C32" s="39" t="s">
        <v>117</v>
      </c>
      <c r="D32" s="39"/>
      <c r="G32" s="9"/>
    </row>
    <row r="33" spans="1:8" s="20" customFormat="1">
      <c r="A33" s="70" t="s">
        <v>13</v>
      </c>
      <c r="B33" s="21">
        <v>450</v>
      </c>
      <c r="C33" s="20" t="s">
        <v>41</v>
      </c>
      <c r="G33" s="9"/>
    </row>
    <row r="34" spans="1:8" s="20" customFormat="1">
      <c r="A34" s="70" t="s">
        <v>14</v>
      </c>
      <c r="B34" s="21">
        <f>110*2</f>
        <v>220</v>
      </c>
      <c r="C34" s="20" t="s">
        <v>147</v>
      </c>
      <c r="G34" s="9"/>
    </row>
    <row r="35" spans="1:8" s="20" customFormat="1">
      <c r="A35" s="70" t="s">
        <v>15</v>
      </c>
      <c r="B35" s="21">
        <v>96</v>
      </c>
      <c r="C35" s="20" t="s">
        <v>148</v>
      </c>
      <c r="G35" s="9"/>
    </row>
    <row r="36" spans="1:8" s="20" customFormat="1" ht="18">
      <c r="A36" s="70" t="s">
        <v>37</v>
      </c>
      <c r="B36" s="71">
        <v>37</v>
      </c>
      <c r="C36" s="20" t="s">
        <v>41</v>
      </c>
      <c r="G36" s="9"/>
    </row>
    <row r="37" spans="1:8" s="20" customFormat="1">
      <c r="A37" s="19" t="s">
        <v>16</v>
      </c>
      <c r="B37" s="21">
        <f>SUM(B33:B36)</f>
        <v>803</v>
      </c>
      <c r="G37" s="23"/>
    </row>
    <row r="38" spans="1:8" s="20" customFormat="1">
      <c r="A38" s="19" t="s">
        <v>39</v>
      </c>
      <c r="B38" s="72">
        <v>145</v>
      </c>
      <c r="C38" s="20" t="s">
        <v>41</v>
      </c>
      <c r="G38" s="23"/>
    </row>
    <row r="39" spans="1:8" s="20" customFormat="1">
      <c r="A39" s="19" t="s">
        <v>40</v>
      </c>
      <c r="B39" s="21">
        <f>B37*3+B38</f>
        <v>2554</v>
      </c>
      <c r="G39" s="23"/>
    </row>
    <row r="40" spans="1:8" s="20" customFormat="1" ht="16" thickBot="1">
      <c r="A40" s="19" t="s">
        <v>38</v>
      </c>
      <c r="B40" s="73">
        <f>B39*2</f>
        <v>5108</v>
      </c>
      <c r="G40" s="23"/>
      <c r="H40" s="176">
        <f>G28-B40-B54</f>
        <v>0</v>
      </c>
    </row>
    <row r="41" spans="1:8" s="20" customFormat="1">
      <c r="A41" s="19"/>
      <c r="G41" s="23"/>
    </row>
    <row r="42" spans="1:8" s="20" customFormat="1">
      <c r="A42" s="19" t="s">
        <v>140</v>
      </c>
      <c r="G42" s="9"/>
    </row>
    <row r="43" spans="1:8" s="20" customFormat="1">
      <c r="A43" s="19" t="s">
        <v>141</v>
      </c>
      <c r="G43" s="9"/>
    </row>
    <row r="44" spans="1:8" s="20" customFormat="1">
      <c r="A44" s="19" t="s">
        <v>118</v>
      </c>
      <c r="G44" s="9"/>
    </row>
    <row r="45" spans="1:8" s="20" customFormat="1">
      <c r="A45" s="19" t="s">
        <v>119</v>
      </c>
      <c r="G45" s="9"/>
    </row>
    <row r="46" spans="1:8" s="20" customFormat="1">
      <c r="A46" s="70" t="str">
        <f>A32</f>
        <v xml:space="preserve">   Departure City: Monterey, CA</v>
      </c>
      <c r="C46" s="39" t="s">
        <v>120</v>
      </c>
      <c r="D46" s="39"/>
      <c r="G46" s="9"/>
    </row>
    <row r="47" spans="1:8" s="20" customFormat="1">
      <c r="A47" s="70" t="s">
        <v>13</v>
      </c>
      <c r="B47" s="21">
        <v>450</v>
      </c>
      <c r="C47" s="20" t="s">
        <v>41</v>
      </c>
      <c r="G47" s="9"/>
    </row>
    <row r="48" spans="1:8" s="20" customFormat="1">
      <c r="A48" s="70" t="s">
        <v>14</v>
      </c>
      <c r="B48" s="21">
        <f>3*110</f>
        <v>330</v>
      </c>
      <c r="C48" s="20" t="s">
        <v>147</v>
      </c>
      <c r="G48" s="9"/>
    </row>
    <row r="49" spans="1:7" s="20" customFormat="1">
      <c r="A49" s="70" t="s">
        <v>15</v>
      </c>
      <c r="B49" s="21">
        <v>128</v>
      </c>
      <c r="C49" s="20" t="s">
        <v>148</v>
      </c>
      <c r="G49" s="9"/>
    </row>
    <row r="50" spans="1:7" s="20" customFormat="1" ht="18">
      <c r="A50" s="70" t="s">
        <v>143</v>
      </c>
      <c r="B50" s="71">
        <v>1465</v>
      </c>
      <c r="C50" s="20" t="s">
        <v>146</v>
      </c>
      <c r="G50" s="9"/>
    </row>
    <row r="51" spans="1:7" s="20" customFormat="1">
      <c r="A51" s="19" t="s">
        <v>16</v>
      </c>
      <c r="B51" s="21">
        <f>SUM(B47:B50)</f>
        <v>2373</v>
      </c>
      <c r="G51" s="23"/>
    </row>
    <row r="52" spans="1:7" s="20" customFormat="1">
      <c r="A52" s="19" t="s">
        <v>39</v>
      </c>
      <c r="B52" s="72">
        <v>146</v>
      </c>
      <c r="C52" s="20" t="s">
        <v>41</v>
      </c>
      <c r="G52" s="23"/>
    </row>
    <row r="53" spans="1:7" s="20" customFormat="1">
      <c r="A53" s="19" t="s">
        <v>40</v>
      </c>
      <c r="B53" s="21">
        <f>B51*2+B52</f>
        <v>4892</v>
      </c>
      <c r="G53" s="23"/>
    </row>
    <row r="54" spans="1:7" s="20" customFormat="1" ht="16" thickBot="1">
      <c r="A54" s="19" t="s">
        <v>38</v>
      </c>
      <c r="B54" s="73">
        <f>B53*1</f>
        <v>4892</v>
      </c>
      <c r="G54" s="23"/>
    </row>
    <row r="55" spans="1:7" s="20" customFormat="1">
      <c r="A55" s="19"/>
      <c r="B55" s="21"/>
      <c r="G55" s="23"/>
    </row>
    <row r="56" spans="1:7">
      <c r="A56" s="19" t="s">
        <v>17</v>
      </c>
      <c r="B56" s="20"/>
      <c r="C56" s="20"/>
      <c r="D56" s="20"/>
      <c r="E56" s="20"/>
      <c r="G56" s="22"/>
    </row>
    <row r="57" spans="1:7">
      <c r="A57" s="75" t="s">
        <v>3</v>
      </c>
      <c r="B57" s="20"/>
      <c r="C57" s="20"/>
      <c r="D57" s="20"/>
      <c r="E57" s="20"/>
      <c r="G57" s="15">
        <f>'Sub NPS'!G52</f>
        <v>1000</v>
      </c>
    </row>
    <row r="58" spans="1:7">
      <c r="A58" s="29" t="s">
        <v>8</v>
      </c>
      <c r="G58" s="15">
        <f>'Sub NPS'!G54</f>
        <v>0</v>
      </c>
    </row>
    <row r="59" spans="1:7">
      <c r="A59" s="29" t="s">
        <v>115</v>
      </c>
      <c r="G59" s="15">
        <f>'Sub NPS'!G59</f>
        <v>0</v>
      </c>
    </row>
    <row r="60" spans="1:7">
      <c r="A60" s="29" t="s">
        <v>45</v>
      </c>
      <c r="G60" s="23">
        <f>'Sub NPS'!G60</f>
        <v>0</v>
      </c>
    </row>
    <row r="61" spans="1:7">
      <c r="A61" s="4"/>
      <c r="G61" s="23"/>
    </row>
    <row r="62" spans="1:7">
      <c r="A62" s="4" t="s">
        <v>7</v>
      </c>
      <c r="F62" s="14" t="s">
        <v>6</v>
      </c>
      <c r="G62" s="22">
        <f>SUM(G24:G60)</f>
        <v>18600</v>
      </c>
    </row>
    <row r="63" spans="1:7">
      <c r="A63" s="16" t="s">
        <v>7</v>
      </c>
      <c r="B63" s="17"/>
      <c r="C63" s="17"/>
      <c r="D63" s="17"/>
      <c r="E63" s="17"/>
      <c r="F63" s="17"/>
      <c r="G63" s="18"/>
    </row>
    <row r="64" spans="1:7" ht="42" customHeight="1">
      <c r="A64" s="210" t="str">
        <f>A1</f>
        <v>Subaward NAVAL POSTGRADUATE SCHOOL (NPS)_x000D_Year 2:  07/01/2015 - 06/30/2016</v>
      </c>
      <c r="B64" s="211"/>
      <c r="C64" s="211"/>
      <c r="D64" s="211"/>
      <c r="E64" s="211"/>
      <c r="F64" s="211"/>
      <c r="G64" s="211"/>
    </row>
    <row r="65" spans="1:7">
      <c r="A65" s="1" t="s">
        <v>18</v>
      </c>
      <c r="B65" s="2"/>
      <c r="C65" s="2"/>
      <c r="D65" s="2"/>
      <c r="E65" s="2"/>
      <c r="F65" s="2"/>
      <c r="G65" s="3"/>
    </row>
    <row r="66" spans="1:7">
      <c r="A66" s="19" t="str">
        <f>'TB Year 1'!A66</f>
        <v>Negotiated Rate: $26.24</v>
      </c>
      <c r="B66" s="5" t="s">
        <v>19</v>
      </c>
      <c r="C66" s="39">
        <f>'TB Year 1'!C66</f>
        <v>41284</v>
      </c>
      <c r="D66" s="20"/>
      <c r="G66" s="13"/>
    </row>
    <row r="67" spans="1:7">
      <c r="A67" s="4" t="s">
        <v>137</v>
      </c>
      <c r="D67" s="46"/>
      <c r="G67" s="13"/>
    </row>
    <row r="68" spans="1:7">
      <c r="A68" s="4"/>
      <c r="C68" s="14" t="s">
        <v>138</v>
      </c>
      <c r="D68" s="174">
        <f>440+440+120</f>
        <v>1000</v>
      </c>
      <c r="G68" s="13"/>
    </row>
    <row r="69" spans="1:7">
      <c r="A69" s="4"/>
      <c r="D69" s="20"/>
      <c r="G69" s="13"/>
    </row>
    <row r="70" spans="1:7">
      <c r="A70" s="77" t="s">
        <v>20</v>
      </c>
      <c r="C70" s="14"/>
      <c r="D70" s="67"/>
      <c r="G70" s="13"/>
    </row>
    <row r="71" spans="1:7">
      <c r="A71" s="19" t="str">
        <f>'TB Year 1'!A71</f>
        <v>Naval Postgraduate School, RSPO office</v>
      </c>
      <c r="B71" s="20"/>
      <c r="G71" s="13"/>
    </row>
    <row r="72" spans="1:7">
      <c r="A72" s="19" t="str">
        <f>'TB Year 1'!A72</f>
        <v>Deborah M.Buettner</v>
      </c>
      <c r="B72" s="20"/>
      <c r="C72" s="20"/>
      <c r="D72" s="20"/>
      <c r="E72" s="20"/>
      <c r="F72" s="20"/>
      <c r="G72" s="11"/>
    </row>
    <row r="73" spans="1:7">
      <c r="A73" s="19" t="str">
        <f>'TB Year 1'!A73</f>
        <v>Office of Dean of Research, Halligan hall, room226</v>
      </c>
      <c r="B73" s="20"/>
      <c r="C73" s="20"/>
      <c r="D73" s="20"/>
      <c r="E73" s="20"/>
      <c r="F73" s="20"/>
      <c r="G73" s="11"/>
    </row>
    <row r="74" spans="1:7">
      <c r="A74" s="19" t="str">
        <f>'TB Year 1'!A74</f>
        <v>Monterey, CA 93943-5138</v>
      </c>
      <c r="B74" s="20"/>
      <c r="C74" s="20"/>
      <c r="D74" s="20"/>
      <c r="E74" s="20"/>
      <c r="F74" s="20"/>
      <c r="G74" s="11"/>
    </row>
    <row r="75" spans="1:7">
      <c r="A75" s="19" t="str">
        <f>'TB Year 1'!A75</f>
        <v>tel:831-6567893</v>
      </c>
      <c r="B75" s="20"/>
      <c r="C75" s="20"/>
      <c r="D75" s="20"/>
      <c r="E75" s="20"/>
      <c r="F75" s="20"/>
      <c r="G75" s="11"/>
    </row>
    <row r="76" spans="1:7">
      <c r="B76" s="20"/>
      <c r="C76" s="20"/>
      <c r="D76" s="20"/>
      <c r="E76" s="20"/>
      <c r="G76" s="13"/>
    </row>
    <row r="77" spans="1:7">
      <c r="A77" s="65"/>
      <c r="B77" s="66"/>
      <c r="C77" s="66"/>
      <c r="D77" s="66"/>
      <c r="E77" s="66"/>
      <c r="F77" s="41" t="s">
        <v>6</v>
      </c>
      <c r="G77" s="9">
        <f>D68*26.24</f>
        <v>26240</v>
      </c>
    </row>
    <row r="78" spans="1:7">
      <c r="A78" s="53"/>
      <c r="B78" s="54"/>
      <c r="C78" s="54"/>
      <c r="D78" s="54"/>
      <c r="E78" s="54"/>
      <c r="F78" s="27"/>
      <c r="G78" s="12"/>
    </row>
    <row r="79" spans="1:7">
      <c r="A79" s="20"/>
      <c r="B79" s="20"/>
      <c r="C79" s="20"/>
      <c r="D79" s="20"/>
      <c r="E79" s="20"/>
      <c r="F79" s="41"/>
      <c r="G79" s="47"/>
    </row>
    <row r="80" spans="1:7">
      <c r="A80" s="1" t="s">
        <v>129</v>
      </c>
      <c r="B80" s="2"/>
      <c r="C80" s="2"/>
      <c r="D80" s="2"/>
      <c r="E80" s="2"/>
      <c r="F80" s="2"/>
      <c r="G80" s="175">
        <f>'Sub NPS'!G61</f>
        <v>158.24</v>
      </c>
    </row>
    <row r="81" spans="1:7" s="20" customFormat="1">
      <c r="G81" s="21"/>
    </row>
    <row r="82" spans="1:7">
      <c r="A82" s="50" t="s">
        <v>21</v>
      </c>
      <c r="B82" s="51"/>
      <c r="C82" s="51"/>
      <c r="D82" s="51"/>
      <c r="E82" s="51"/>
      <c r="F82" s="212">
        <f>G20+G62+G77+G80</f>
        <v>149506.12</v>
      </c>
      <c r="G82" s="213"/>
    </row>
    <row r="83" spans="1:7" s="20" customFormat="1">
      <c r="A83" s="19"/>
      <c r="G83" s="52"/>
    </row>
    <row r="84" spans="1:7" s="20" customFormat="1">
      <c r="A84" s="25"/>
      <c r="B84" s="26"/>
      <c r="C84" s="26"/>
      <c r="D84" s="26"/>
      <c r="E84" s="26"/>
      <c r="F84" s="27" t="s">
        <v>22</v>
      </c>
      <c r="G84" s="28">
        <v>0</v>
      </c>
    </row>
    <row r="86" spans="1:7">
      <c r="A86" s="1" t="s">
        <v>46</v>
      </c>
      <c r="B86" s="2"/>
      <c r="C86" s="2"/>
      <c r="D86" s="2"/>
      <c r="E86" s="2"/>
      <c r="F86" s="205">
        <f>F82-G84</f>
        <v>149506.12</v>
      </c>
      <c r="G86" s="206"/>
    </row>
  </sheetData>
  <mergeCells count="7">
    <mergeCell ref="F86:G86"/>
    <mergeCell ref="A1:G1"/>
    <mergeCell ref="A18:G18"/>
    <mergeCell ref="A22:G22"/>
    <mergeCell ref="A64:G64"/>
    <mergeCell ref="F82:G82"/>
    <mergeCell ref="A19:G19"/>
  </mergeCells>
  <pageMargins left="1" right="1" top="1" bottom="1" header="0.5" footer="0.5"/>
  <pageSetup scale="83" fitToHeight="3" orientation="portrait"/>
  <rowBreaks count="2" manualBreakCount="2">
    <brk id="21" max="16383" man="1"/>
    <brk id="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H86"/>
  <sheetViews>
    <sheetView topLeftCell="A57" zoomScale="85" zoomScaleNormal="85" zoomScalePageLayoutView="85" workbookViewId="0">
      <selection activeCell="A9" sqref="A9"/>
    </sheetView>
  </sheetViews>
  <sheetFormatPr baseColWidth="10" defaultColWidth="8.83203125" defaultRowHeight="15" x14ac:dyDescent="0"/>
  <cols>
    <col min="1" max="1" width="29.83203125" style="5" customWidth="1"/>
    <col min="2" max="2" width="12.5" style="5" customWidth="1"/>
    <col min="3" max="3" width="16.1640625" style="5" customWidth="1"/>
    <col min="4" max="4" width="20.6640625" style="5" customWidth="1"/>
    <col min="5" max="5" width="6" style="5" customWidth="1"/>
    <col min="6" max="6" width="5.5" style="5" customWidth="1"/>
    <col min="7" max="7" width="11.5" style="5" customWidth="1"/>
    <col min="8" max="8" width="34.5" style="5" bestFit="1" customWidth="1"/>
    <col min="9" max="16384" width="8.83203125" style="5"/>
  </cols>
  <sheetData>
    <row r="1" spans="1:8" ht="32.25" customHeight="1">
      <c r="A1" s="210" t="s">
        <v>149</v>
      </c>
      <c r="B1" s="211"/>
      <c r="C1" s="211"/>
      <c r="D1" s="211"/>
      <c r="E1" s="211"/>
      <c r="F1" s="211"/>
      <c r="G1" s="211"/>
    </row>
    <row r="2" spans="1:8">
      <c r="A2" s="1" t="s">
        <v>9</v>
      </c>
      <c r="B2" s="2"/>
      <c r="C2" s="2"/>
      <c r="D2" s="2"/>
      <c r="E2" s="2"/>
      <c r="F2" s="2"/>
      <c r="G2" s="3"/>
    </row>
    <row r="3" spans="1:8" ht="21.75" customHeight="1">
      <c r="A3" s="4"/>
      <c r="C3" s="30" t="s">
        <v>121</v>
      </c>
      <c r="D3" s="44" t="s">
        <v>10</v>
      </c>
      <c r="G3" s="31"/>
    </row>
    <row r="4" spans="1:8">
      <c r="A4" s="32" t="s">
        <v>130</v>
      </c>
      <c r="F4" s="6"/>
      <c r="G4" s="7"/>
      <c r="H4" s="45"/>
    </row>
    <row r="5" spans="1:8">
      <c r="A5" s="37" t="str">
        <f>'Sub NPS'!C7</f>
        <v>Co-I: Kevin Jones</v>
      </c>
      <c r="C5" s="38" t="s">
        <v>75</v>
      </c>
      <c r="D5" s="10" t="s">
        <v>134</v>
      </c>
      <c r="G5" s="9">
        <f>440*C6</f>
        <v>34218.799999999996</v>
      </c>
    </row>
    <row r="6" spans="1:8">
      <c r="A6" s="37" t="s">
        <v>132</v>
      </c>
      <c r="B6" s="20"/>
      <c r="C6" s="171">
        <v>77.77</v>
      </c>
      <c r="D6" s="69" t="s">
        <v>133</v>
      </c>
      <c r="E6" s="20"/>
      <c r="F6" s="20"/>
      <c r="G6" s="9">
        <f>G5*0.45</f>
        <v>15398.46</v>
      </c>
      <c r="H6" s="20"/>
    </row>
    <row r="7" spans="1:8">
      <c r="B7" s="20"/>
      <c r="C7" s="68"/>
      <c r="D7" s="69"/>
      <c r="E7" s="20"/>
      <c r="F7" s="20"/>
      <c r="G7" s="9"/>
      <c r="H7" s="20"/>
    </row>
    <row r="8" spans="1:8">
      <c r="A8" s="37" t="str">
        <f>'Sub NPS'!C6</f>
        <v>Co-I: Vladimir Dobrokhodov</v>
      </c>
      <c r="B8" s="20"/>
      <c r="C8" s="38" t="s">
        <v>75</v>
      </c>
      <c r="D8" s="10" t="s">
        <v>134</v>
      </c>
      <c r="G8" s="9">
        <f>440*C9</f>
        <v>28375.599999999999</v>
      </c>
      <c r="H8" s="20"/>
    </row>
    <row r="9" spans="1:8">
      <c r="A9" s="37" t="s">
        <v>132</v>
      </c>
      <c r="B9" s="20"/>
      <c r="C9" s="171">
        <v>64.489999999999995</v>
      </c>
      <c r="D9" s="69" t="s">
        <v>133</v>
      </c>
      <c r="E9" s="20"/>
      <c r="F9" s="20"/>
      <c r="G9" s="9">
        <f>G8*0.45</f>
        <v>12769.02</v>
      </c>
      <c r="H9" s="20"/>
    </row>
    <row r="10" spans="1:8">
      <c r="B10" s="20"/>
      <c r="C10" s="68"/>
      <c r="D10" s="69"/>
      <c r="E10" s="20"/>
      <c r="F10" s="21"/>
      <c r="G10" s="9"/>
      <c r="H10" s="20"/>
    </row>
    <row r="11" spans="1:8">
      <c r="A11" s="37" t="str">
        <f>'Sub NPS'!C5</f>
        <v>Co-I: Isaac Kaminer</v>
      </c>
      <c r="B11" s="20"/>
      <c r="C11" s="38" t="s">
        <v>75</v>
      </c>
      <c r="D11" s="10" t="s">
        <v>135</v>
      </c>
      <c r="G11" s="9">
        <f>120*C12</f>
        <v>9480</v>
      </c>
      <c r="H11" s="20"/>
    </row>
    <row r="12" spans="1:8">
      <c r="A12" s="5" t="s">
        <v>131</v>
      </c>
      <c r="B12" s="20"/>
      <c r="C12" s="171">
        <v>79</v>
      </c>
      <c r="D12" s="69" t="s">
        <v>133</v>
      </c>
      <c r="E12" s="20"/>
      <c r="F12" s="20"/>
      <c r="G12" s="9">
        <f>G11*0.45</f>
        <v>4266</v>
      </c>
      <c r="H12" s="20"/>
    </row>
    <row r="13" spans="1:8">
      <c r="A13" s="74"/>
      <c r="B13" s="20"/>
      <c r="C13" s="68"/>
      <c r="D13" s="69"/>
      <c r="E13" s="20"/>
      <c r="F13" s="21"/>
      <c r="G13" s="9"/>
      <c r="H13" s="20"/>
    </row>
    <row r="14" spans="1:8">
      <c r="A14" s="32" t="s">
        <v>172</v>
      </c>
      <c r="B14" s="20"/>
      <c r="C14" s="68"/>
      <c r="D14" s="69"/>
      <c r="E14" s="20"/>
      <c r="F14" s="21"/>
      <c r="G14" s="9"/>
      <c r="H14" s="20"/>
    </row>
    <row r="15" spans="1:8">
      <c r="A15" s="37" t="s">
        <v>173</v>
      </c>
      <c r="B15" s="20"/>
      <c r="C15" s="69" t="s">
        <v>175</v>
      </c>
      <c r="E15" s="20"/>
      <c r="F15" s="21"/>
      <c r="G15" s="9">
        <v>0</v>
      </c>
      <c r="H15" s="20"/>
    </row>
    <row r="16" spans="1:8">
      <c r="A16" s="37" t="s">
        <v>174</v>
      </c>
      <c r="B16" s="20"/>
      <c r="C16" s="68"/>
      <c r="D16" s="69"/>
      <c r="E16" s="20"/>
      <c r="F16" s="21"/>
      <c r="G16" s="9"/>
      <c r="H16" s="20"/>
    </row>
    <row r="17" spans="1:8">
      <c r="A17" s="74"/>
      <c r="B17" s="20"/>
      <c r="C17" s="68"/>
      <c r="D17" s="69"/>
      <c r="E17" s="20"/>
      <c r="F17" s="21"/>
      <c r="G17" s="9"/>
      <c r="H17" s="20"/>
    </row>
    <row r="18" spans="1:8" ht="45.75" customHeight="1">
      <c r="A18" s="214" t="str">
        <f>'TB Year 1'!A18:G18</f>
        <v>1 - Fringe benefits are charged at a rate of 45.00% on faculty salaries.  Benefits include paid annual leave, health(medical and dental) insurance, TSP matching.</v>
      </c>
      <c r="B18" s="215"/>
      <c r="C18" s="215"/>
      <c r="D18" s="215"/>
      <c r="E18" s="215"/>
      <c r="F18" s="215"/>
      <c r="G18" s="216"/>
    </row>
    <row r="19" spans="1:8" ht="45.75" customHeight="1">
      <c r="A19" s="214" t="s">
        <v>176</v>
      </c>
      <c r="B19" s="215"/>
      <c r="C19" s="215"/>
      <c r="D19" s="215"/>
      <c r="E19" s="215"/>
      <c r="F19" s="215"/>
      <c r="G19" s="216"/>
    </row>
    <row r="20" spans="1:8">
      <c r="A20" s="75"/>
      <c r="B20" s="20"/>
      <c r="C20" s="20"/>
      <c r="D20" s="20"/>
      <c r="E20" s="20"/>
      <c r="F20" s="41" t="s">
        <v>6</v>
      </c>
      <c r="G20" s="172">
        <f>SUM(G5:G12)</f>
        <v>104507.87999999999</v>
      </c>
    </row>
    <row r="21" spans="1:8">
      <c r="A21" s="16"/>
      <c r="B21" s="17"/>
      <c r="C21" s="17"/>
      <c r="D21" s="17"/>
      <c r="E21" s="17"/>
      <c r="F21" s="17"/>
      <c r="G21" s="18"/>
    </row>
    <row r="22" spans="1:8" ht="38.25" customHeight="1">
      <c r="A22" s="210" t="str">
        <f>A1</f>
        <v>Subaward NAVAL POSTGRADUATE SCHOOL (NPS)_x000D_Year 3:  07/01/2016 - 06/30/2017</v>
      </c>
      <c r="B22" s="211"/>
      <c r="C22" s="211"/>
      <c r="D22" s="211"/>
      <c r="E22" s="211"/>
      <c r="F22" s="211"/>
      <c r="G22" s="211"/>
    </row>
    <row r="23" spans="1:8">
      <c r="A23" s="1" t="s">
        <v>11</v>
      </c>
      <c r="B23" s="2"/>
      <c r="C23" s="2"/>
      <c r="D23" s="2"/>
      <c r="E23" s="2"/>
      <c r="F23" s="2"/>
      <c r="G23" s="3"/>
    </row>
    <row r="24" spans="1:8">
      <c r="A24" s="19" t="s">
        <v>44</v>
      </c>
      <c r="B24" s="20"/>
      <c r="C24" s="20"/>
      <c r="D24" s="20"/>
      <c r="E24" s="20"/>
      <c r="F24" s="20"/>
      <c r="G24" s="9">
        <f>'Sub NPS'!G55</f>
        <v>0</v>
      </c>
    </row>
    <row r="25" spans="1:8">
      <c r="A25" s="19" t="s">
        <v>23</v>
      </c>
      <c r="B25" s="20"/>
      <c r="C25" s="20"/>
      <c r="D25" s="20"/>
      <c r="E25" s="20"/>
      <c r="F25" s="20"/>
      <c r="G25" s="9">
        <f>'Sub NPS'!G53</f>
        <v>0</v>
      </c>
    </row>
    <row r="26" spans="1:8">
      <c r="A26" s="19" t="s">
        <v>35</v>
      </c>
      <c r="B26" s="20"/>
      <c r="C26" s="20"/>
      <c r="D26" s="20"/>
      <c r="E26" s="20"/>
      <c r="F26" s="20"/>
      <c r="G26" s="9">
        <f>'Sub NPS'!G41</f>
        <v>0</v>
      </c>
    </row>
    <row r="27" spans="1:8" s="20" customFormat="1">
      <c r="A27" s="19" t="s">
        <v>24</v>
      </c>
      <c r="G27" s="9">
        <f>'Sub NPS'!G51</f>
        <v>7600</v>
      </c>
    </row>
    <row r="28" spans="1:8" s="20" customFormat="1">
      <c r="A28" s="19" t="s">
        <v>142</v>
      </c>
      <c r="G28" s="9">
        <f>'Sub NPS'!G44</f>
        <v>10000</v>
      </c>
    </row>
    <row r="29" spans="1:8" s="20" customFormat="1">
      <c r="A29" s="19" t="s">
        <v>12</v>
      </c>
      <c r="G29" s="9"/>
    </row>
    <row r="30" spans="1:8" s="20" customFormat="1">
      <c r="A30" s="19" t="s">
        <v>36</v>
      </c>
      <c r="G30" s="9"/>
    </row>
    <row r="31" spans="1:8" s="20" customFormat="1">
      <c r="A31" s="19" t="s">
        <v>116</v>
      </c>
      <c r="G31" s="9"/>
    </row>
    <row r="32" spans="1:8" s="20" customFormat="1">
      <c r="A32" s="70" t="s">
        <v>139</v>
      </c>
      <c r="C32" s="39" t="s">
        <v>117</v>
      </c>
      <c r="D32" s="39"/>
      <c r="G32" s="9"/>
    </row>
    <row r="33" spans="1:8" s="20" customFormat="1">
      <c r="A33" s="70" t="s">
        <v>13</v>
      </c>
      <c r="B33" s="21">
        <v>450</v>
      </c>
      <c r="C33" s="20" t="s">
        <v>41</v>
      </c>
      <c r="G33" s="9"/>
    </row>
    <row r="34" spans="1:8" s="20" customFormat="1">
      <c r="A34" s="70" t="s">
        <v>14</v>
      </c>
      <c r="B34" s="21">
        <f>110*2</f>
        <v>220</v>
      </c>
      <c r="C34" s="20" t="s">
        <v>147</v>
      </c>
      <c r="G34" s="9"/>
    </row>
    <row r="35" spans="1:8" s="20" customFormat="1">
      <c r="A35" s="70" t="s">
        <v>15</v>
      </c>
      <c r="B35" s="21">
        <v>96</v>
      </c>
      <c r="C35" s="20" t="s">
        <v>148</v>
      </c>
      <c r="G35" s="9"/>
    </row>
    <row r="36" spans="1:8" s="20" customFormat="1" ht="18">
      <c r="A36" s="70" t="s">
        <v>37</v>
      </c>
      <c r="B36" s="71">
        <v>37</v>
      </c>
      <c r="C36" s="20" t="s">
        <v>41</v>
      </c>
      <c r="G36" s="9"/>
    </row>
    <row r="37" spans="1:8" s="20" customFormat="1">
      <c r="A37" s="19" t="s">
        <v>16</v>
      </c>
      <c r="B37" s="21">
        <f>SUM(B33:B36)</f>
        <v>803</v>
      </c>
      <c r="G37" s="23"/>
    </row>
    <row r="38" spans="1:8" s="20" customFormat="1">
      <c r="A38" s="19" t="s">
        <v>39</v>
      </c>
      <c r="B38" s="72">
        <v>145</v>
      </c>
      <c r="C38" s="20" t="s">
        <v>41</v>
      </c>
      <c r="G38" s="23"/>
    </row>
    <row r="39" spans="1:8" s="20" customFormat="1">
      <c r="A39" s="19" t="s">
        <v>40</v>
      </c>
      <c r="B39" s="21">
        <f>B37*3+B38</f>
        <v>2554</v>
      </c>
      <c r="G39" s="23"/>
    </row>
    <row r="40" spans="1:8" s="20" customFormat="1" ht="16" thickBot="1">
      <c r="A40" s="19" t="s">
        <v>38</v>
      </c>
      <c r="B40" s="73">
        <f>B39*2</f>
        <v>5108</v>
      </c>
      <c r="G40" s="23"/>
      <c r="H40" s="176">
        <f>G28-B40-B54</f>
        <v>0</v>
      </c>
    </row>
    <row r="41" spans="1:8" s="20" customFormat="1">
      <c r="A41" s="19"/>
      <c r="G41" s="23"/>
    </row>
    <row r="42" spans="1:8" s="20" customFormat="1">
      <c r="A42" s="19" t="s">
        <v>140</v>
      </c>
      <c r="G42" s="9"/>
    </row>
    <row r="43" spans="1:8" s="20" customFormat="1">
      <c r="A43" s="19" t="s">
        <v>141</v>
      </c>
      <c r="G43" s="9"/>
    </row>
    <row r="44" spans="1:8" s="20" customFormat="1">
      <c r="A44" s="19" t="s">
        <v>118</v>
      </c>
      <c r="G44" s="9"/>
    </row>
    <row r="45" spans="1:8" s="20" customFormat="1">
      <c r="A45" s="19" t="s">
        <v>119</v>
      </c>
      <c r="G45" s="9"/>
    </row>
    <row r="46" spans="1:8" s="20" customFormat="1">
      <c r="A46" s="70" t="str">
        <f>A32</f>
        <v xml:space="preserve">   Departure City: Monterey, CA</v>
      </c>
      <c r="C46" s="39" t="s">
        <v>120</v>
      </c>
      <c r="D46" s="39"/>
      <c r="G46" s="9"/>
    </row>
    <row r="47" spans="1:8" s="20" customFormat="1">
      <c r="A47" s="70" t="s">
        <v>13</v>
      </c>
      <c r="B47" s="21">
        <v>450</v>
      </c>
      <c r="C47" s="20" t="s">
        <v>41</v>
      </c>
      <c r="G47" s="9"/>
    </row>
    <row r="48" spans="1:8" s="20" customFormat="1">
      <c r="A48" s="70" t="s">
        <v>14</v>
      </c>
      <c r="B48" s="21">
        <f>3*110</f>
        <v>330</v>
      </c>
      <c r="C48" s="20" t="s">
        <v>147</v>
      </c>
      <c r="G48" s="9"/>
    </row>
    <row r="49" spans="1:7" s="20" customFormat="1">
      <c r="A49" s="70" t="s">
        <v>15</v>
      </c>
      <c r="B49" s="21">
        <v>128</v>
      </c>
      <c r="C49" s="20" t="s">
        <v>148</v>
      </c>
      <c r="G49" s="9"/>
    </row>
    <row r="50" spans="1:7" s="20" customFormat="1" ht="18">
      <c r="A50" s="70" t="s">
        <v>143</v>
      </c>
      <c r="B50" s="71">
        <v>1465</v>
      </c>
      <c r="C50" s="20" t="s">
        <v>146</v>
      </c>
      <c r="G50" s="9"/>
    </row>
    <row r="51" spans="1:7" s="20" customFormat="1">
      <c r="A51" s="19" t="s">
        <v>16</v>
      </c>
      <c r="B51" s="21">
        <f>SUM(B47:B50)</f>
        <v>2373</v>
      </c>
      <c r="G51" s="23"/>
    </row>
    <row r="52" spans="1:7" s="20" customFormat="1">
      <c r="A52" s="19" t="s">
        <v>39</v>
      </c>
      <c r="B52" s="72">
        <v>146</v>
      </c>
      <c r="C52" s="20" t="s">
        <v>41</v>
      </c>
      <c r="G52" s="23"/>
    </row>
    <row r="53" spans="1:7" s="20" customFormat="1">
      <c r="A53" s="19" t="s">
        <v>40</v>
      </c>
      <c r="B53" s="21">
        <f>B51*2+B52</f>
        <v>4892</v>
      </c>
      <c r="G53" s="23"/>
    </row>
    <row r="54" spans="1:7" s="20" customFormat="1" ht="16" thickBot="1">
      <c r="A54" s="19" t="s">
        <v>38</v>
      </c>
      <c r="B54" s="73">
        <f>B53*1</f>
        <v>4892</v>
      </c>
      <c r="G54" s="23"/>
    </row>
    <row r="55" spans="1:7" s="20" customFormat="1">
      <c r="A55" s="19"/>
      <c r="B55" s="21"/>
      <c r="G55" s="23"/>
    </row>
    <row r="56" spans="1:7">
      <c r="A56" s="19" t="s">
        <v>17</v>
      </c>
      <c r="B56" s="20"/>
      <c r="C56" s="20"/>
      <c r="D56" s="20"/>
      <c r="E56" s="20"/>
      <c r="G56" s="22"/>
    </row>
    <row r="57" spans="1:7">
      <c r="A57" s="75" t="s">
        <v>3</v>
      </c>
      <c r="B57" s="20"/>
      <c r="C57" s="20"/>
      <c r="D57" s="20"/>
      <c r="E57" s="20"/>
      <c r="G57" s="15">
        <f>'Sub NPS'!G52</f>
        <v>1000</v>
      </c>
    </row>
    <row r="58" spans="1:7">
      <c r="A58" s="29" t="s">
        <v>8</v>
      </c>
      <c r="G58" s="15">
        <f>'Sub NPS'!G54</f>
        <v>0</v>
      </c>
    </row>
    <row r="59" spans="1:7">
      <c r="A59" s="29" t="s">
        <v>115</v>
      </c>
      <c r="G59" s="15">
        <f>'Sub NPS'!G59</f>
        <v>0</v>
      </c>
    </row>
    <row r="60" spans="1:7">
      <c r="A60" s="29" t="s">
        <v>45</v>
      </c>
      <c r="G60" s="23">
        <f>'Sub NPS'!G60</f>
        <v>0</v>
      </c>
    </row>
    <row r="61" spans="1:7">
      <c r="A61" s="4"/>
      <c r="G61" s="23"/>
    </row>
    <row r="62" spans="1:7">
      <c r="A62" s="4" t="s">
        <v>7</v>
      </c>
      <c r="F62" s="14" t="s">
        <v>6</v>
      </c>
      <c r="G62" s="22">
        <f>SUM(G24:G60)</f>
        <v>18600</v>
      </c>
    </row>
    <row r="63" spans="1:7">
      <c r="A63" s="16" t="s">
        <v>7</v>
      </c>
      <c r="B63" s="17"/>
      <c r="C63" s="17"/>
      <c r="D63" s="17"/>
      <c r="E63" s="17"/>
      <c r="F63" s="17"/>
      <c r="G63" s="18"/>
    </row>
    <row r="64" spans="1:7" ht="42" customHeight="1">
      <c r="A64" s="210" t="str">
        <f>A1</f>
        <v>Subaward NAVAL POSTGRADUATE SCHOOL (NPS)_x000D_Year 3:  07/01/2016 - 06/30/2017</v>
      </c>
      <c r="B64" s="211"/>
      <c r="C64" s="211"/>
      <c r="D64" s="211"/>
      <c r="E64" s="211"/>
      <c r="F64" s="211"/>
      <c r="G64" s="211"/>
    </row>
    <row r="65" spans="1:7">
      <c r="A65" s="1" t="s">
        <v>18</v>
      </c>
      <c r="B65" s="2"/>
      <c r="C65" s="2"/>
      <c r="D65" s="2"/>
      <c r="E65" s="2"/>
      <c r="F65" s="2"/>
      <c r="G65" s="3"/>
    </row>
    <row r="66" spans="1:7">
      <c r="A66" s="19" t="str">
        <f>'TB Year 1'!A66</f>
        <v>Negotiated Rate: $26.24</v>
      </c>
      <c r="B66" s="5" t="s">
        <v>19</v>
      </c>
      <c r="C66" s="39">
        <f>'TB Year 1'!C66</f>
        <v>41284</v>
      </c>
      <c r="D66" s="20"/>
      <c r="G66" s="13"/>
    </row>
    <row r="67" spans="1:7">
      <c r="A67" s="4" t="s">
        <v>137</v>
      </c>
      <c r="D67" s="46"/>
      <c r="G67" s="13"/>
    </row>
    <row r="68" spans="1:7">
      <c r="A68" s="4"/>
      <c r="C68" s="14" t="s">
        <v>138</v>
      </c>
      <c r="D68" s="174">
        <f>440+440+120</f>
        <v>1000</v>
      </c>
      <c r="G68" s="13"/>
    </row>
    <row r="69" spans="1:7">
      <c r="A69" s="4"/>
      <c r="D69" s="20"/>
      <c r="G69" s="13"/>
    </row>
    <row r="70" spans="1:7">
      <c r="A70" s="77" t="s">
        <v>20</v>
      </c>
      <c r="C70" s="14"/>
      <c r="D70" s="67"/>
      <c r="G70" s="13"/>
    </row>
    <row r="71" spans="1:7">
      <c r="A71" s="19" t="str">
        <f>'TB Year 1'!A71</f>
        <v>Naval Postgraduate School, RSPO office</v>
      </c>
      <c r="B71" s="20"/>
      <c r="G71" s="13"/>
    </row>
    <row r="72" spans="1:7">
      <c r="A72" s="19" t="str">
        <f>'TB Year 1'!A72</f>
        <v>Deborah M.Buettner</v>
      </c>
      <c r="B72" s="20"/>
      <c r="C72" s="20"/>
      <c r="D72" s="20"/>
      <c r="E72" s="20"/>
      <c r="F72" s="20"/>
      <c r="G72" s="11"/>
    </row>
    <row r="73" spans="1:7">
      <c r="A73" s="19" t="str">
        <f>'TB Year 1'!A73</f>
        <v>Office of Dean of Research, Halligan hall, room226</v>
      </c>
      <c r="B73" s="20"/>
      <c r="C73" s="20"/>
      <c r="D73" s="20"/>
      <c r="E73" s="20"/>
      <c r="F73" s="20"/>
      <c r="G73" s="11"/>
    </row>
    <row r="74" spans="1:7">
      <c r="A74" s="19" t="str">
        <f>'TB Year 1'!A74</f>
        <v>Monterey, CA 93943-5138</v>
      </c>
      <c r="B74" s="20"/>
      <c r="C74" s="20"/>
      <c r="D74" s="20"/>
      <c r="E74" s="20"/>
      <c r="F74" s="20"/>
      <c r="G74" s="11"/>
    </row>
    <row r="75" spans="1:7">
      <c r="A75" s="19" t="str">
        <f>'TB Year 1'!A75</f>
        <v>tel:831-6567893</v>
      </c>
      <c r="B75" s="20"/>
      <c r="C75" s="20"/>
      <c r="D75" s="20"/>
      <c r="E75" s="20"/>
      <c r="F75" s="20"/>
      <c r="G75" s="11"/>
    </row>
    <row r="76" spans="1:7">
      <c r="B76" s="20"/>
      <c r="C76" s="20"/>
      <c r="D76" s="20"/>
      <c r="E76" s="20"/>
      <c r="G76" s="13"/>
    </row>
    <row r="77" spans="1:7">
      <c r="A77" s="65"/>
      <c r="B77" s="66"/>
      <c r="C77" s="66"/>
      <c r="D77" s="66"/>
      <c r="E77" s="66"/>
      <c r="F77" s="41" t="s">
        <v>6</v>
      </c>
      <c r="G77" s="9">
        <f>D68*26.24</f>
        <v>26240</v>
      </c>
    </row>
    <row r="78" spans="1:7">
      <c r="A78" s="53"/>
      <c r="B78" s="54"/>
      <c r="C78" s="54"/>
      <c r="D78" s="54"/>
      <c r="E78" s="54"/>
      <c r="F78" s="27"/>
      <c r="G78" s="12"/>
    </row>
    <row r="79" spans="1:7">
      <c r="A79" s="20"/>
      <c r="B79" s="20"/>
      <c r="C79" s="20"/>
      <c r="D79" s="20"/>
      <c r="E79" s="20"/>
      <c r="F79" s="41"/>
      <c r="G79" s="47"/>
    </row>
    <row r="80" spans="1:7">
      <c r="A80" s="1" t="s">
        <v>129</v>
      </c>
      <c r="B80" s="2"/>
      <c r="C80" s="2"/>
      <c r="D80" s="2"/>
      <c r="E80" s="2"/>
      <c r="F80" s="2"/>
      <c r="G80" s="175">
        <f>'Sub NPS'!G61</f>
        <v>158.24</v>
      </c>
    </row>
    <row r="81" spans="1:7" s="20" customFormat="1">
      <c r="G81" s="21"/>
    </row>
    <row r="82" spans="1:7">
      <c r="A82" s="50" t="s">
        <v>21</v>
      </c>
      <c r="B82" s="51"/>
      <c r="C82" s="51"/>
      <c r="D82" s="51"/>
      <c r="E82" s="51"/>
      <c r="F82" s="212">
        <f>G20+G62+G77+G80</f>
        <v>149506.12</v>
      </c>
      <c r="G82" s="213"/>
    </row>
    <row r="83" spans="1:7" s="20" customFormat="1">
      <c r="A83" s="19"/>
      <c r="G83" s="52"/>
    </row>
    <row r="84" spans="1:7" s="20" customFormat="1">
      <c r="A84" s="25"/>
      <c r="B84" s="26"/>
      <c r="C84" s="26"/>
      <c r="D84" s="26"/>
      <c r="E84" s="26"/>
      <c r="F84" s="27" t="s">
        <v>22</v>
      </c>
      <c r="G84" s="28">
        <v>0</v>
      </c>
    </row>
    <row r="86" spans="1:7">
      <c r="A86" s="1" t="s">
        <v>26</v>
      </c>
      <c r="B86" s="2"/>
      <c r="C86" s="2"/>
      <c r="D86" s="2"/>
      <c r="E86" s="2"/>
      <c r="F86" s="205">
        <f>F82-G84</f>
        <v>149506.12</v>
      </c>
      <c r="G86" s="206"/>
    </row>
  </sheetData>
  <mergeCells count="7">
    <mergeCell ref="F86:G86"/>
    <mergeCell ref="A1:G1"/>
    <mergeCell ref="A18:G18"/>
    <mergeCell ref="A22:G22"/>
    <mergeCell ref="A64:G64"/>
    <mergeCell ref="F82:G82"/>
    <mergeCell ref="A19:G19"/>
  </mergeCells>
  <pageMargins left="1" right="1" top="1" bottom="1" header="0.5" footer="0.5"/>
  <pageSetup scale="83" fitToHeight="3" orientation="portrait"/>
  <rowBreaks count="2" manualBreakCount="2">
    <brk id="21" max="16383" man="1"/>
    <brk id="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F35"/>
  <sheetViews>
    <sheetView showGridLines="0" tabSelected="1" workbookViewId="0">
      <selection activeCell="L32" sqref="L32"/>
    </sheetView>
  </sheetViews>
  <sheetFormatPr baseColWidth="10" defaultColWidth="8.83203125" defaultRowHeight="15" x14ac:dyDescent="0"/>
  <cols>
    <col min="1" max="1" width="28.5" style="5" customWidth="1"/>
    <col min="2" max="2" width="8.6640625" style="5" customWidth="1"/>
    <col min="3" max="5" width="11.33203125" style="5" customWidth="1"/>
    <col min="6" max="6" width="12.6640625" style="45" bestFit="1" customWidth="1"/>
    <col min="7" max="16384" width="8.83203125" style="5"/>
  </cols>
  <sheetData>
    <row r="1" spans="1:6" ht="42" customHeight="1">
      <c r="A1" s="210" t="s">
        <v>145</v>
      </c>
      <c r="B1" s="210"/>
      <c r="C1" s="210"/>
      <c r="D1" s="210"/>
      <c r="E1" s="210"/>
      <c r="F1" s="210"/>
    </row>
    <row r="2" spans="1:6">
      <c r="A2" s="55"/>
      <c r="B2" s="55"/>
      <c r="C2" s="55" t="s">
        <v>32</v>
      </c>
      <c r="D2" s="55" t="s">
        <v>33</v>
      </c>
      <c r="E2" s="55" t="s">
        <v>34</v>
      </c>
      <c r="F2" s="55" t="s">
        <v>29</v>
      </c>
    </row>
    <row r="3" spans="1:6">
      <c r="A3" s="1" t="s">
        <v>9</v>
      </c>
      <c r="B3" s="2"/>
      <c r="C3" s="40"/>
      <c r="D3" s="40"/>
      <c r="E3" s="40"/>
      <c r="F3" s="34"/>
    </row>
    <row r="4" spans="1:6" ht="16.5" customHeight="1">
      <c r="A4" s="45" t="s">
        <v>130</v>
      </c>
      <c r="B4" s="6"/>
      <c r="C4" s="46"/>
      <c r="D4" s="46"/>
      <c r="E4" s="46"/>
      <c r="F4" s="56"/>
    </row>
    <row r="5" spans="1:6">
      <c r="A5" s="57" t="s">
        <v>28</v>
      </c>
      <c r="B5" s="8"/>
      <c r="C5" s="47">
        <f>'TB Year 1'!G5+'TB Year 1'!G8+'TB Year 1'!G11</f>
        <v>72074.399999999994</v>
      </c>
      <c r="D5" s="47">
        <f>'TB Year 2'!G5+'TB Year 2'!G8+'TB Year 2'!G11</f>
        <v>72074.399999999994</v>
      </c>
      <c r="E5" s="47">
        <f>'TB Year 3'!G5+'TB Year 3'!G8+'TB Year 3'!G11</f>
        <v>72074.399999999994</v>
      </c>
      <c r="F5" s="58">
        <f>SUM(C5:E5)</f>
        <v>216223.19999999998</v>
      </c>
    </row>
    <row r="6" spans="1:6">
      <c r="A6" s="57" t="s">
        <v>42</v>
      </c>
      <c r="C6" s="47">
        <f>'TB Year 1'!G6+'TB Year 1'!G9+'TB Year 1'!G12</f>
        <v>32433.48</v>
      </c>
      <c r="D6" s="47">
        <f>'TB Year 2'!G6+'TB Year 2'!G9+'TB Year 2'!G12</f>
        <v>32433.48</v>
      </c>
      <c r="E6" s="47">
        <f>'TB Year 3'!G6+'TB Year 3'!G9+'TB Year 3'!G12</f>
        <v>32433.48</v>
      </c>
      <c r="F6" s="58">
        <f>SUM(C6:E6)</f>
        <v>97300.44</v>
      </c>
    </row>
    <row r="7" spans="1:6">
      <c r="A7" s="48"/>
      <c r="B7" s="14" t="s">
        <v>6</v>
      </c>
      <c r="C7" s="8">
        <f>SUM(C5:C6)</f>
        <v>104507.87999999999</v>
      </c>
      <c r="D7" s="8">
        <f>SUM(D5:D6)</f>
        <v>104507.87999999999</v>
      </c>
      <c r="E7" s="8">
        <f>SUM(E5:E6)</f>
        <v>104507.87999999999</v>
      </c>
      <c r="F7" s="59">
        <f>SUM(F5:F6)</f>
        <v>313523.64</v>
      </c>
    </row>
    <row r="8" spans="1:6" ht="6.75" customHeight="1"/>
    <row r="9" spans="1:6">
      <c r="A9" s="1" t="s">
        <v>11</v>
      </c>
      <c r="B9" s="2"/>
      <c r="C9" s="2"/>
      <c r="D9" s="2"/>
      <c r="E9" s="2"/>
      <c r="F9" s="35"/>
    </row>
    <row r="10" spans="1:6">
      <c r="A10" s="5" t="s">
        <v>44</v>
      </c>
      <c r="C10" s="47">
        <f>'TB Year 1'!G24</f>
        <v>0</v>
      </c>
      <c r="D10" s="47">
        <f>'TB Year 2'!G24</f>
        <v>0</v>
      </c>
      <c r="E10" s="47">
        <f>'TB Year 3'!G24</f>
        <v>0</v>
      </c>
      <c r="F10" s="58">
        <f t="shared" ref="F10:F14" si="0">SUM(C10:E10)</f>
        <v>0</v>
      </c>
    </row>
    <row r="11" spans="1:6">
      <c r="A11" s="5" t="s">
        <v>23</v>
      </c>
      <c r="C11" s="8">
        <f>'TB Year 1'!G25</f>
        <v>0</v>
      </c>
      <c r="D11" s="47">
        <f>'TB Year 2'!G25</f>
        <v>0</v>
      </c>
      <c r="E11" s="47">
        <f>'TB Year 3'!G25</f>
        <v>0</v>
      </c>
      <c r="F11" s="59">
        <f t="shared" si="0"/>
        <v>0</v>
      </c>
    </row>
    <row r="12" spans="1:6">
      <c r="A12" s="5" t="s">
        <v>43</v>
      </c>
      <c r="C12" s="8">
        <f>'TB Year 1'!G26</f>
        <v>0</v>
      </c>
      <c r="D12" s="47">
        <f>'TB Year 2'!G26</f>
        <v>0</v>
      </c>
      <c r="E12" s="47">
        <f>'TB Year 3'!G26</f>
        <v>0</v>
      </c>
      <c r="F12" s="59">
        <f t="shared" si="0"/>
        <v>0</v>
      </c>
    </row>
    <row r="13" spans="1:6" s="20" customFormat="1">
      <c r="A13" s="20" t="s">
        <v>24</v>
      </c>
      <c r="C13" s="47">
        <f>'TB Year 1'!G27</f>
        <v>7600</v>
      </c>
      <c r="D13" s="47">
        <f>'TB Year 2'!G27</f>
        <v>7600</v>
      </c>
      <c r="E13" s="47">
        <f>'TB Year 3'!G27</f>
        <v>7600</v>
      </c>
      <c r="F13" s="58">
        <f t="shared" si="0"/>
        <v>22800</v>
      </c>
    </row>
    <row r="14" spans="1:6" s="20" customFormat="1">
      <c r="A14" s="20" t="s">
        <v>30</v>
      </c>
      <c r="C14" s="47">
        <f>'TB Year 1'!G28</f>
        <v>10000</v>
      </c>
      <c r="D14" s="47">
        <f>'TB Year 2'!G28</f>
        <v>10000</v>
      </c>
      <c r="E14" s="47">
        <f>'TB Year 3'!G28</f>
        <v>10000</v>
      </c>
      <c r="F14" s="58">
        <f t="shared" si="0"/>
        <v>30000</v>
      </c>
    </row>
    <row r="15" spans="1:6">
      <c r="A15" s="5" t="s">
        <v>17</v>
      </c>
      <c r="C15" s="49"/>
      <c r="D15" s="49"/>
      <c r="E15" s="49"/>
      <c r="F15" s="60"/>
    </row>
    <row r="16" spans="1:6">
      <c r="A16" s="57" t="s">
        <v>3</v>
      </c>
      <c r="C16" s="8">
        <f>'TB Year 1'!G57</f>
        <v>1000</v>
      </c>
      <c r="D16" s="8">
        <f>'TB Year 2'!G57</f>
        <v>1000</v>
      </c>
      <c r="E16" s="47">
        <f>'TB Year 3'!G57</f>
        <v>1000</v>
      </c>
      <c r="F16" s="59">
        <f t="shared" ref="F16:F19" si="1">SUM(C16:E16)</f>
        <v>3000</v>
      </c>
    </row>
    <row r="17" spans="1:6">
      <c r="A17" s="57" t="s">
        <v>25</v>
      </c>
      <c r="C17" s="8">
        <f>'TB Year 1'!G58</f>
        <v>0</v>
      </c>
      <c r="D17" s="8">
        <f>'TB Year 2'!G58</f>
        <v>0</v>
      </c>
      <c r="E17" s="8">
        <f>'TB Year 3'!G58</f>
        <v>0</v>
      </c>
      <c r="F17" s="59">
        <f t="shared" si="1"/>
        <v>0</v>
      </c>
    </row>
    <row r="18" spans="1:6">
      <c r="A18" s="57" t="s">
        <v>47</v>
      </c>
      <c r="C18" s="8">
        <f>'TB Year 1'!G59</f>
        <v>0</v>
      </c>
      <c r="D18" s="8">
        <f>'TB Year 2'!G59</f>
        <v>0</v>
      </c>
      <c r="E18" s="8">
        <f>'TB Year 3'!G59</f>
        <v>0</v>
      </c>
      <c r="F18" s="59">
        <f t="shared" si="1"/>
        <v>0</v>
      </c>
    </row>
    <row r="19" spans="1:6">
      <c r="A19" s="76" t="s">
        <v>45</v>
      </c>
      <c r="C19" s="63">
        <f>'TB Year 1'!G60</f>
        <v>0</v>
      </c>
      <c r="D19" s="63">
        <f>'TB Year 2'!G60</f>
        <v>0</v>
      </c>
      <c r="E19" s="63">
        <f>'TB Year 3'!G60</f>
        <v>0</v>
      </c>
      <c r="F19" s="64">
        <f t="shared" si="1"/>
        <v>0</v>
      </c>
    </row>
    <row r="20" spans="1:6">
      <c r="A20" s="5" t="s">
        <v>7</v>
      </c>
      <c r="B20" s="14" t="s">
        <v>6</v>
      </c>
      <c r="C20" s="49">
        <f>SUM(C10:C19)</f>
        <v>18600</v>
      </c>
      <c r="D20" s="49">
        <f>SUM(D10:D19)</f>
        <v>18600</v>
      </c>
      <c r="E20" s="49">
        <f>SUM(E10:E19)</f>
        <v>18600</v>
      </c>
      <c r="F20" s="60">
        <f>F10+F11+F12+F13+F14+F16+F19+F17</f>
        <v>55800</v>
      </c>
    </row>
    <row r="21" spans="1:6" ht="6.75" customHeight="1">
      <c r="A21" s="5" t="s">
        <v>7</v>
      </c>
    </row>
    <row r="22" spans="1:6">
      <c r="A22" s="1" t="s">
        <v>18</v>
      </c>
      <c r="B22" s="2"/>
      <c r="C22" s="2"/>
      <c r="D22" s="2"/>
      <c r="E22" s="2"/>
      <c r="F22" s="35"/>
    </row>
    <row r="23" spans="1:6" ht="6.75" customHeight="1"/>
    <row r="24" spans="1:6">
      <c r="B24" s="24"/>
      <c r="C24" s="49">
        <f>440+440+120</f>
        <v>1000</v>
      </c>
      <c r="D24" s="49">
        <f>440+440+120</f>
        <v>1000</v>
      </c>
      <c r="E24" s="49">
        <f>440+440+120</f>
        <v>1000</v>
      </c>
      <c r="F24" s="59">
        <f>SUM(C24:E24)</f>
        <v>3000</v>
      </c>
    </row>
    <row r="25" spans="1:6">
      <c r="A25" s="5" t="s">
        <v>128</v>
      </c>
      <c r="B25" s="33"/>
      <c r="C25" s="49"/>
      <c r="D25" s="49"/>
    </row>
    <row r="26" spans="1:6">
      <c r="A26" s="20"/>
      <c r="B26" s="14" t="s">
        <v>31</v>
      </c>
      <c r="C26" s="47">
        <f>C24*26.24</f>
        <v>26240</v>
      </c>
      <c r="D26" s="47">
        <f>D24*26.24</f>
        <v>26240</v>
      </c>
      <c r="E26" s="47">
        <f>E24*26.24</f>
        <v>26240</v>
      </c>
      <c r="F26" s="59">
        <f>SUM(C26:E26)</f>
        <v>78720</v>
      </c>
    </row>
    <row r="27" spans="1:6" ht="6.75" customHeight="1"/>
    <row r="28" spans="1:6">
      <c r="A28" s="1" t="s">
        <v>129</v>
      </c>
      <c r="B28" s="2"/>
      <c r="C28" s="178">
        <f>'TB Year 1'!G80</f>
        <v>158.24</v>
      </c>
      <c r="D28" s="178">
        <f>'TB Year 2'!G80</f>
        <v>158.24</v>
      </c>
      <c r="E28" s="178">
        <f>'TB Year 3'!G80</f>
        <v>158.24</v>
      </c>
      <c r="F28" s="179">
        <f>SUM(C28:E28)</f>
        <v>474.72</v>
      </c>
    </row>
    <row r="29" spans="1:6" s="20" customFormat="1" ht="12" customHeight="1">
      <c r="C29" s="21"/>
      <c r="D29" s="21"/>
      <c r="E29" s="21"/>
      <c r="F29" s="61"/>
    </row>
    <row r="30" spans="1:6">
      <c r="A30" s="1" t="s">
        <v>21</v>
      </c>
      <c r="B30" s="2"/>
      <c r="C30" s="62">
        <f>C7+C20+C26+C28</f>
        <v>149506.12</v>
      </c>
      <c r="D30" s="62">
        <f>D7+D20+D26+D28</f>
        <v>149506.12</v>
      </c>
      <c r="E30" s="62">
        <f>E7+E20+E26+E28-1</f>
        <v>149505.12</v>
      </c>
      <c r="F30" s="36">
        <f>F7+F20+F26+F28</f>
        <v>448518.36</v>
      </c>
    </row>
    <row r="31" spans="1:6" s="20" customFormat="1" ht="6.75" customHeight="1">
      <c r="C31" s="21"/>
      <c r="D31" s="21"/>
      <c r="E31" s="21"/>
      <c r="F31" s="61"/>
    </row>
    <row r="32" spans="1:6" s="20" customFormat="1">
      <c r="B32" s="41" t="s">
        <v>22</v>
      </c>
      <c r="C32" s="21">
        <v>0</v>
      </c>
      <c r="D32" s="21">
        <v>0</v>
      </c>
      <c r="E32" s="21">
        <v>0</v>
      </c>
      <c r="F32" s="61">
        <v>0</v>
      </c>
    </row>
    <row r="33" spans="1:6" ht="8.25" customHeight="1"/>
    <row r="34" spans="1:6">
      <c r="A34" s="1" t="s">
        <v>48</v>
      </c>
      <c r="B34" s="2"/>
      <c r="C34" s="62">
        <f>C30-C32</f>
        <v>149506.12</v>
      </c>
      <c r="D34" s="62">
        <f t="shared" ref="D34:E34" si="2">D30-D32</f>
        <v>149506.12</v>
      </c>
      <c r="E34" s="62">
        <f t="shared" si="2"/>
        <v>149505.12</v>
      </c>
      <c r="F34" s="36">
        <f>F30-F32</f>
        <v>448518.36</v>
      </c>
    </row>
    <row r="35" spans="1:6" ht="54.75" customHeight="1">
      <c r="A35" s="217" t="str">
        <f>'TB Year 1'!A18:G18</f>
        <v>1 - Fringe benefits are charged at a rate of 45.00% on faculty salaries.  Benefits include paid annual leave, health(medical and dental) insurance, TSP matching.</v>
      </c>
      <c r="B35" s="217"/>
      <c r="C35" s="217"/>
      <c r="D35" s="217"/>
      <c r="E35" s="217"/>
      <c r="F35" s="217"/>
    </row>
  </sheetData>
  <mergeCells count="2">
    <mergeCell ref="A1:F1"/>
    <mergeCell ref="A35:F35"/>
  </mergeCells>
  <pageMargins left="1" right="1" top="1" bottom="1" header="0.5" footer="0.5"/>
  <pageSetup fitToHeight="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5"/>
  <sheetViews>
    <sheetView topLeftCell="A31" zoomScale="90" workbookViewId="0">
      <selection activeCell="D37" sqref="D37"/>
    </sheetView>
  </sheetViews>
  <sheetFormatPr baseColWidth="10" defaultColWidth="9.5" defaultRowHeight="12" x14ac:dyDescent="0"/>
  <cols>
    <col min="1" max="1" width="2.33203125" style="78" customWidth="1"/>
    <col min="2" max="2" width="8" style="78" customWidth="1"/>
    <col min="3" max="3" width="25.33203125" style="78" customWidth="1"/>
    <col min="4" max="4" width="10.6640625" style="78" customWidth="1"/>
    <col min="5" max="5" width="10.1640625" style="78" bestFit="1" customWidth="1"/>
    <col min="6" max="6" width="10.33203125" style="78" bestFit="1" customWidth="1"/>
    <col min="7" max="9" width="12.5" style="78" customWidth="1"/>
    <col min="10" max="10" width="12.6640625" style="82" bestFit="1" customWidth="1"/>
    <col min="11" max="11" width="1" style="81" customWidth="1"/>
    <col min="12" max="12" width="10.33203125" style="80" customWidth="1"/>
    <col min="13" max="13" width="8.6640625" style="79" customWidth="1"/>
    <col min="14" max="14" width="10.5" style="79" customWidth="1"/>
    <col min="15" max="16" width="9.5" style="78" customWidth="1"/>
    <col min="17" max="17" width="13.33203125" style="78" bestFit="1" customWidth="1"/>
    <col min="18" max="18" width="7.6640625" style="78" customWidth="1"/>
    <col min="19" max="19" width="9.5" style="78" customWidth="1"/>
    <col min="20" max="20" width="8.1640625" style="78" customWidth="1"/>
    <col min="21" max="21" width="9.1640625" style="78" customWidth="1"/>
    <col min="22" max="27" width="9.5" style="78" customWidth="1"/>
    <col min="28" max="28" width="14.6640625" style="78" customWidth="1"/>
    <col min="29" max="16384" width="9.5" style="78"/>
  </cols>
  <sheetData>
    <row r="1" spans="1:29">
      <c r="F1" s="78" t="s">
        <v>113</v>
      </c>
      <c r="G1" s="164">
        <v>41821</v>
      </c>
      <c r="H1" s="164">
        <f>G2+1</f>
        <v>42186</v>
      </c>
      <c r="I1" s="164">
        <f>H2+1</f>
        <v>42552</v>
      </c>
      <c r="L1" s="90"/>
      <c r="M1" s="89"/>
      <c r="N1" s="89"/>
      <c r="O1" s="89"/>
      <c r="P1" s="163" t="s">
        <v>112</v>
      </c>
      <c r="Q1" s="157"/>
    </row>
    <row r="2" spans="1:29" ht="12.5" customHeight="1">
      <c r="A2" s="162"/>
      <c r="C2" s="161" t="s">
        <v>111</v>
      </c>
      <c r="D2" s="144">
        <v>1</v>
      </c>
      <c r="F2" s="78" t="s">
        <v>98</v>
      </c>
      <c r="G2" s="160">
        <v>42185</v>
      </c>
      <c r="H2" s="159">
        <f>+G2+365+1</f>
        <v>42551</v>
      </c>
      <c r="I2" s="159">
        <f>+H2+365</f>
        <v>42916</v>
      </c>
      <c r="J2" s="158" t="s">
        <v>0</v>
      </c>
      <c r="K2" s="154"/>
      <c r="L2" s="104"/>
      <c r="M2" s="89"/>
      <c r="N2" s="89"/>
      <c r="O2" s="89"/>
      <c r="P2" s="157" t="s">
        <v>110</v>
      </c>
      <c r="Q2" s="157"/>
      <c r="R2" s="134"/>
      <c r="S2" s="134"/>
      <c r="T2" s="134"/>
      <c r="AB2" s="87"/>
      <c r="AC2" s="87"/>
    </row>
    <row r="3" spans="1:29" ht="36">
      <c r="A3" s="108" t="s">
        <v>109</v>
      </c>
      <c r="B3" s="83"/>
      <c r="D3" s="156" t="s">
        <v>108</v>
      </c>
      <c r="E3" s="156" t="s">
        <v>107</v>
      </c>
      <c r="F3" s="156" t="s">
        <v>106</v>
      </c>
      <c r="G3" s="124"/>
      <c r="H3" s="124"/>
      <c r="I3" s="124"/>
      <c r="J3" s="155"/>
      <c r="K3" s="154"/>
      <c r="L3" s="135" t="s">
        <v>91</v>
      </c>
      <c r="M3" s="153" t="s">
        <v>105</v>
      </c>
      <c r="N3" s="153" t="s">
        <v>104</v>
      </c>
      <c r="O3" s="153" t="s">
        <v>103</v>
      </c>
      <c r="P3" s="152" t="s">
        <v>102</v>
      </c>
      <c r="Q3" s="146" t="s">
        <v>101</v>
      </c>
      <c r="R3" s="151"/>
      <c r="S3" s="83"/>
      <c r="T3" s="83"/>
      <c r="U3" s="83"/>
      <c r="AB3" s="87"/>
      <c r="AC3" s="87"/>
    </row>
    <row r="4" spans="1:29">
      <c r="A4" s="83"/>
      <c r="B4" s="83"/>
      <c r="C4" s="144" t="s">
        <v>100</v>
      </c>
      <c r="D4" s="126">
        <v>0</v>
      </c>
      <c r="E4" s="126">
        <v>1</v>
      </c>
      <c r="F4" s="114">
        <v>0</v>
      </c>
      <c r="G4" s="165">
        <f>+ROUND((N4*$D$2+O4*$D$2)*F4*E4+D4*L4*$D$2,0)</f>
        <v>0</v>
      </c>
      <c r="H4" s="165">
        <f t="shared" ref="H4:I4" si="0">ROUND(G4*$D$2,0)</f>
        <v>0</v>
      </c>
      <c r="I4" s="165">
        <f t="shared" si="0"/>
        <v>0</v>
      </c>
      <c r="J4" s="82">
        <f>SUM(G4:I4)</f>
        <v>0</v>
      </c>
      <c r="L4" s="150">
        <v>0</v>
      </c>
      <c r="M4" s="149"/>
      <c r="N4" s="136">
        <f>+L4/9</f>
        <v>0</v>
      </c>
      <c r="O4" s="136">
        <f>+M4/9</f>
        <v>0</v>
      </c>
      <c r="P4" s="146" t="s">
        <v>99</v>
      </c>
      <c r="Q4" s="148">
        <v>37072</v>
      </c>
      <c r="R4" s="136"/>
      <c r="S4" s="147"/>
      <c r="T4" s="147"/>
      <c r="U4" s="147"/>
      <c r="AB4" s="87"/>
      <c r="AC4" s="87"/>
    </row>
    <row r="5" spans="1:29">
      <c r="A5" s="83"/>
      <c r="B5" s="83"/>
      <c r="C5" s="144" t="s">
        <v>122</v>
      </c>
      <c r="D5" s="126">
        <v>0</v>
      </c>
      <c r="E5" s="126">
        <v>1</v>
      </c>
      <c r="F5" s="114">
        <f>440/(173.333333333333)</f>
        <v>2.5384615384615432</v>
      </c>
      <c r="G5" s="165">
        <f>(N5*$D$2+O5*$D$2)*F5*E5+D5*L5*$D$2</f>
        <v>34218.799999999996</v>
      </c>
      <c r="H5" s="165">
        <f>G5</f>
        <v>34218.799999999996</v>
      </c>
      <c r="I5" s="165">
        <f>H5</f>
        <v>34218.799999999996</v>
      </c>
      <c r="J5" s="82">
        <f>SUM(G5:I5)</f>
        <v>102656.4</v>
      </c>
      <c r="L5" s="143">
        <f>77.77*173.333333333333*9</f>
        <v>121321.19999999976</v>
      </c>
      <c r="M5" s="142">
        <v>0</v>
      </c>
      <c r="N5" s="136">
        <f>SUM(L5+M5)/9</f>
        <v>13480.133333333308</v>
      </c>
      <c r="O5" s="136">
        <f>+M5/9</f>
        <v>0</v>
      </c>
      <c r="P5" s="146" t="s">
        <v>98</v>
      </c>
      <c r="Q5" s="145">
        <v>37436</v>
      </c>
      <c r="R5" s="136"/>
      <c r="S5" s="136"/>
      <c r="T5" s="136"/>
      <c r="U5" s="136"/>
      <c r="AB5" s="87"/>
      <c r="AC5" s="87"/>
    </row>
    <row r="6" spans="1:29">
      <c r="A6" s="83"/>
      <c r="B6" s="83"/>
      <c r="C6" s="144" t="s">
        <v>123</v>
      </c>
      <c r="D6" s="126">
        <v>0</v>
      </c>
      <c r="E6" s="126">
        <v>1</v>
      </c>
      <c r="F6" s="114">
        <f>440/(173.333333333333)</f>
        <v>2.5384615384615432</v>
      </c>
      <c r="G6" s="165">
        <f>(N6*$D$2+O6*$D$2)*F6*E6+D6*L6*$D$2</f>
        <v>28375.599999999999</v>
      </c>
      <c r="H6" s="165">
        <f t="shared" ref="H6:I7" si="1">G6</f>
        <v>28375.599999999999</v>
      </c>
      <c r="I6" s="165">
        <f t="shared" si="1"/>
        <v>28375.599999999999</v>
      </c>
      <c r="J6" s="82">
        <f>SUM(G6:I6)</f>
        <v>85126.799999999988</v>
      </c>
      <c r="L6" s="143">
        <f>64.49*173.333333333333*9</f>
        <v>100604.39999999981</v>
      </c>
      <c r="M6" s="142">
        <v>0</v>
      </c>
      <c r="N6" s="136">
        <f>SUM(L6+M6)/9</f>
        <v>11178.266666666645</v>
      </c>
      <c r="O6" s="136">
        <f>+M6/9</f>
        <v>0</v>
      </c>
      <c r="P6" s="134"/>
      <c r="Q6" s="134"/>
      <c r="R6" s="134"/>
      <c r="AB6" s="87"/>
      <c r="AC6" s="87"/>
    </row>
    <row r="7" spans="1:29">
      <c r="A7" s="83"/>
      <c r="B7" s="83"/>
      <c r="C7" s="144" t="s">
        <v>124</v>
      </c>
      <c r="D7" s="126">
        <v>0</v>
      </c>
      <c r="E7" s="126">
        <v>1</v>
      </c>
      <c r="F7" s="114">
        <f>120/(173.333333333333)</f>
        <v>0.69230769230769362</v>
      </c>
      <c r="G7" s="165">
        <f>(N7+O7)*F7*E7+D7*L7</f>
        <v>9480</v>
      </c>
      <c r="H7" s="165">
        <f t="shared" si="1"/>
        <v>9480</v>
      </c>
      <c r="I7" s="165">
        <f t="shared" si="1"/>
        <v>9480</v>
      </c>
      <c r="J7" s="82">
        <f>SUM(G7:I7)</f>
        <v>28440</v>
      </c>
      <c r="L7" s="143">
        <f>79*173.333333333333*9</f>
        <v>123239.99999999977</v>
      </c>
      <c r="M7" s="142">
        <v>0</v>
      </c>
      <c r="N7" s="136">
        <f>SUM(L7+M7)/9</f>
        <v>13693.333333333307</v>
      </c>
      <c r="O7" s="136">
        <f>+M7/9</f>
        <v>0</v>
      </c>
      <c r="P7" s="141" t="s">
        <v>97</v>
      </c>
      <c r="Q7" s="134"/>
      <c r="AB7" s="87"/>
      <c r="AC7" s="87"/>
    </row>
    <row r="8" spans="1:29">
      <c r="A8" s="83"/>
      <c r="B8" s="78" t="s">
        <v>96</v>
      </c>
      <c r="D8" s="86"/>
      <c r="E8" s="86"/>
      <c r="F8" s="85"/>
      <c r="G8" s="96">
        <f>SUBTOTAL(9,G4:G7)</f>
        <v>72074.399999999994</v>
      </c>
      <c r="H8" s="96">
        <f>SUBTOTAL(9,H4:H7)</f>
        <v>72074.399999999994</v>
      </c>
      <c r="I8" s="96">
        <f>SUBTOTAL(9,I4:I7)</f>
        <v>72074.399999999994</v>
      </c>
      <c r="J8" s="96">
        <f>SUBTOTAL(9,J4:J7)</f>
        <v>216223.19999999998</v>
      </c>
      <c r="K8" s="139"/>
      <c r="L8" s="90"/>
      <c r="M8" s="89"/>
      <c r="N8" s="111"/>
      <c r="O8" s="111"/>
      <c r="P8" s="134"/>
      <c r="Q8" s="137"/>
      <c r="AB8" s="87"/>
      <c r="AC8" s="87"/>
    </row>
    <row r="9" spans="1:29">
      <c r="A9" s="83"/>
      <c r="D9" s="86"/>
      <c r="E9" s="86"/>
      <c r="F9" s="85"/>
      <c r="G9" s="97"/>
      <c r="H9" s="97"/>
      <c r="I9" s="97"/>
      <c r="J9" s="140"/>
      <c r="K9" s="139"/>
      <c r="L9" s="90"/>
      <c r="M9" s="89"/>
      <c r="N9" s="111"/>
      <c r="O9" s="111"/>
      <c r="P9" s="138"/>
      <c r="Q9" s="137"/>
      <c r="R9" s="136"/>
      <c r="S9" s="136"/>
      <c r="T9" s="136"/>
      <c r="U9" s="136"/>
      <c r="AB9" s="87"/>
      <c r="AC9" s="87"/>
    </row>
    <row r="10" spans="1:29">
      <c r="A10" s="108" t="s">
        <v>95</v>
      </c>
      <c r="B10" s="83"/>
      <c r="D10" s="131" t="s">
        <v>94</v>
      </c>
      <c r="E10" s="131" t="s">
        <v>93</v>
      </c>
      <c r="F10" s="130" t="s">
        <v>84</v>
      </c>
      <c r="G10" s="84"/>
      <c r="H10" s="84"/>
      <c r="I10" s="84"/>
      <c r="L10" s="135" t="s">
        <v>92</v>
      </c>
      <c r="M10" s="135" t="s">
        <v>91</v>
      </c>
      <c r="N10" s="89"/>
      <c r="O10" s="88"/>
      <c r="P10" s="134"/>
      <c r="Q10" s="134"/>
      <c r="R10" s="134"/>
      <c r="S10" s="134"/>
      <c r="T10" s="134"/>
      <c r="AB10" s="87"/>
      <c r="AC10" s="87"/>
    </row>
    <row r="11" spans="1:29">
      <c r="A11" s="83"/>
      <c r="B11" s="78" t="s">
        <v>90</v>
      </c>
      <c r="D11" s="126">
        <v>0</v>
      </c>
      <c r="E11" s="126">
        <v>0</v>
      </c>
      <c r="F11" s="114">
        <v>0</v>
      </c>
      <c r="G11" s="84">
        <f>ROUND(D11*L11,0)+ROUND(E11*M11+E11*F11*M11/9,0)</f>
        <v>0</v>
      </c>
      <c r="H11" s="84">
        <f>ROUND(G11*$D$2,0)</f>
        <v>0</v>
      </c>
      <c r="I11" s="84">
        <f>ROUND(H11*$D$2,0)</f>
        <v>0</v>
      </c>
      <c r="J11" s="82">
        <f>SUM(G11:I11)</f>
        <v>0</v>
      </c>
      <c r="L11" s="133">
        <v>45000</v>
      </c>
      <c r="M11" s="132">
        <v>0</v>
      </c>
      <c r="N11" s="89"/>
      <c r="O11" s="88"/>
      <c r="S11" s="134"/>
      <c r="T11" s="134"/>
      <c r="AC11" s="87"/>
    </row>
    <row r="12" spans="1:29">
      <c r="A12" s="83"/>
      <c r="B12" s="78" t="s">
        <v>89</v>
      </c>
      <c r="D12" s="126"/>
      <c r="E12" s="126"/>
      <c r="F12" s="114"/>
      <c r="G12" s="84"/>
      <c r="H12" s="84"/>
      <c r="I12" s="84"/>
      <c r="L12" s="133"/>
      <c r="M12" s="132"/>
      <c r="N12" s="89"/>
      <c r="O12" s="88"/>
      <c r="S12" s="134"/>
      <c r="T12" s="134"/>
      <c r="AC12" s="87"/>
    </row>
    <row r="13" spans="1:29">
      <c r="A13" s="83"/>
      <c r="B13" s="78" t="s">
        <v>88</v>
      </c>
      <c r="D13" s="126">
        <v>0</v>
      </c>
      <c r="E13" s="126">
        <v>0</v>
      </c>
      <c r="F13" s="114">
        <v>0</v>
      </c>
      <c r="G13" s="84">
        <f>ROUND(D13*L13,0)+ROUND(E13*M13+E13*F13*M13/9,0)</f>
        <v>0</v>
      </c>
      <c r="H13" s="84">
        <f>ROUND(G13*$D$2,0)</f>
        <v>0</v>
      </c>
      <c r="I13" s="84">
        <f>ROUND(H13*$D$2,0)</f>
        <v>0</v>
      </c>
      <c r="J13" s="82">
        <f>SUM(G13:I13)</f>
        <v>0</v>
      </c>
      <c r="L13" s="133">
        <v>0</v>
      </c>
      <c r="M13" s="132">
        <v>0</v>
      </c>
      <c r="N13" s="111"/>
      <c r="O13" s="88"/>
      <c r="AB13" s="87"/>
      <c r="AC13" s="87"/>
    </row>
    <row r="14" spans="1:29">
      <c r="A14" s="83"/>
      <c r="B14" s="78" t="s">
        <v>87</v>
      </c>
      <c r="D14" s="131" t="s">
        <v>86</v>
      </c>
      <c r="E14" s="131" t="s">
        <v>85</v>
      </c>
      <c r="F14" s="130" t="s">
        <v>84</v>
      </c>
      <c r="G14" s="84"/>
      <c r="H14" s="84"/>
      <c r="I14" s="84"/>
      <c r="L14" s="129" t="s">
        <v>83</v>
      </c>
      <c r="M14" s="128"/>
      <c r="N14" s="128"/>
      <c r="O14" s="88"/>
      <c r="AB14" s="87"/>
      <c r="AC14" s="87"/>
    </row>
    <row r="15" spans="1:29">
      <c r="A15" s="83"/>
      <c r="B15" s="127">
        <v>0</v>
      </c>
      <c r="C15" s="87" t="s">
        <v>82</v>
      </c>
      <c r="D15" s="126">
        <v>0.5</v>
      </c>
      <c r="E15" s="126">
        <v>0.5</v>
      </c>
      <c r="F15" s="114">
        <v>0</v>
      </c>
      <c r="G15" s="84">
        <f>B15*(D15*L15+E15*F15*L15/9)*D2</f>
        <v>0</v>
      </c>
      <c r="H15" s="84">
        <f t="shared" ref="H15:I17" si="2">ROUND(G15*$D$2,0)</f>
        <v>0</v>
      </c>
      <c r="I15" s="84">
        <f t="shared" si="2"/>
        <v>0</v>
      </c>
      <c r="J15" s="82">
        <f>SUM(G15:I15)</f>
        <v>0</v>
      </c>
      <c r="L15" s="125">
        <f>19489.5*2</f>
        <v>38979</v>
      </c>
      <c r="M15" s="89"/>
      <c r="N15" s="111"/>
      <c r="O15" s="88"/>
      <c r="AB15" s="87"/>
      <c r="AC15" s="87"/>
    </row>
    <row r="16" spans="1:29">
      <c r="A16" s="83"/>
      <c r="B16" s="127">
        <v>0</v>
      </c>
      <c r="C16" s="87" t="s">
        <v>81</v>
      </c>
      <c r="D16" s="126">
        <v>0.5</v>
      </c>
      <c r="E16" s="126">
        <v>0.5</v>
      </c>
      <c r="F16" s="114">
        <v>0</v>
      </c>
      <c r="G16" s="84">
        <f>B16*(D16*L16+E16*F16*L16/9)*D2</f>
        <v>0</v>
      </c>
      <c r="H16" s="84">
        <f t="shared" si="2"/>
        <v>0</v>
      </c>
      <c r="I16" s="84">
        <f t="shared" si="2"/>
        <v>0</v>
      </c>
      <c r="J16" s="82">
        <f>SUM(G16:I16)</f>
        <v>0</v>
      </c>
      <c r="L16" s="125">
        <f>20070*2</f>
        <v>40140</v>
      </c>
      <c r="M16" s="89"/>
      <c r="N16" s="111"/>
      <c r="O16" s="88"/>
      <c r="AB16" s="87"/>
      <c r="AC16" s="87"/>
    </row>
    <row r="17" spans="1:29">
      <c r="A17" s="83"/>
      <c r="B17" s="127">
        <v>0</v>
      </c>
      <c r="C17" s="87" t="s">
        <v>80</v>
      </c>
      <c r="D17" s="126">
        <v>0.5</v>
      </c>
      <c r="E17" s="126">
        <v>0.5</v>
      </c>
      <c r="F17" s="114">
        <v>0</v>
      </c>
      <c r="G17" s="84">
        <f>B17*(D17*L17+E17*F17*L17/9)*D2</f>
        <v>0</v>
      </c>
      <c r="H17" s="84">
        <f t="shared" si="2"/>
        <v>0</v>
      </c>
      <c r="I17" s="84">
        <f t="shared" si="2"/>
        <v>0</v>
      </c>
      <c r="J17" s="82">
        <f>SUM(G17:I17)</f>
        <v>0</v>
      </c>
      <c r="L17" s="125">
        <f>20718*2</f>
        <v>41436</v>
      </c>
      <c r="M17" s="89"/>
      <c r="N17" s="111"/>
      <c r="O17" s="88"/>
      <c r="AB17" s="87"/>
      <c r="AC17" s="87"/>
    </row>
    <row r="18" spans="1:29">
      <c r="A18" s="83"/>
      <c r="B18" s="127">
        <v>0</v>
      </c>
      <c r="C18" s="87" t="s">
        <v>79</v>
      </c>
      <c r="D18" s="126">
        <v>0.5</v>
      </c>
      <c r="E18" s="126">
        <v>0.5</v>
      </c>
      <c r="F18" s="114">
        <v>3</v>
      </c>
      <c r="G18" s="84">
        <f>B18*(D18*L18+E18*F18*L18/9)</f>
        <v>0</v>
      </c>
      <c r="H18" s="84">
        <f>ROUND(G18,0)</f>
        <v>0</v>
      </c>
      <c r="I18" s="84">
        <f>H18</f>
        <v>0</v>
      </c>
      <c r="J18" s="82">
        <f>SUM(G18:I18)</f>
        <v>0</v>
      </c>
      <c r="L18" s="125">
        <v>38250</v>
      </c>
      <c r="M18" s="89"/>
      <c r="N18" s="111"/>
      <c r="O18" s="88"/>
      <c r="AB18" s="87"/>
      <c r="AC18" s="87"/>
    </row>
    <row r="19" spans="1:29" s="110" customFormat="1">
      <c r="B19" s="124">
        <f>SUM(B15:B18)</f>
        <v>0</v>
      </c>
      <c r="C19" s="110" t="s">
        <v>78</v>
      </c>
      <c r="D19" s="123"/>
      <c r="E19" s="123"/>
      <c r="F19" s="122"/>
      <c r="G19" s="121">
        <f>SUBTOTAL(9,G15:G18)</f>
        <v>0</v>
      </c>
      <c r="H19" s="121">
        <f>SUBTOTAL(9,H15:H18)</f>
        <v>0</v>
      </c>
      <c r="I19" s="121">
        <f>SUBTOTAL(9,I15:I18)</f>
        <v>0</v>
      </c>
      <c r="J19" s="121">
        <f>SUBTOTAL(9,J15:J18)</f>
        <v>0</v>
      </c>
      <c r="K19" s="120"/>
      <c r="L19" s="119" t="s">
        <v>77</v>
      </c>
      <c r="M19" s="89"/>
      <c r="N19" s="118"/>
      <c r="O19" s="117"/>
      <c r="S19" s="78"/>
      <c r="T19" s="78"/>
      <c r="U19" s="78"/>
      <c r="V19" s="78"/>
      <c r="W19" s="78"/>
      <c r="AB19" s="116"/>
      <c r="AC19" s="116"/>
    </row>
    <row r="20" spans="1:29">
      <c r="A20" s="83"/>
      <c r="B20" s="83"/>
      <c r="D20" s="115" t="s">
        <v>76</v>
      </c>
      <c r="E20" s="115" t="s">
        <v>75</v>
      </c>
      <c r="G20" s="84"/>
      <c r="H20" s="84"/>
      <c r="I20" s="84"/>
      <c r="L20" s="90"/>
      <c r="M20" s="89"/>
      <c r="N20" s="89"/>
      <c r="O20" s="88"/>
      <c r="S20" s="110"/>
      <c r="T20" s="110"/>
      <c r="U20" s="110"/>
      <c r="V20" s="110"/>
      <c r="W20" s="110"/>
      <c r="AB20" s="87"/>
      <c r="AC20" s="87"/>
    </row>
    <row r="21" spans="1:29">
      <c r="A21" s="83"/>
      <c r="B21" s="78" t="s">
        <v>1</v>
      </c>
      <c r="D21" s="114">
        <v>0</v>
      </c>
      <c r="E21" s="113">
        <v>0</v>
      </c>
      <c r="G21" s="84">
        <f>+D21*E21</f>
        <v>0</v>
      </c>
      <c r="H21" s="84">
        <f t="shared" ref="H21:I23" si="3">ROUND(G21*$D$2,0)</f>
        <v>0</v>
      </c>
      <c r="I21" s="84">
        <f t="shared" si="3"/>
        <v>0</v>
      </c>
      <c r="J21" s="82">
        <f>SUM(G21:I21)</f>
        <v>0</v>
      </c>
      <c r="L21" s="112"/>
      <c r="M21" s="111"/>
      <c r="N21" s="111"/>
      <c r="O21" s="88"/>
      <c r="AB21" s="87"/>
      <c r="AC21" s="87"/>
    </row>
    <row r="22" spans="1:29">
      <c r="A22" s="83"/>
      <c r="B22" s="78" t="s">
        <v>74</v>
      </c>
      <c r="D22" s="114">
        <v>0</v>
      </c>
      <c r="E22" s="113">
        <v>0</v>
      </c>
      <c r="G22" s="84">
        <f>+D22*E22</f>
        <v>0</v>
      </c>
      <c r="H22" s="84">
        <f t="shared" si="3"/>
        <v>0</v>
      </c>
      <c r="I22" s="84">
        <f t="shared" si="3"/>
        <v>0</v>
      </c>
      <c r="J22" s="82">
        <f>SUM(G22:I22)</f>
        <v>0</v>
      </c>
      <c r="L22" s="112"/>
      <c r="M22" s="111"/>
      <c r="N22" s="111"/>
      <c r="O22" s="88"/>
      <c r="AB22" s="87"/>
      <c r="AC22" s="87"/>
    </row>
    <row r="23" spans="1:29">
      <c r="A23" s="83"/>
      <c r="B23" s="78" t="s">
        <v>2</v>
      </c>
      <c r="D23" s="114">
        <v>0</v>
      </c>
      <c r="E23" s="113">
        <v>0</v>
      </c>
      <c r="G23" s="84">
        <f>+D23*E23</f>
        <v>0</v>
      </c>
      <c r="H23" s="84">
        <f t="shared" si="3"/>
        <v>0</v>
      </c>
      <c r="I23" s="84">
        <f t="shared" si="3"/>
        <v>0</v>
      </c>
      <c r="J23" s="82">
        <f>SUM(G23:I23)</f>
        <v>0</v>
      </c>
      <c r="L23" s="112"/>
      <c r="M23" s="111"/>
      <c r="N23" s="111"/>
      <c r="O23" s="88"/>
      <c r="AB23" s="87"/>
      <c r="AC23" s="87"/>
    </row>
    <row r="24" spans="1:29">
      <c r="A24" s="83"/>
      <c r="B24" s="110" t="s">
        <v>73</v>
      </c>
      <c r="D24" s="85"/>
      <c r="E24" s="109"/>
      <c r="G24" s="96">
        <f>SUBTOTAL(9,G11:G23)</f>
        <v>0</v>
      </c>
      <c r="H24" s="96">
        <f>SUBTOTAL(9,H11:H23)</f>
        <v>0</v>
      </c>
      <c r="I24" s="96">
        <f>SUBTOTAL(9,I11:I23)</f>
        <v>0</v>
      </c>
      <c r="J24" s="96">
        <f>SUBTOTAL(9,J11:J23)</f>
        <v>0</v>
      </c>
      <c r="L24" s="90"/>
      <c r="M24" s="89"/>
      <c r="N24" s="89"/>
      <c r="O24" s="88"/>
      <c r="AB24" s="87"/>
      <c r="AC24" s="87"/>
    </row>
    <row r="25" spans="1:29">
      <c r="A25" s="83"/>
      <c r="B25" s="110"/>
      <c r="D25" s="85"/>
      <c r="E25" s="109"/>
      <c r="G25" s="96"/>
      <c r="H25" s="96"/>
      <c r="I25" s="96"/>
      <c r="J25" s="93"/>
      <c r="L25" s="90"/>
      <c r="M25" s="89"/>
      <c r="N25" s="89"/>
      <c r="O25" s="88"/>
      <c r="AB25" s="87"/>
      <c r="AC25" s="87"/>
    </row>
    <row r="26" spans="1:29">
      <c r="A26" s="78" t="s">
        <v>72</v>
      </c>
      <c r="D26" s="85"/>
      <c r="E26" s="109"/>
      <c r="G26" s="96">
        <f>SUBTOTAL(9,G4:G25)</f>
        <v>72074.399999999994</v>
      </c>
      <c r="H26" s="96">
        <f>SUBTOTAL(9,H4:H25)</f>
        <v>72074.399999999994</v>
      </c>
      <c r="I26" s="96">
        <f>SUBTOTAL(9,I4:I25)</f>
        <v>72074.399999999994</v>
      </c>
      <c r="J26" s="96">
        <f>SUBTOTAL(9,J4:J25)</f>
        <v>216223.19999999998</v>
      </c>
      <c r="L26" s="90"/>
      <c r="M26" s="89"/>
      <c r="N26" s="89"/>
      <c r="O26" s="88"/>
      <c r="AB26" s="87"/>
      <c r="AC26" s="87"/>
    </row>
    <row r="27" spans="1:29">
      <c r="A27" s="83"/>
      <c r="B27" s="83"/>
      <c r="G27" s="84"/>
      <c r="H27" s="84"/>
      <c r="I27" s="84"/>
      <c r="L27" s="90"/>
      <c r="M27" s="89"/>
      <c r="N27" s="89"/>
      <c r="O27" s="88"/>
      <c r="AC27" s="87"/>
    </row>
    <row r="28" spans="1:29">
      <c r="A28" s="108" t="s">
        <v>71</v>
      </c>
      <c r="B28" s="107"/>
      <c r="C28" s="105"/>
      <c r="D28" s="106" t="s">
        <v>70</v>
      </c>
      <c r="F28" s="85"/>
      <c r="G28" s="84"/>
      <c r="H28" s="84"/>
      <c r="I28" s="84"/>
      <c r="L28" s="90"/>
      <c r="M28" s="89"/>
      <c r="N28" s="89"/>
      <c r="O28" s="88"/>
      <c r="AB28" s="87"/>
      <c r="AC28" s="87"/>
    </row>
    <row r="29" spans="1:29">
      <c r="B29" s="166">
        <v>0.45</v>
      </c>
      <c r="C29" s="78" t="s">
        <v>125</v>
      </c>
      <c r="D29" s="103"/>
      <c r="E29" s="95"/>
      <c r="G29" s="165">
        <f>$B$29*G8</f>
        <v>32433.48</v>
      </c>
      <c r="H29" s="165">
        <f t="shared" ref="H29" si="4">$B$29*H8</f>
        <v>32433.48</v>
      </c>
      <c r="I29" s="165">
        <f>$B$29*I8</f>
        <v>32433.48</v>
      </c>
      <c r="J29" s="82">
        <f t="shared" ref="J29:J35" si="5">SUM(G29:I29)</f>
        <v>97300.44</v>
      </c>
      <c r="L29" s="90"/>
      <c r="M29" s="89"/>
      <c r="N29" s="89"/>
      <c r="O29" s="88"/>
    </row>
    <row r="30" spans="1:29">
      <c r="A30" s="105"/>
      <c r="D30" s="103"/>
      <c r="E30" s="95"/>
      <c r="G30" s="84">
        <v>0</v>
      </c>
      <c r="H30" s="84">
        <v>0</v>
      </c>
      <c r="I30" s="84">
        <v>0</v>
      </c>
      <c r="J30" s="82">
        <f t="shared" si="5"/>
        <v>0</v>
      </c>
      <c r="L30" s="90"/>
      <c r="M30" s="89"/>
      <c r="N30" s="89"/>
      <c r="O30" s="88"/>
      <c r="AB30" s="87"/>
      <c r="AC30" s="87"/>
    </row>
    <row r="31" spans="1:29">
      <c r="A31" s="105"/>
      <c r="D31" s="103"/>
      <c r="E31" s="95"/>
      <c r="G31" s="84">
        <f>ROUND((G8+G11+G13+G22)*$D31,0)</f>
        <v>0</v>
      </c>
      <c r="H31" s="84">
        <f>ROUND((H8+H11+H13+H22)*$D31,0)</f>
        <v>0</v>
      </c>
      <c r="I31" s="84">
        <f>ROUND((I8+I11+I13+I22)*$D31,0)</f>
        <v>0</v>
      </c>
      <c r="J31" s="82">
        <f t="shared" si="5"/>
        <v>0</v>
      </c>
      <c r="L31" s="90"/>
      <c r="M31" s="89"/>
      <c r="N31" s="89"/>
      <c r="O31" s="88"/>
      <c r="AB31" s="87"/>
      <c r="AC31" s="87"/>
    </row>
    <row r="32" spans="1:29">
      <c r="D32" s="103"/>
      <c r="E32" s="95"/>
      <c r="G32" s="84">
        <f>ROUND((G8+G11+G13+G22)*$D32,0)</f>
        <v>0</v>
      </c>
      <c r="H32" s="84">
        <f>ROUND((H8+H11+H13+H22)*$D32,0)</f>
        <v>0</v>
      </c>
      <c r="I32" s="84">
        <f>ROUND((I8+I11+I13+I22)*$D32,0)</f>
        <v>0</v>
      </c>
      <c r="J32" s="82">
        <f t="shared" si="5"/>
        <v>0</v>
      </c>
      <c r="L32" s="90"/>
      <c r="M32" s="89"/>
      <c r="N32" s="89"/>
      <c r="O32" s="88"/>
      <c r="AB32" s="87"/>
      <c r="AC32" s="87"/>
    </row>
    <row r="33" spans="1:29">
      <c r="D33" s="103"/>
      <c r="E33" s="95"/>
      <c r="G33" s="84">
        <f>ROUND((G8+G11+G13+G22)*$D33,0)</f>
        <v>0</v>
      </c>
      <c r="H33" s="84">
        <f>ROUND((H8+H11+H13+H22)*$D33,0)</f>
        <v>0</v>
      </c>
      <c r="I33" s="84">
        <f>ROUND((I8+I11+I13+I22)*$D33,0)</f>
        <v>0</v>
      </c>
      <c r="J33" s="82">
        <f t="shared" si="5"/>
        <v>0</v>
      </c>
      <c r="L33" s="104"/>
      <c r="M33" s="89"/>
      <c r="N33" s="89"/>
      <c r="O33" s="88"/>
      <c r="AB33" s="87"/>
      <c r="AC33" s="87"/>
    </row>
    <row r="34" spans="1:29">
      <c r="D34" s="103"/>
      <c r="E34" s="95"/>
      <c r="G34" s="84">
        <f>ROUND((G26-G19-G21)*$D34,0)</f>
        <v>0</v>
      </c>
      <c r="H34" s="84">
        <f>ROUND((H26-H19-H21)*$D34,0)</f>
        <v>0</v>
      </c>
      <c r="I34" s="84">
        <f>ROUND((I26-I19-I21)*$D34,0)</f>
        <v>0</v>
      </c>
      <c r="J34" s="82">
        <f t="shared" si="5"/>
        <v>0</v>
      </c>
      <c r="L34" s="90"/>
      <c r="M34" s="89"/>
      <c r="N34" s="89"/>
      <c r="O34" s="88"/>
      <c r="AB34" s="87"/>
      <c r="AC34" s="87"/>
    </row>
    <row r="35" spans="1:29">
      <c r="D35" s="103"/>
      <c r="E35" s="95"/>
      <c r="G35" s="84">
        <f>ROUND(G23*$D35,0)</f>
        <v>0</v>
      </c>
      <c r="H35" s="84">
        <f>ROUND(H23*$D35,0)</f>
        <v>0</v>
      </c>
      <c r="I35" s="84">
        <f>ROUND(I23*$D35,0)</f>
        <v>0</v>
      </c>
      <c r="J35" s="82">
        <f t="shared" si="5"/>
        <v>0</v>
      </c>
      <c r="L35" s="90"/>
      <c r="M35" s="89"/>
      <c r="N35" s="89"/>
      <c r="O35" s="88"/>
      <c r="AB35" s="87"/>
      <c r="AC35" s="87"/>
    </row>
    <row r="36" spans="1:29">
      <c r="G36" s="96">
        <f>SUBTOTAL(9,G29:G35)</f>
        <v>32433.48</v>
      </c>
      <c r="H36" s="96">
        <f>SUBTOTAL(9,H29:H35)</f>
        <v>32433.48</v>
      </c>
      <c r="I36" s="96">
        <f>SUBTOTAL(9,I29:I35)</f>
        <v>32433.48</v>
      </c>
      <c r="J36" s="96">
        <f>SUBTOTAL(9,J29:J35)</f>
        <v>97300.44</v>
      </c>
      <c r="L36" s="90"/>
      <c r="M36" s="89"/>
      <c r="N36" s="89"/>
      <c r="O36" s="88"/>
      <c r="AB36" s="87"/>
      <c r="AC36" s="87"/>
    </row>
    <row r="37" spans="1:29">
      <c r="G37" s="84"/>
      <c r="H37" s="84"/>
      <c r="I37" s="84"/>
      <c r="J37" s="84"/>
      <c r="K37" s="92"/>
      <c r="L37" s="90"/>
      <c r="M37" s="89"/>
      <c r="N37" s="89"/>
      <c r="O37" s="88"/>
      <c r="AC37" s="87"/>
    </row>
    <row r="38" spans="1:29">
      <c r="A38" s="78" t="s">
        <v>69</v>
      </c>
      <c r="G38" s="96">
        <f>SUBTOTAL(9,G4:G36)</f>
        <v>104507.87999999999</v>
      </c>
      <c r="H38" s="96">
        <f>SUBTOTAL(9,H4:H36)</f>
        <v>104507.87999999999</v>
      </c>
      <c r="I38" s="96">
        <f>SUBTOTAL(9,I4:I36)</f>
        <v>104507.87999999999</v>
      </c>
      <c r="J38" s="96">
        <f>SUBTOTAL(9,J4:J36)</f>
        <v>313523.64</v>
      </c>
      <c r="L38" s="90"/>
      <c r="M38" s="89"/>
      <c r="N38" s="89"/>
      <c r="O38" s="88"/>
      <c r="AC38" s="87"/>
    </row>
    <row r="39" spans="1:29">
      <c r="G39" s="99"/>
      <c r="H39" s="99"/>
      <c r="I39" s="99"/>
      <c r="L39" s="90"/>
      <c r="M39" s="89"/>
      <c r="N39" s="89"/>
      <c r="O39" s="88"/>
      <c r="AC39" s="87"/>
    </row>
    <row r="40" spans="1:29">
      <c r="A40" s="91" t="s">
        <v>68</v>
      </c>
      <c r="G40" s="99"/>
      <c r="H40" s="99"/>
      <c r="I40" s="99"/>
      <c r="L40" s="90"/>
      <c r="M40" s="89"/>
      <c r="N40" s="89"/>
      <c r="O40" s="88"/>
      <c r="AC40" s="87"/>
    </row>
    <row r="41" spans="1:29">
      <c r="B41" s="78" t="s">
        <v>67</v>
      </c>
      <c r="G41" s="99">
        <v>0</v>
      </c>
      <c r="H41" s="99">
        <v>0</v>
      </c>
      <c r="I41" s="99">
        <v>0</v>
      </c>
      <c r="J41" s="82">
        <f>SUM(G41:I41)</f>
        <v>0</v>
      </c>
      <c r="L41" s="90"/>
      <c r="M41" s="89"/>
      <c r="N41" s="89"/>
      <c r="O41" s="88"/>
      <c r="AC41" s="87"/>
    </row>
    <row r="42" spans="1:29">
      <c r="G42" s="99"/>
      <c r="H42" s="99"/>
      <c r="I42" s="99"/>
      <c r="L42" s="90"/>
      <c r="M42" s="89"/>
      <c r="N42" s="89"/>
      <c r="O42" s="88"/>
      <c r="AC42" s="87"/>
    </row>
    <row r="43" spans="1:29">
      <c r="A43" s="91" t="s">
        <v>66</v>
      </c>
      <c r="J43" s="78"/>
      <c r="L43" s="90"/>
      <c r="M43" s="89"/>
      <c r="N43" s="89"/>
      <c r="O43" s="88"/>
      <c r="AC43" s="87"/>
    </row>
    <row r="44" spans="1:29">
      <c r="B44" s="78" t="s">
        <v>65</v>
      </c>
      <c r="G44" s="99">
        <v>10000</v>
      </c>
      <c r="H44" s="99">
        <f>G44</f>
        <v>10000</v>
      </c>
      <c r="I44" s="99">
        <f>H44</f>
        <v>10000</v>
      </c>
      <c r="J44" s="82">
        <f>SUM(G44:I44)</f>
        <v>30000</v>
      </c>
      <c r="L44" s="90"/>
      <c r="M44" s="89"/>
      <c r="N44" s="89"/>
      <c r="O44" s="88"/>
      <c r="AC44" s="87"/>
    </row>
    <row r="45" spans="1:29">
      <c r="B45" s="78" t="s">
        <v>64</v>
      </c>
      <c r="G45" s="99">
        <v>0</v>
      </c>
      <c r="H45" s="99">
        <v>0</v>
      </c>
      <c r="I45" s="99">
        <v>0</v>
      </c>
      <c r="J45" s="82">
        <f>SUM(G45:I45)</f>
        <v>0</v>
      </c>
      <c r="L45" s="90"/>
      <c r="M45" s="89"/>
      <c r="N45" s="89"/>
      <c r="O45" s="88"/>
      <c r="AC45" s="87"/>
    </row>
    <row r="46" spans="1:29">
      <c r="B46" s="78" t="s">
        <v>63</v>
      </c>
      <c r="G46" s="102">
        <f>SUBTOTAL(9,G44:G45)</f>
        <v>10000</v>
      </c>
      <c r="H46" s="102">
        <f>SUBTOTAL(9,H44:H45)</f>
        <v>10000</v>
      </c>
      <c r="I46" s="102">
        <f>SUBTOTAL(9,I44:I45)</f>
        <v>10000</v>
      </c>
      <c r="J46" s="96">
        <f>SUBTOTAL(9,J44:J45)</f>
        <v>30000</v>
      </c>
      <c r="L46" s="90"/>
      <c r="M46" s="89"/>
      <c r="N46" s="89"/>
      <c r="O46" s="88"/>
      <c r="AC46" s="87"/>
    </row>
    <row r="47" spans="1:29">
      <c r="G47" s="101"/>
      <c r="H47" s="101"/>
      <c r="I47" s="101"/>
      <c r="J47" s="97"/>
      <c r="L47" s="90"/>
      <c r="M47" s="89"/>
      <c r="N47" s="89"/>
      <c r="O47" s="88"/>
      <c r="AC47" s="87"/>
    </row>
    <row r="48" spans="1:29">
      <c r="A48" s="91" t="s">
        <v>62</v>
      </c>
      <c r="G48" s="99">
        <v>0</v>
      </c>
      <c r="H48" s="99">
        <v>0</v>
      </c>
      <c r="I48" s="99">
        <v>0</v>
      </c>
      <c r="J48" s="82">
        <f>SUM(G48:I48)</f>
        <v>0</v>
      </c>
      <c r="L48" s="90"/>
      <c r="M48" s="89"/>
      <c r="N48" s="89"/>
      <c r="O48" s="88"/>
      <c r="AC48" s="87"/>
    </row>
    <row r="49" spans="1:29">
      <c r="G49" s="84"/>
      <c r="H49" s="84"/>
      <c r="I49" s="84"/>
      <c r="L49" s="90"/>
      <c r="M49" s="89"/>
      <c r="N49" s="89"/>
      <c r="O49" s="88"/>
      <c r="AC49" s="87"/>
    </row>
    <row r="50" spans="1:29">
      <c r="A50" s="91" t="s">
        <v>61</v>
      </c>
      <c r="G50" s="84"/>
      <c r="H50" s="84"/>
      <c r="I50" s="84"/>
      <c r="L50" s="90"/>
      <c r="M50" s="89"/>
      <c r="N50" s="89"/>
      <c r="O50" s="88"/>
      <c r="AC50" s="87"/>
    </row>
    <row r="51" spans="1:29">
      <c r="B51" s="78" t="s">
        <v>60</v>
      </c>
      <c r="G51" s="99">
        <v>7600</v>
      </c>
      <c r="H51" s="99">
        <f>G51</f>
        <v>7600</v>
      </c>
      <c r="I51" s="99">
        <f>H51</f>
        <v>7600</v>
      </c>
      <c r="J51" s="82">
        <f>SUM(G51:I51)</f>
        <v>22800</v>
      </c>
      <c r="L51" s="90"/>
      <c r="M51" s="89"/>
      <c r="N51" s="89"/>
      <c r="O51" s="88"/>
      <c r="AC51" s="87"/>
    </row>
    <row r="52" spans="1:29">
      <c r="B52" s="78" t="s">
        <v>3</v>
      </c>
      <c r="G52" s="99">
        <v>1000</v>
      </c>
      <c r="H52" s="99">
        <v>1000</v>
      </c>
      <c r="I52" s="99">
        <v>1000</v>
      </c>
      <c r="J52" s="82">
        <f>SUM(G52:I52)</f>
        <v>3000</v>
      </c>
      <c r="L52" s="90"/>
      <c r="M52" s="89"/>
      <c r="N52" s="89"/>
      <c r="O52" s="88"/>
      <c r="AC52" s="87"/>
    </row>
    <row r="53" spans="1:29">
      <c r="B53" s="78" t="s">
        <v>4</v>
      </c>
      <c r="G53" s="99">
        <v>0</v>
      </c>
      <c r="H53" s="99">
        <v>0</v>
      </c>
      <c r="I53" s="99">
        <v>0</v>
      </c>
      <c r="J53" s="82">
        <f>SUM(G53:I53)</f>
        <v>0</v>
      </c>
      <c r="L53" s="90"/>
      <c r="M53" s="89"/>
      <c r="N53" s="89"/>
      <c r="O53" s="88"/>
      <c r="AC53" s="87"/>
    </row>
    <row r="54" spans="1:29">
      <c r="B54" s="78" t="s">
        <v>59</v>
      </c>
      <c r="G54" s="99">
        <v>0</v>
      </c>
      <c r="H54" s="99">
        <v>0</v>
      </c>
      <c r="I54" s="99">
        <v>0</v>
      </c>
      <c r="J54" s="82">
        <f>SUM(G54:I54)</f>
        <v>0</v>
      </c>
      <c r="L54" s="90"/>
      <c r="M54" s="89"/>
      <c r="N54" s="89"/>
      <c r="O54" s="88"/>
      <c r="AC54" s="87"/>
    </row>
    <row r="55" spans="1:29">
      <c r="B55" s="78" t="s">
        <v>58</v>
      </c>
      <c r="G55" s="99">
        <v>0</v>
      </c>
      <c r="H55" s="99">
        <v>0</v>
      </c>
      <c r="I55" s="99">
        <v>0</v>
      </c>
      <c r="J55" s="82">
        <f>SUM(G55:I55)</f>
        <v>0</v>
      </c>
      <c r="L55" s="90"/>
      <c r="M55" s="89"/>
      <c r="N55" s="89"/>
      <c r="O55" s="88"/>
      <c r="AC55" s="87"/>
    </row>
    <row r="56" spans="1:29">
      <c r="B56" s="78" t="s">
        <v>2</v>
      </c>
      <c r="G56" s="99"/>
      <c r="H56" s="99"/>
      <c r="I56" s="99"/>
      <c r="L56" s="90"/>
      <c r="M56" s="89"/>
      <c r="N56" s="89"/>
      <c r="O56" s="88"/>
      <c r="AC56" s="87"/>
    </row>
    <row r="57" spans="1:29">
      <c r="B57" s="78" t="s">
        <v>57</v>
      </c>
      <c r="G57" s="99">
        <v>0</v>
      </c>
      <c r="H57" s="99">
        <v>0</v>
      </c>
      <c r="I57" s="99">
        <v>0</v>
      </c>
      <c r="J57" s="82">
        <f>SUM(G57:I57)</f>
        <v>0</v>
      </c>
      <c r="L57" s="90"/>
      <c r="M57" s="89"/>
      <c r="N57" s="89"/>
      <c r="O57" s="88"/>
      <c r="AC57" s="87"/>
    </row>
    <row r="58" spans="1:29">
      <c r="B58" s="78" t="s">
        <v>56</v>
      </c>
      <c r="G58" s="99">
        <v>0</v>
      </c>
      <c r="H58" s="99">
        <v>0</v>
      </c>
      <c r="I58" s="99">
        <v>0</v>
      </c>
      <c r="J58" s="82">
        <f>SUM(G58:I58)</f>
        <v>0</v>
      </c>
      <c r="L58" s="90"/>
      <c r="M58" s="89"/>
      <c r="N58" s="89"/>
      <c r="O58" s="88"/>
      <c r="AC58" s="87"/>
    </row>
    <row r="59" spans="1:29">
      <c r="B59" s="78" t="s">
        <v>55</v>
      </c>
      <c r="G59" s="99">
        <v>0</v>
      </c>
      <c r="H59" s="99">
        <v>0</v>
      </c>
      <c r="I59" s="99">
        <v>0</v>
      </c>
      <c r="J59" s="82">
        <f>SUM(G59:I59)</f>
        <v>0</v>
      </c>
      <c r="L59" s="90"/>
      <c r="M59" s="89"/>
      <c r="N59" s="89"/>
      <c r="O59" s="88"/>
      <c r="AC59" s="87"/>
    </row>
    <row r="60" spans="1:29">
      <c r="B60" s="100"/>
      <c r="C60" s="78" t="s">
        <v>54</v>
      </c>
      <c r="G60" s="99">
        <v>0</v>
      </c>
      <c r="H60" s="99">
        <v>0</v>
      </c>
      <c r="I60" s="99">
        <v>0</v>
      </c>
      <c r="J60" s="82">
        <f>SUM(G60:I60)</f>
        <v>0</v>
      </c>
      <c r="L60" s="90"/>
      <c r="M60" s="89"/>
      <c r="N60" s="89"/>
      <c r="O60" s="88"/>
      <c r="AB60" s="87"/>
      <c r="AC60" s="87"/>
    </row>
    <row r="61" spans="1:29">
      <c r="B61" s="78" t="s">
        <v>53</v>
      </c>
      <c r="G61" s="167">
        <v>158.24</v>
      </c>
      <c r="H61" s="167">
        <f>G61</f>
        <v>158.24</v>
      </c>
      <c r="I61" s="167">
        <f>H61</f>
        <v>158.24</v>
      </c>
      <c r="J61" s="82">
        <f>SUM(G61:I61)</f>
        <v>474.72</v>
      </c>
      <c r="L61" s="90"/>
      <c r="M61" s="89"/>
      <c r="N61" s="89"/>
      <c r="O61" s="88"/>
      <c r="AB61" s="87"/>
      <c r="AC61" s="87"/>
    </row>
    <row r="62" spans="1:29">
      <c r="B62" s="78" t="s">
        <v>52</v>
      </c>
      <c r="G62" s="96">
        <f>SUBTOTAL(9,G57:G61)</f>
        <v>158.24</v>
      </c>
      <c r="H62" s="96">
        <f>SUBTOTAL(9,H57:H61)</f>
        <v>158.24</v>
      </c>
      <c r="I62" s="96">
        <f>SUBTOTAL(9,I57:I61)</f>
        <v>158.24</v>
      </c>
      <c r="J62" s="96">
        <f>SUBTOTAL(9,J57:J61)</f>
        <v>474.72</v>
      </c>
      <c r="L62" s="90"/>
      <c r="M62" s="89"/>
      <c r="N62" s="89"/>
      <c r="O62" s="88"/>
      <c r="AB62" s="87"/>
      <c r="AC62" s="87"/>
    </row>
    <row r="63" spans="1:29">
      <c r="B63" s="78" t="s">
        <v>51</v>
      </c>
      <c r="D63" s="98"/>
      <c r="E63" s="83"/>
      <c r="G63" s="96">
        <f>SUBTOTAL(9,G51:G62)</f>
        <v>8758.24</v>
      </c>
      <c r="H63" s="96">
        <f>SUBTOTAL(9,H51:H62)</f>
        <v>8758.24</v>
      </c>
      <c r="I63" s="96">
        <f>SUBTOTAL(9,I51:I62)</f>
        <v>8758.24</v>
      </c>
      <c r="J63" s="96">
        <f>SUBTOTAL(9,J51:J62)</f>
        <v>26274.720000000001</v>
      </c>
      <c r="L63" s="90"/>
      <c r="M63" s="89"/>
      <c r="N63" s="89"/>
      <c r="O63" s="88"/>
      <c r="AC63" s="87"/>
    </row>
    <row r="64" spans="1:29">
      <c r="D64" s="98"/>
      <c r="E64" s="83"/>
      <c r="G64" s="97"/>
      <c r="H64" s="97"/>
      <c r="I64" s="97"/>
      <c r="J64" s="97"/>
      <c r="L64" s="90"/>
      <c r="M64" s="89"/>
      <c r="N64" s="89"/>
      <c r="O64" s="88"/>
      <c r="AC64" s="87"/>
    </row>
    <row r="65" spans="1:29">
      <c r="A65" s="78" t="s">
        <v>5</v>
      </c>
      <c r="G65" s="96">
        <f>SUBTOTAL(9,G4:G63)</f>
        <v>123266.12</v>
      </c>
      <c r="H65" s="96">
        <f>SUBTOTAL(9,H4:H63)</f>
        <v>123266.12</v>
      </c>
      <c r="I65" s="96">
        <f>SUBTOTAL(9,I4:I63)</f>
        <v>123266.12</v>
      </c>
      <c r="J65" s="96">
        <f>SUBTOTAL(9,J4:J63)</f>
        <v>369798.36</v>
      </c>
      <c r="L65" s="90"/>
      <c r="M65" s="89"/>
      <c r="N65" s="89"/>
      <c r="O65" s="88"/>
      <c r="AB65" s="87"/>
      <c r="AC65" s="87"/>
    </row>
    <row r="66" spans="1:29">
      <c r="A66" s="91" t="s">
        <v>50</v>
      </c>
      <c r="G66" s="84"/>
      <c r="H66" s="84"/>
      <c r="I66" s="84"/>
      <c r="L66" s="90"/>
      <c r="M66" s="89"/>
      <c r="N66" s="89"/>
      <c r="O66" s="88"/>
      <c r="AB66" s="87"/>
      <c r="AC66" s="87"/>
    </row>
    <row r="67" spans="1:29">
      <c r="G67" s="84"/>
      <c r="H67" s="84"/>
      <c r="I67" s="84"/>
      <c r="L67" s="90"/>
      <c r="M67" s="89"/>
      <c r="N67" s="89"/>
      <c r="O67" s="88"/>
      <c r="AB67" s="87"/>
      <c r="AC67" s="87"/>
    </row>
    <row r="68" spans="1:29">
      <c r="B68" s="95"/>
      <c r="G68" s="168">
        <v>0</v>
      </c>
      <c r="H68" s="168">
        <v>0</v>
      </c>
      <c r="I68" s="168">
        <v>0</v>
      </c>
      <c r="J68" s="168">
        <f>+J65-J41-J60-J48-IF(J55&gt;25000,J55-25000,0)</f>
        <v>369798.36</v>
      </c>
      <c r="K68" s="92"/>
      <c r="L68" s="90"/>
      <c r="M68" s="89"/>
      <c r="N68" s="89"/>
      <c r="O68" s="88"/>
      <c r="AB68" s="87"/>
      <c r="AC68" s="87"/>
    </row>
    <row r="69" spans="1:29">
      <c r="B69" s="169">
        <v>26.24</v>
      </c>
      <c r="C69" s="78" t="s">
        <v>126</v>
      </c>
      <c r="G69" s="94">
        <f>(440+440+120)*$B$69</f>
        <v>26240</v>
      </c>
      <c r="H69" s="94">
        <f>(440+440+120)*$B$69</f>
        <v>26240</v>
      </c>
      <c r="I69" s="94">
        <f>(440+440+120)*$B$69</f>
        <v>26240</v>
      </c>
      <c r="J69" s="93">
        <f>SUM(G69:I69)</f>
        <v>78720</v>
      </c>
      <c r="L69" s="90"/>
      <c r="M69" s="89"/>
      <c r="N69" s="89"/>
      <c r="O69" s="88"/>
      <c r="AB69" s="87"/>
      <c r="AC69" s="87"/>
    </row>
    <row r="70" spans="1:29">
      <c r="G70" s="84"/>
      <c r="H70" s="84"/>
      <c r="I70" s="84"/>
      <c r="J70" s="84"/>
      <c r="K70" s="92"/>
      <c r="L70" s="90"/>
      <c r="M70" s="89"/>
      <c r="N70" s="89"/>
      <c r="O70" s="88"/>
      <c r="AB70" s="87"/>
      <c r="AC70" s="87"/>
    </row>
    <row r="71" spans="1:29" ht="13" thickBot="1">
      <c r="A71" s="91" t="s">
        <v>49</v>
      </c>
      <c r="G71" s="170">
        <f>G69+G65</f>
        <v>149506.12</v>
      </c>
      <c r="H71" s="170">
        <f>H69+H65</f>
        <v>149506.12</v>
      </c>
      <c r="I71" s="170">
        <f>I69+I65</f>
        <v>149506.12</v>
      </c>
      <c r="J71" s="170">
        <f>SUM(G71:I71)</f>
        <v>448518.36</v>
      </c>
      <c r="L71" s="90"/>
      <c r="M71" s="89"/>
      <c r="N71" s="89"/>
      <c r="O71" s="88"/>
      <c r="AB71" s="87"/>
      <c r="AC71" s="87"/>
    </row>
    <row r="72" spans="1:29" ht="13" thickTop="1">
      <c r="L72" s="90"/>
      <c r="M72" s="89"/>
      <c r="N72" s="89"/>
      <c r="O72" s="88"/>
      <c r="AB72" s="87"/>
      <c r="AC72" s="87"/>
    </row>
    <row r="73" spans="1:29">
      <c r="AB73" s="87"/>
      <c r="AC73" s="87"/>
    </row>
    <row r="74" spans="1:29">
      <c r="AB74" s="87"/>
      <c r="AC74" s="87"/>
    </row>
    <row r="75" spans="1:29">
      <c r="AB75" s="87"/>
      <c r="AC75" s="87"/>
    </row>
    <row r="76" spans="1:29">
      <c r="AB76" s="87"/>
      <c r="AC76" s="87"/>
    </row>
    <row r="77" spans="1:29">
      <c r="AB77" s="87"/>
      <c r="AC77" s="87"/>
    </row>
    <row r="78" spans="1:29">
      <c r="A78" s="83"/>
      <c r="D78" s="86"/>
      <c r="E78" s="86"/>
      <c r="F78" s="85"/>
      <c r="G78" s="84"/>
      <c r="H78" s="84"/>
      <c r="I78" s="84"/>
      <c r="AB78" s="87"/>
      <c r="AC78" s="87"/>
    </row>
    <row r="79" spans="1:29">
      <c r="A79" s="83"/>
      <c r="B79" s="83"/>
      <c r="D79" s="86"/>
      <c r="E79" s="86"/>
      <c r="F79" s="85"/>
      <c r="G79" s="84"/>
      <c r="H79" s="84"/>
      <c r="I79" s="84"/>
      <c r="AB79" s="87"/>
      <c r="AC79" s="87"/>
    </row>
    <row r="80" spans="1:29">
      <c r="A80" s="83"/>
      <c r="B80" s="83"/>
      <c r="D80" s="86"/>
      <c r="E80" s="86"/>
      <c r="F80" s="85"/>
      <c r="G80" s="84"/>
      <c r="H80" s="84"/>
      <c r="I80" s="84"/>
      <c r="AB80" s="87"/>
      <c r="AC80" s="87"/>
    </row>
    <row r="81" spans="1:29">
      <c r="A81" s="83"/>
      <c r="B81" s="83"/>
      <c r="D81" s="86"/>
      <c r="E81" s="86"/>
      <c r="F81" s="85"/>
      <c r="G81" s="84"/>
      <c r="H81" s="84"/>
      <c r="I81" s="84"/>
      <c r="AB81" s="87"/>
      <c r="AC81" s="87"/>
    </row>
    <row r="82" spans="1:29">
      <c r="A82" s="83"/>
      <c r="B82" s="83"/>
      <c r="D82" s="86"/>
      <c r="E82" s="86"/>
      <c r="F82" s="85"/>
      <c r="G82" s="84"/>
      <c r="H82" s="84"/>
      <c r="I82" s="84"/>
      <c r="AC82" s="87"/>
    </row>
    <row r="83" spans="1:29">
      <c r="A83" s="83"/>
      <c r="B83" s="83"/>
      <c r="D83" s="86"/>
      <c r="E83" s="86"/>
      <c r="F83" s="85"/>
      <c r="G83" s="84"/>
      <c r="H83" s="84"/>
      <c r="I83" s="84"/>
    </row>
    <row r="84" spans="1:29">
      <c r="A84" s="83"/>
      <c r="B84" s="83"/>
      <c r="D84" s="86"/>
      <c r="E84" s="86"/>
      <c r="F84" s="85"/>
      <c r="G84" s="84"/>
      <c r="H84" s="84"/>
      <c r="I84" s="84"/>
    </row>
    <row r="85" spans="1:29">
      <c r="B85" s="83"/>
    </row>
  </sheetData>
  <pageMargins left="0.75" right="0.75" top="1" bottom="1" header="0.5" footer="0.5"/>
  <pageSetup scale="70" fitToWidth="0" orientation="portrait" horizontalDpi="1200" verticalDpi="1200"/>
  <headerFooter alignWithMargins="0"/>
  <rowBreaks count="1" manualBreakCount="1">
    <brk id="71" max="16383" man="1"/>
  </rowBreaks>
  <colBreaks count="1" manualBreakCount="1">
    <brk id="10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O351"/>
  <sheetViews>
    <sheetView showGridLines="0" workbookViewId="0">
      <selection activeCell="D22" sqref="D22"/>
    </sheetView>
  </sheetViews>
  <sheetFormatPr baseColWidth="10" defaultColWidth="8.83203125" defaultRowHeight="15" x14ac:dyDescent="0"/>
  <cols>
    <col min="1" max="1" width="5.83203125" style="196" customWidth="1"/>
    <col min="2" max="2" width="6.83203125" style="203" customWidth="1"/>
    <col min="3" max="3" width="8" style="198" bestFit="1" customWidth="1"/>
    <col min="4" max="4" width="9.6640625" style="198" customWidth="1"/>
    <col min="5" max="5" width="8" style="198" bestFit="1" customWidth="1"/>
    <col min="6" max="6" width="8.1640625" style="204" customWidth="1"/>
    <col min="7" max="7" width="2.5" style="192" customWidth="1"/>
    <col min="8" max="8" width="7.1640625" style="204" customWidth="1"/>
    <col min="9" max="9" width="2.5" style="192" customWidth="1"/>
    <col min="10" max="10" width="8" style="204" customWidth="1"/>
    <col min="11" max="11" width="2.5" style="196" customWidth="1"/>
    <col min="12" max="12" width="7.6640625" style="196" customWidth="1"/>
    <col min="13" max="13" width="10" style="196" customWidth="1"/>
    <col min="14" max="15" width="10.5" style="196" bestFit="1" customWidth="1"/>
    <col min="16" max="16384" width="8.83203125" style="196"/>
  </cols>
  <sheetData>
    <row r="1" spans="1:15" s="182" customFormat="1">
      <c r="A1" s="180" t="s">
        <v>150</v>
      </c>
      <c r="B1" s="180"/>
      <c r="C1" s="180"/>
      <c r="D1" s="180"/>
      <c r="E1" s="180"/>
      <c r="F1" s="180"/>
      <c r="G1" s="181"/>
      <c r="H1" s="180"/>
      <c r="I1" s="181"/>
      <c r="J1" s="180"/>
      <c r="K1" s="180"/>
      <c r="L1" s="180"/>
    </row>
    <row r="2" spans="1:15" s="182" customFormat="1">
      <c r="A2" s="180" t="s">
        <v>171</v>
      </c>
      <c r="B2" s="180"/>
      <c r="C2" s="180"/>
      <c r="D2" s="180"/>
      <c r="E2" s="180"/>
      <c r="F2" s="180"/>
      <c r="G2" s="181"/>
      <c r="H2" s="180"/>
      <c r="I2" s="181"/>
      <c r="J2" s="180"/>
      <c r="K2" s="180"/>
      <c r="L2" s="180"/>
    </row>
    <row r="3" spans="1:15" s="182" customFormat="1">
      <c r="A3" s="180" t="s">
        <v>151</v>
      </c>
      <c r="B3" s="180"/>
      <c r="C3" s="180"/>
      <c r="D3" s="180"/>
      <c r="E3" s="180"/>
      <c r="F3" s="180"/>
      <c r="G3" s="181"/>
      <c r="H3" s="180"/>
      <c r="I3" s="181"/>
      <c r="J3" s="180"/>
      <c r="K3" s="180"/>
      <c r="L3" s="180"/>
    </row>
    <row r="4" spans="1:15" s="187" customFormat="1" ht="60.75" customHeight="1">
      <c r="A4" s="183" t="s">
        <v>152</v>
      </c>
      <c r="B4" s="184" t="s">
        <v>153</v>
      </c>
      <c r="C4" s="183" t="s">
        <v>154</v>
      </c>
      <c r="D4" s="183" t="s">
        <v>155</v>
      </c>
      <c r="E4" s="185" t="s">
        <v>156</v>
      </c>
      <c r="F4" s="186" t="s">
        <v>157</v>
      </c>
      <c r="G4" s="228" t="s">
        <v>158</v>
      </c>
      <c r="H4" s="229"/>
      <c r="I4" s="228" t="s">
        <v>159</v>
      </c>
      <c r="J4" s="229"/>
      <c r="K4" s="228" t="s">
        <v>160</v>
      </c>
      <c r="L4" s="229"/>
      <c r="M4" s="183" t="s">
        <v>161</v>
      </c>
    </row>
    <row r="5" spans="1:15" ht="33" customHeight="1">
      <c r="A5" s="188">
        <v>3</v>
      </c>
      <c r="B5" s="189" t="s">
        <v>162</v>
      </c>
      <c r="C5" s="190">
        <v>450</v>
      </c>
      <c r="D5" s="190">
        <v>37</v>
      </c>
      <c r="E5" s="190">
        <f>2*110</f>
        <v>220</v>
      </c>
      <c r="F5" s="191">
        <f>3*32</f>
        <v>96</v>
      </c>
      <c r="G5" s="192" t="s">
        <v>163</v>
      </c>
      <c r="H5" s="193">
        <v>3</v>
      </c>
      <c r="I5" s="192" t="s">
        <v>164</v>
      </c>
      <c r="J5" s="194">
        <v>145</v>
      </c>
      <c r="K5" s="218">
        <f>(((C5+D5+E5+F5)*H5)+J5)*2</f>
        <v>5108</v>
      </c>
      <c r="L5" s="219"/>
      <c r="M5" s="195">
        <f>K5*3</f>
        <v>15324</v>
      </c>
      <c r="O5" s="197">
        <f>K5*3</f>
        <v>15324</v>
      </c>
    </row>
    <row r="6" spans="1:15" s="198" customFormat="1" ht="9.75" customHeight="1">
      <c r="G6" s="199"/>
      <c r="I6" s="199"/>
      <c r="L6" s="180"/>
    </row>
    <row r="7" spans="1:15" s="198" customFormat="1" ht="9.75" customHeight="1">
      <c r="G7" s="199"/>
      <c r="I7" s="199"/>
      <c r="L7" s="180"/>
    </row>
    <row r="8" spans="1:15" s="198" customFormat="1" ht="9.75" customHeight="1">
      <c r="G8" s="199"/>
      <c r="I8" s="199"/>
      <c r="L8" s="180"/>
    </row>
    <row r="9" spans="1:15" s="180" customFormat="1">
      <c r="A9" s="180" t="s">
        <v>165</v>
      </c>
      <c r="G9" s="181"/>
      <c r="I9" s="181"/>
    </row>
    <row r="10" spans="1:15" s="180" customFormat="1">
      <c r="A10" s="180" t="s">
        <v>166</v>
      </c>
      <c r="G10" s="181"/>
      <c r="I10" s="181"/>
    </row>
    <row r="11" spans="1:15" s="180" customFormat="1">
      <c r="A11" s="180" t="s">
        <v>167</v>
      </c>
      <c r="G11" s="181"/>
      <c r="I11" s="181"/>
    </row>
    <row r="12" spans="1:15" s="187" customFormat="1" ht="59.25" customHeight="1">
      <c r="A12" s="183" t="s">
        <v>152</v>
      </c>
      <c r="B12" s="184" t="s">
        <v>153</v>
      </c>
      <c r="C12" s="183" t="s">
        <v>154</v>
      </c>
      <c r="D12" s="183" t="s">
        <v>155</v>
      </c>
      <c r="E12" s="185" t="s">
        <v>156</v>
      </c>
      <c r="F12" s="186" t="s">
        <v>157</v>
      </c>
      <c r="G12" s="228" t="s">
        <v>158</v>
      </c>
      <c r="H12" s="229"/>
      <c r="I12" s="228" t="s">
        <v>159</v>
      </c>
      <c r="J12" s="229"/>
      <c r="K12" s="228" t="s">
        <v>168</v>
      </c>
      <c r="L12" s="229"/>
      <c r="M12" s="183" t="s">
        <v>169</v>
      </c>
    </row>
    <row r="13" spans="1:15" ht="33" customHeight="1">
      <c r="A13" s="188">
        <v>4</v>
      </c>
      <c r="B13" s="200">
        <v>1465</v>
      </c>
      <c r="C13" s="190">
        <v>450</v>
      </c>
      <c r="D13" s="190">
        <v>0</v>
      </c>
      <c r="E13" s="190">
        <f>3*110</f>
        <v>330</v>
      </c>
      <c r="F13" s="191">
        <f>4*32</f>
        <v>128</v>
      </c>
      <c r="G13" s="192" t="s">
        <v>163</v>
      </c>
      <c r="H13" s="193">
        <v>2</v>
      </c>
      <c r="I13" s="192" t="s">
        <v>164</v>
      </c>
      <c r="J13" s="194">
        <v>146</v>
      </c>
      <c r="K13" s="218">
        <f>(((B13+C13+D13+E13+F13)*H13)+J13)</f>
        <v>4892</v>
      </c>
      <c r="L13" s="219"/>
      <c r="M13" s="195">
        <f>(((B13+C13+D13+E13+F13)*H13+J13)*3)</f>
        <v>14676</v>
      </c>
      <c r="O13" s="197">
        <f>K13*3</f>
        <v>14676</v>
      </c>
    </row>
    <row r="14" spans="1:15" s="198" customFormat="1" ht="11.25" customHeight="1" thickBot="1">
      <c r="G14" s="199"/>
      <c r="I14" s="199"/>
      <c r="L14" s="180"/>
    </row>
    <row r="15" spans="1:15" s="198" customFormat="1" ht="7.5" customHeight="1">
      <c r="G15" s="199"/>
      <c r="I15" s="199"/>
      <c r="K15" s="220" t="s">
        <v>170</v>
      </c>
      <c r="L15" s="221"/>
      <c r="M15" s="222"/>
    </row>
    <row r="16" spans="1:15" s="198" customFormat="1" ht="24" customHeight="1">
      <c r="G16" s="199"/>
      <c r="I16" s="199"/>
      <c r="K16" s="223"/>
      <c r="L16" s="224"/>
      <c r="M16" s="225"/>
    </row>
    <row r="17" spans="7:14" s="198" customFormat="1" ht="21.75" customHeight="1" thickBot="1">
      <c r="G17" s="199"/>
      <c r="I17" s="199"/>
      <c r="K17" s="201"/>
      <c r="L17" s="226">
        <f>M5+M13</f>
        <v>30000</v>
      </c>
      <c r="M17" s="227"/>
      <c r="N17" s="202">
        <f>'[1]Combined Budget'!J43-'Travel Est'!L17</f>
        <v>1114</v>
      </c>
    </row>
    <row r="18" spans="7:14" s="198" customFormat="1">
      <c r="G18" s="199"/>
      <c r="I18" s="199"/>
      <c r="L18" s="180"/>
    </row>
    <row r="19" spans="7:14" s="198" customFormat="1">
      <c r="G19" s="199"/>
      <c r="I19" s="199"/>
    </row>
    <row r="20" spans="7:14" s="198" customFormat="1">
      <c r="G20" s="199"/>
      <c r="I20" s="199"/>
    </row>
    <row r="21" spans="7:14" s="198" customFormat="1">
      <c r="G21" s="199"/>
      <c r="I21" s="199"/>
    </row>
    <row r="22" spans="7:14" s="198" customFormat="1">
      <c r="G22" s="199"/>
      <c r="I22" s="199"/>
    </row>
    <row r="23" spans="7:14" s="198" customFormat="1">
      <c r="G23" s="199"/>
      <c r="I23" s="199"/>
    </row>
    <row r="24" spans="7:14" s="198" customFormat="1">
      <c r="G24" s="199"/>
      <c r="I24" s="199"/>
    </row>
    <row r="25" spans="7:14" s="198" customFormat="1">
      <c r="G25" s="199"/>
      <c r="I25" s="199"/>
    </row>
    <row r="26" spans="7:14" s="198" customFormat="1">
      <c r="G26" s="199"/>
      <c r="I26" s="199"/>
    </row>
    <row r="27" spans="7:14" s="198" customFormat="1">
      <c r="G27" s="199"/>
      <c r="I27" s="199"/>
    </row>
    <row r="28" spans="7:14" s="198" customFormat="1">
      <c r="G28" s="199"/>
      <c r="I28" s="199"/>
    </row>
    <row r="29" spans="7:14" s="198" customFormat="1">
      <c r="G29" s="199"/>
      <c r="I29" s="199"/>
    </row>
    <row r="30" spans="7:14" s="198" customFormat="1">
      <c r="G30" s="199"/>
      <c r="I30" s="199"/>
    </row>
    <row r="31" spans="7:14" s="198" customFormat="1">
      <c r="G31" s="199"/>
      <c r="I31" s="199"/>
    </row>
    <row r="32" spans="7:14" s="198" customFormat="1">
      <c r="G32" s="199"/>
      <c r="I32" s="199"/>
    </row>
    <row r="33" spans="7:9" s="198" customFormat="1">
      <c r="G33" s="199"/>
      <c r="I33" s="199"/>
    </row>
    <row r="34" spans="7:9" s="198" customFormat="1">
      <c r="G34" s="199"/>
      <c r="I34" s="199"/>
    </row>
    <row r="35" spans="7:9" s="198" customFormat="1">
      <c r="G35" s="199"/>
      <c r="I35" s="199"/>
    </row>
    <row r="36" spans="7:9" s="198" customFormat="1">
      <c r="G36" s="199"/>
      <c r="I36" s="199"/>
    </row>
    <row r="37" spans="7:9" s="198" customFormat="1">
      <c r="G37" s="199"/>
      <c r="I37" s="199"/>
    </row>
    <row r="38" spans="7:9" s="198" customFormat="1">
      <c r="G38" s="199"/>
      <c r="I38" s="199"/>
    </row>
    <row r="39" spans="7:9" s="198" customFormat="1">
      <c r="G39" s="199"/>
      <c r="I39" s="199"/>
    </row>
    <row r="40" spans="7:9" s="198" customFormat="1">
      <c r="G40" s="199"/>
      <c r="I40" s="199"/>
    </row>
    <row r="41" spans="7:9" s="198" customFormat="1">
      <c r="G41" s="199"/>
      <c r="I41" s="199"/>
    </row>
    <row r="42" spans="7:9" s="198" customFormat="1">
      <c r="G42" s="199"/>
      <c r="I42" s="199"/>
    </row>
    <row r="43" spans="7:9" s="198" customFormat="1">
      <c r="G43" s="199"/>
      <c r="I43" s="199"/>
    </row>
    <row r="44" spans="7:9" s="198" customFormat="1">
      <c r="G44" s="199"/>
      <c r="I44" s="199"/>
    </row>
    <row r="45" spans="7:9" s="198" customFormat="1">
      <c r="G45" s="199"/>
      <c r="I45" s="199"/>
    </row>
    <row r="46" spans="7:9" s="198" customFormat="1">
      <c r="G46" s="199"/>
      <c r="I46" s="199"/>
    </row>
    <row r="47" spans="7:9" s="198" customFormat="1">
      <c r="G47" s="199"/>
      <c r="I47" s="199"/>
    </row>
    <row r="48" spans="7:9" s="198" customFormat="1">
      <c r="G48" s="199"/>
      <c r="I48" s="199"/>
    </row>
    <row r="49" spans="7:9" s="198" customFormat="1">
      <c r="G49" s="199"/>
      <c r="I49" s="199"/>
    </row>
    <row r="50" spans="7:9" s="198" customFormat="1">
      <c r="G50" s="199"/>
      <c r="I50" s="199"/>
    </row>
    <row r="51" spans="7:9" s="198" customFormat="1">
      <c r="G51" s="199"/>
      <c r="I51" s="199"/>
    </row>
    <row r="52" spans="7:9" s="198" customFormat="1">
      <c r="G52" s="199"/>
      <c r="I52" s="199"/>
    </row>
    <row r="53" spans="7:9" s="198" customFormat="1">
      <c r="G53" s="199"/>
      <c r="I53" s="199"/>
    </row>
    <row r="54" spans="7:9" s="198" customFormat="1">
      <c r="G54" s="199"/>
      <c r="I54" s="199"/>
    </row>
    <row r="55" spans="7:9" s="198" customFormat="1">
      <c r="G55" s="199"/>
      <c r="I55" s="199"/>
    </row>
    <row r="56" spans="7:9" s="198" customFormat="1">
      <c r="G56" s="199"/>
      <c r="I56" s="199"/>
    </row>
    <row r="57" spans="7:9" s="198" customFormat="1">
      <c r="G57" s="199"/>
      <c r="I57" s="199"/>
    </row>
    <row r="58" spans="7:9" s="198" customFormat="1">
      <c r="G58" s="199"/>
      <c r="I58" s="199"/>
    </row>
    <row r="59" spans="7:9" s="198" customFormat="1">
      <c r="G59" s="199"/>
      <c r="I59" s="199"/>
    </row>
    <row r="60" spans="7:9" s="198" customFormat="1">
      <c r="G60" s="199"/>
      <c r="I60" s="199"/>
    </row>
    <row r="61" spans="7:9" s="198" customFormat="1">
      <c r="G61" s="199"/>
      <c r="I61" s="199"/>
    </row>
    <row r="62" spans="7:9" s="198" customFormat="1">
      <c r="G62" s="199"/>
      <c r="I62" s="199"/>
    </row>
    <row r="63" spans="7:9" s="198" customFormat="1">
      <c r="G63" s="199"/>
      <c r="I63" s="199"/>
    </row>
    <row r="64" spans="7:9" s="198" customFormat="1">
      <c r="G64" s="199"/>
      <c r="I64" s="199"/>
    </row>
    <row r="65" spans="7:9" s="198" customFormat="1">
      <c r="G65" s="199"/>
      <c r="I65" s="199"/>
    </row>
    <row r="66" spans="7:9" s="198" customFormat="1">
      <c r="G66" s="199"/>
      <c r="I66" s="199"/>
    </row>
    <row r="67" spans="7:9" s="198" customFormat="1">
      <c r="G67" s="199"/>
      <c r="I67" s="199"/>
    </row>
    <row r="68" spans="7:9" s="198" customFormat="1">
      <c r="G68" s="199"/>
      <c r="I68" s="199"/>
    </row>
    <row r="69" spans="7:9" s="198" customFormat="1">
      <c r="G69" s="199"/>
      <c r="I69" s="199"/>
    </row>
    <row r="70" spans="7:9" s="198" customFormat="1">
      <c r="G70" s="199"/>
      <c r="I70" s="199"/>
    </row>
    <row r="71" spans="7:9" s="198" customFormat="1">
      <c r="G71" s="199"/>
      <c r="I71" s="199"/>
    </row>
    <row r="72" spans="7:9" s="198" customFormat="1">
      <c r="G72" s="199"/>
      <c r="I72" s="199"/>
    </row>
    <row r="73" spans="7:9" s="198" customFormat="1">
      <c r="G73" s="199"/>
      <c r="I73" s="199"/>
    </row>
    <row r="74" spans="7:9" s="198" customFormat="1">
      <c r="G74" s="199"/>
      <c r="I74" s="199"/>
    </row>
    <row r="75" spans="7:9" s="198" customFormat="1">
      <c r="G75" s="199"/>
      <c r="I75" s="199"/>
    </row>
    <row r="76" spans="7:9" s="198" customFormat="1">
      <c r="G76" s="199"/>
      <c r="I76" s="199"/>
    </row>
    <row r="77" spans="7:9" s="198" customFormat="1">
      <c r="G77" s="199"/>
      <c r="I77" s="199"/>
    </row>
    <row r="78" spans="7:9" s="198" customFormat="1">
      <c r="G78" s="199"/>
      <c r="I78" s="199"/>
    </row>
    <row r="79" spans="7:9" s="198" customFormat="1">
      <c r="G79" s="199"/>
      <c r="I79" s="199"/>
    </row>
    <row r="80" spans="7:9" s="198" customFormat="1">
      <c r="G80" s="199"/>
      <c r="I80" s="199"/>
    </row>
    <row r="81" spans="7:9" s="198" customFormat="1">
      <c r="G81" s="199"/>
      <c r="I81" s="199"/>
    </row>
    <row r="82" spans="7:9" s="198" customFormat="1">
      <c r="G82" s="199"/>
      <c r="I82" s="199"/>
    </row>
    <row r="83" spans="7:9" s="198" customFormat="1">
      <c r="G83" s="199"/>
      <c r="I83" s="199"/>
    </row>
    <row r="84" spans="7:9" s="198" customFormat="1">
      <c r="G84" s="199"/>
      <c r="I84" s="199"/>
    </row>
    <row r="85" spans="7:9" s="198" customFormat="1">
      <c r="G85" s="199"/>
      <c r="I85" s="199"/>
    </row>
    <row r="86" spans="7:9" s="198" customFormat="1">
      <c r="G86" s="199"/>
      <c r="I86" s="199"/>
    </row>
    <row r="87" spans="7:9" s="198" customFormat="1">
      <c r="G87" s="199"/>
      <c r="I87" s="199"/>
    </row>
    <row r="88" spans="7:9" s="198" customFormat="1">
      <c r="G88" s="199"/>
      <c r="I88" s="199"/>
    </row>
    <row r="89" spans="7:9" s="198" customFormat="1">
      <c r="G89" s="199"/>
      <c r="I89" s="199"/>
    </row>
    <row r="90" spans="7:9" s="198" customFormat="1">
      <c r="G90" s="199"/>
      <c r="I90" s="199"/>
    </row>
    <row r="91" spans="7:9" s="198" customFormat="1">
      <c r="G91" s="199"/>
      <c r="I91" s="199"/>
    </row>
    <row r="92" spans="7:9" s="198" customFormat="1">
      <c r="G92" s="199"/>
      <c r="I92" s="199"/>
    </row>
    <row r="93" spans="7:9" s="198" customFormat="1">
      <c r="G93" s="199"/>
      <c r="I93" s="199"/>
    </row>
    <row r="94" spans="7:9" s="198" customFormat="1">
      <c r="G94" s="199"/>
      <c r="I94" s="199"/>
    </row>
    <row r="95" spans="7:9" s="198" customFormat="1">
      <c r="G95" s="199"/>
      <c r="I95" s="199"/>
    </row>
    <row r="96" spans="7:9" s="198" customFormat="1">
      <c r="G96" s="199"/>
      <c r="I96" s="199"/>
    </row>
    <row r="97" spans="7:9" s="198" customFormat="1">
      <c r="G97" s="199"/>
      <c r="I97" s="199"/>
    </row>
    <row r="98" spans="7:9" s="198" customFormat="1">
      <c r="G98" s="199"/>
      <c r="I98" s="199"/>
    </row>
    <row r="99" spans="7:9" s="198" customFormat="1">
      <c r="G99" s="199"/>
      <c r="I99" s="199"/>
    </row>
    <row r="100" spans="7:9" s="198" customFormat="1">
      <c r="G100" s="199"/>
      <c r="I100" s="199"/>
    </row>
    <row r="101" spans="7:9" s="198" customFormat="1">
      <c r="G101" s="199"/>
      <c r="I101" s="199"/>
    </row>
    <row r="102" spans="7:9" s="198" customFormat="1">
      <c r="G102" s="199"/>
      <c r="I102" s="199"/>
    </row>
    <row r="103" spans="7:9" s="198" customFormat="1">
      <c r="G103" s="199"/>
      <c r="I103" s="199"/>
    </row>
    <row r="104" spans="7:9" s="198" customFormat="1">
      <c r="G104" s="199"/>
      <c r="I104" s="199"/>
    </row>
    <row r="105" spans="7:9" s="198" customFormat="1">
      <c r="G105" s="199"/>
      <c r="I105" s="199"/>
    </row>
    <row r="106" spans="7:9" s="198" customFormat="1">
      <c r="G106" s="199"/>
      <c r="I106" s="199"/>
    </row>
    <row r="107" spans="7:9" s="198" customFormat="1">
      <c r="G107" s="199"/>
      <c r="I107" s="199"/>
    </row>
    <row r="108" spans="7:9" s="198" customFormat="1">
      <c r="G108" s="199"/>
      <c r="I108" s="199"/>
    </row>
    <row r="109" spans="7:9" s="198" customFormat="1">
      <c r="G109" s="199"/>
      <c r="I109" s="199"/>
    </row>
    <row r="110" spans="7:9" s="198" customFormat="1">
      <c r="G110" s="199"/>
      <c r="I110" s="199"/>
    </row>
    <row r="111" spans="7:9" s="198" customFormat="1">
      <c r="G111" s="199"/>
      <c r="I111" s="199"/>
    </row>
    <row r="112" spans="7:9" s="198" customFormat="1">
      <c r="G112" s="199"/>
      <c r="I112" s="199"/>
    </row>
    <row r="113" spans="7:9" s="198" customFormat="1">
      <c r="G113" s="199"/>
      <c r="I113" s="199"/>
    </row>
    <row r="114" spans="7:9" s="198" customFormat="1">
      <c r="G114" s="199"/>
      <c r="I114" s="199"/>
    </row>
    <row r="115" spans="7:9" s="198" customFormat="1">
      <c r="G115" s="199"/>
      <c r="I115" s="199"/>
    </row>
    <row r="116" spans="7:9" s="198" customFormat="1">
      <c r="G116" s="199"/>
      <c r="I116" s="199"/>
    </row>
    <row r="117" spans="7:9" s="198" customFormat="1">
      <c r="G117" s="199"/>
      <c r="I117" s="199"/>
    </row>
    <row r="118" spans="7:9" s="198" customFormat="1">
      <c r="G118" s="199"/>
      <c r="I118" s="199"/>
    </row>
    <row r="119" spans="7:9" s="198" customFormat="1">
      <c r="G119" s="199"/>
      <c r="I119" s="199"/>
    </row>
    <row r="120" spans="7:9" s="198" customFormat="1">
      <c r="G120" s="199"/>
      <c r="I120" s="199"/>
    </row>
    <row r="121" spans="7:9" s="198" customFormat="1">
      <c r="G121" s="199"/>
      <c r="I121" s="199"/>
    </row>
    <row r="122" spans="7:9" s="198" customFormat="1">
      <c r="G122" s="199"/>
      <c r="I122" s="199"/>
    </row>
    <row r="123" spans="7:9" s="198" customFormat="1">
      <c r="G123" s="199"/>
      <c r="I123" s="199"/>
    </row>
    <row r="124" spans="7:9" s="198" customFormat="1">
      <c r="G124" s="199"/>
      <c r="I124" s="199"/>
    </row>
    <row r="125" spans="7:9" s="198" customFormat="1">
      <c r="G125" s="199"/>
      <c r="I125" s="199"/>
    </row>
    <row r="126" spans="7:9" s="198" customFormat="1">
      <c r="G126" s="199"/>
      <c r="I126" s="199"/>
    </row>
    <row r="127" spans="7:9" s="198" customFormat="1">
      <c r="G127" s="199"/>
      <c r="I127" s="199"/>
    </row>
    <row r="128" spans="7:9" s="198" customFormat="1">
      <c r="G128" s="199"/>
      <c r="I128" s="199"/>
    </row>
    <row r="129" spans="7:9" s="198" customFormat="1">
      <c r="G129" s="199"/>
      <c r="I129" s="199"/>
    </row>
    <row r="130" spans="7:9" s="198" customFormat="1">
      <c r="G130" s="199"/>
      <c r="I130" s="199"/>
    </row>
    <row r="131" spans="7:9" s="198" customFormat="1">
      <c r="G131" s="199"/>
      <c r="I131" s="199"/>
    </row>
    <row r="132" spans="7:9" s="198" customFormat="1">
      <c r="G132" s="199"/>
      <c r="I132" s="199"/>
    </row>
    <row r="133" spans="7:9" s="198" customFormat="1">
      <c r="G133" s="199"/>
      <c r="I133" s="199"/>
    </row>
    <row r="134" spans="7:9" s="198" customFormat="1">
      <c r="G134" s="199"/>
      <c r="I134" s="199"/>
    </row>
    <row r="135" spans="7:9" s="198" customFormat="1">
      <c r="G135" s="199"/>
      <c r="I135" s="199"/>
    </row>
    <row r="136" spans="7:9" s="198" customFormat="1">
      <c r="G136" s="199"/>
      <c r="I136" s="199"/>
    </row>
    <row r="137" spans="7:9" s="198" customFormat="1">
      <c r="G137" s="199"/>
      <c r="I137" s="199"/>
    </row>
    <row r="138" spans="7:9" s="198" customFormat="1">
      <c r="G138" s="199"/>
      <c r="I138" s="199"/>
    </row>
    <row r="139" spans="7:9" s="198" customFormat="1">
      <c r="G139" s="199"/>
      <c r="I139" s="199"/>
    </row>
    <row r="140" spans="7:9" s="198" customFormat="1">
      <c r="G140" s="199"/>
      <c r="I140" s="199"/>
    </row>
    <row r="141" spans="7:9" s="198" customFormat="1">
      <c r="G141" s="199"/>
      <c r="I141" s="199"/>
    </row>
    <row r="142" spans="7:9" s="198" customFormat="1">
      <c r="G142" s="199"/>
      <c r="I142" s="199"/>
    </row>
    <row r="143" spans="7:9" s="198" customFormat="1">
      <c r="G143" s="199"/>
      <c r="I143" s="199"/>
    </row>
    <row r="144" spans="7:9" s="198" customFormat="1">
      <c r="G144" s="199"/>
      <c r="I144" s="199"/>
    </row>
    <row r="145" spans="7:9" s="198" customFormat="1">
      <c r="G145" s="199"/>
      <c r="I145" s="199"/>
    </row>
    <row r="146" spans="7:9" s="198" customFormat="1">
      <c r="G146" s="199"/>
      <c r="I146" s="199"/>
    </row>
    <row r="147" spans="7:9" s="198" customFormat="1">
      <c r="G147" s="199"/>
      <c r="I147" s="199"/>
    </row>
    <row r="148" spans="7:9" s="198" customFormat="1">
      <c r="G148" s="199"/>
      <c r="I148" s="199"/>
    </row>
    <row r="149" spans="7:9" s="198" customFormat="1">
      <c r="G149" s="199"/>
      <c r="I149" s="199"/>
    </row>
    <row r="150" spans="7:9" s="198" customFormat="1">
      <c r="G150" s="199"/>
      <c r="I150" s="199"/>
    </row>
    <row r="151" spans="7:9" s="198" customFormat="1">
      <c r="G151" s="199"/>
      <c r="I151" s="199"/>
    </row>
    <row r="152" spans="7:9" s="198" customFormat="1">
      <c r="G152" s="199"/>
      <c r="I152" s="199"/>
    </row>
    <row r="153" spans="7:9" s="198" customFormat="1">
      <c r="G153" s="199"/>
      <c r="I153" s="199"/>
    </row>
    <row r="154" spans="7:9" s="198" customFormat="1">
      <c r="G154" s="199"/>
      <c r="I154" s="199"/>
    </row>
    <row r="155" spans="7:9" s="198" customFormat="1">
      <c r="G155" s="199"/>
      <c r="I155" s="199"/>
    </row>
    <row r="156" spans="7:9" s="198" customFormat="1">
      <c r="G156" s="199"/>
      <c r="I156" s="199"/>
    </row>
    <row r="157" spans="7:9" s="198" customFormat="1">
      <c r="G157" s="199"/>
      <c r="I157" s="199"/>
    </row>
    <row r="158" spans="7:9" s="198" customFormat="1">
      <c r="G158" s="199"/>
      <c r="I158" s="199"/>
    </row>
    <row r="159" spans="7:9" s="198" customFormat="1">
      <c r="G159" s="199"/>
      <c r="I159" s="199"/>
    </row>
    <row r="160" spans="7:9" s="198" customFormat="1">
      <c r="G160" s="199"/>
      <c r="I160" s="199"/>
    </row>
    <row r="161" spans="7:9" s="198" customFormat="1">
      <c r="G161" s="199"/>
      <c r="I161" s="199"/>
    </row>
    <row r="162" spans="7:9" s="198" customFormat="1">
      <c r="G162" s="199"/>
      <c r="I162" s="199"/>
    </row>
    <row r="163" spans="7:9" s="198" customFormat="1">
      <c r="G163" s="199"/>
      <c r="I163" s="199"/>
    </row>
    <row r="164" spans="7:9" s="198" customFormat="1">
      <c r="G164" s="199"/>
      <c r="I164" s="199"/>
    </row>
    <row r="165" spans="7:9" s="198" customFormat="1">
      <c r="G165" s="199"/>
      <c r="I165" s="199"/>
    </row>
    <row r="166" spans="7:9" s="198" customFormat="1">
      <c r="G166" s="199"/>
      <c r="I166" s="199"/>
    </row>
    <row r="167" spans="7:9" s="198" customFormat="1">
      <c r="G167" s="199"/>
      <c r="I167" s="199"/>
    </row>
    <row r="168" spans="7:9" s="198" customFormat="1">
      <c r="G168" s="199"/>
      <c r="I168" s="199"/>
    </row>
    <row r="169" spans="7:9" s="198" customFormat="1">
      <c r="G169" s="199"/>
      <c r="I169" s="199"/>
    </row>
    <row r="170" spans="7:9" s="198" customFormat="1">
      <c r="G170" s="199"/>
      <c r="I170" s="199"/>
    </row>
    <row r="171" spans="7:9" s="198" customFormat="1">
      <c r="G171" s="199"/>
      <c r="I171" s="199"/>
    </row>
    <row r="172" spans="7:9" s="198" customFormat="1">
      <c r="G172" s="199"/>
      <c r="I172" s="199"/>
    </row>
    <row r="173" spans="7:9" s="198" customFormat="1">
      <c r="G173" s="199"/>
      <c r="I173" s="199"/>
    </row>
    <row r="174" spans="7:9" s="198" customFormat="1">
      <c r="G174" s="199"/>
      <c r="I174" s="199"/>
    </row>
    <row r="175" spans="7:9" s="198" customFormat="1">
      <c r="G175" s="199"/>
      <c r="I175" s="199"/>
    </row>
    <row r="176" spans="7:9" s="198" customFormat="1">
      <c r="G176" s="199"/>
      <c r="I176" s="199"/>
    </row>
    <row r="177" spans="7:9" s="198" customFormat="1">
      <c r="G177" s="199"/>
      <c r="I177" s="199"/>
    </row>
    <row r="178" spans="7:9" s="198" customFormat="1">
      <c r="G178" s="199"/>
      <c r="I178" s="199"/>
    </row>
    <row r="179" spans="7:9" s="198" customFormat="1">
      <c r="G179" s="199"/>
      <c r="I179" s="199"/>
    </row>
    <row r="180" spans="7:9" s="198" customFormat="1">
      <c r="G180" s="199"/>
      <c r="I180" s="199"/>
    </row>
    <row r="181" spans="7:9" s="198" customFormat="1">
      <c r="G181" s="199"/>
      <c r="I181" s="199"/>
    </row>
    <row r="182" spans="7:9" s="198" customFormat="1">
      <c r="G182" s="199"/>
      <c r="I182" s="199"/>
    </row>
    <row r="183" spans="7:9" s="198" customFormat="1">
      <c r="G183" s="199"/>
      <c r="I183" s="199"/>
    </row>
    <row r="184" spans="7:9" s="198" customFormat="1">
      <c r="G184" s="199"/>
      <c r="I184" s="199"/>
    </row>
    <row r="185" spans="7:9" s="198" customFormat="1">
      <c r="G185" s="199"/>
      <c r="I185" s="199"/>
    </row>
    <row r="186" spans="7:9" s="198" customFormat="1">
      <c r="G186" s="199"/>
      <c r="I186" s="199"/>
    </row>
    <row r="187" spans="7:9" s="198" customFormat="1">
      <c r="G187" s="199"/>
      <c r="I187" s="199"/>
    </row>
    <row r="188" spans="7:9" s="198" customFormat="1">
      <c r="G188" s="199"/>
      <c r="I188" s="199"/>
    </row>
    <row r="189" spans="7:9" s="198" customFormat="1">
      <c r="G189" s="199"/>
      <c r="I189" s="199"/>
    </row>
    <row r="190" spans="7:9" s="198" customFormat="1">
      <c r="G190" s="199"/>
      <c r="I190" s="199"/>
    </row>
    <row r="191" spans="7:9" s="198" customFormat="1">
      <c r="G191" s="199"/>
      <c r="I191" s="199"/>
    </row>
    <row r="192" spans="7:9" s="198" customFormat="1">
      <c r="G192" s="199"/>
      <c r="I192" s="199"/>
    </row>
    <row r="193" spans="7:9" s="198" customFormat="1">
      <c r="G193" s="199"/>
      <c r="I193" s="199"/>
    </row>
    <row r="194" spans="7:9" s="198" customFormat="1">
      <c r="G194" s="199"/>
      <c r="I194" s="199"/>
    </row>
    <row r="195" spans="7:9" s="198" customFormat="1">
      <c r="G195" s="199"/>
      <c r="I195" s="199"/>
    </row>
    <row r="196" spans="7:9" s="198" customFormat="1">
      <c r="G196" s="199"/>
      <c r="I196" s="199"/>
    </row>
    <row r="197" spans="7:9" s="198" customFormat="1">
      <c r="G197" s="199"/>
      <c r="I197" s="199"/>
    </row>
    <row r="198" spans="7:9" s="198" customFormat="1">
      <c r="G198" s="199"/>
      <c r="I198" s="199"/>
    </row>
    <row r="199" spans="7:9" s="198" customFormat="1">
      <c r="G199" s="199"/>
      <c r="I199" s="199"/>
    </row>
    <row r="200" spans="7:9" s="198" customFormat="1">
      <c r="G200" s="199"/>
      <c r="I200" s="199"/>
    </row>
    <row r="201" spans="7:9" s="198" customFormat="1">
      <c r="G201" s="199"/>
      <c r="I201" s="199"/>
    </row>
    <row r="202" spans="7:9" s="198" customFormat="1">
      <c r="G202" s="199"/>
      <c r="I202" s="199"/>
    </row>
    <row r="203" spans="7:9" s="198" customFormat="1">
      <c r="G203" s="199"/>
      <c r="I203" s="199"/>
    </row>
    <row r="204" spans="7:9" s="198" customFormat="1">
      <c r="G204" s="199"/>
      <c r="I204" s="199"/>
    </row>
    <row r="205" spans="7:9" s="198" customFormat="1">
      <c r="G205" s="199"/>
      <c r="I205" s="199"/>
    </row>
    <row r="206" spans="7:9" s="198" customFormat="1">
      <c r="G206" s="199"/>
      <c r="I206" s="199"/>
    </row>
    <row r="207" spans="7:9" s="198" customFormat="1">
      <c r="G207" s="199"/>
      <c r="I207" s="199"/>
    </row>
    <row r="208" spans="7:9" s="198" customFormat="1">
      <c r="G208" s="199"/>
      <c r="I208" s="199"/>
    </row>
    <row r="209" spans="7:9" s="198" customFormat="1">
      <c r="G209" s="199"/>
      <c r="I209" s="199"/>
    </row>
    <row r="210" spans="7:9" s="198" customFormat="1">
      <c r="G210" s="199"/>
      <c r="I210" s="199"/>
    </row>
    <row r="211" spans="7:9" s="198" customFormat="1">
      <c r="G211" s="199"/>
      <c r="I211" s="199"/>
    </row>
    <row r="212" spans="7:9" s="198" customFormat="1">
      <c r="G212" s="199"/>
      <c r="I212" s="199"/>
    </row>
    <row r="213" spans="7:9" s="198" customFormat="1">
      <c r="G213" s="199"/>
      <c r="I213" s="199"/>
    </row>
    <row r="214" spans="7:9" s="198" customFormat="1">
      <c r="G214" s="199"/>
      <c r="I214" s="199"/>
    </row>
    <row r="215" spans="7:9" s="198" customFormat="1">
      <c r="G215" s="199"/>
      <c r="I215" s="199"/>
    </row>
    <row r="216" spans="7:9" s="198" customFormat="1">
      <c r="G216" s="199"/>
      <c r="I216" s="199"/>
    </row>
    <row r="217" spans="7:9" s="198" customFormat="1">
      <c r="G217" s="199"/>
      <c r="I217" s="199"/>
    </row>
    <row r="218" spans="7:9" s="198" customFormat="1">
      <c r="G218" s="199"/>
      <c r="I218" s="199"/>
    </row>
    <row r="219" spans="7:9" s="198" customFormat="1">
      <c r="G219" s="199"/>
      <c r="I219" s="199"/>
    </row>
    <row r="220" spans="7:9" s="198" customFormat="1">
      <c r="G220" s="199"/>
      <c r="I220" s="199"/>
    </row>
    <row r="221" spans="7:9" s="198" customFormat="1">
      <c r="G221" s="199"/>
      <c r="I221" s="199"/>
    </row>
    <row r="222" spans="7:9" s="198" customFormat="1">
      <c r="G222" s="199"/>
      <c r="I222" s="199"/>
    </row>
    <row r="223" spans="7:9" s="198" customFormat="1">
      <c r="G223" s="199"/>
      <c r="I223" s="199"/>
    </row>
    <row r="224" spans="7:9" s="198" customFormat="1">
      <c r="G224" s="199"/>
      <c r="I224" s="199"/>
    </row>
    <row r="225" spans="7:9" s="198" customFormat="1">
      <c r="G225" s="199"/>
      <c r="I225" s="199"/>
    </row>
    <row r="226" spans="7:9" s="198" customFormat="1">
      <c r="G226" s="199"/>
      <c r="I226" s="199"/>
    </row>
    <row r="227" spans="7:9" s="198" customFormat="1">
      <c r="G227" s="199"/>
      <c r="I227" s="199"/>
    </row>
    <row r="228" spans="7:9" s="198" customFormat="1">
      <c r="G228" s="199"/>
      <c r="I228" s="199"/>
    </row>
    <row r="229" spans="7:9" s="198" customFormat="1">
      <c r="G229" s="199"/>
      <c r="I229" s="199"/>
    </row>
    <row r="230" spans="7:9" s="198" customFormat="1">
      <c r="G230" s="199"/>
      <c r="I230" s="199"/>
    </row>
    <row r="231" spans="7:9" s="198" customFormat="1">
      <c r="G231" s="199"/>
      <c r="I231" s="199"/>
    </row>
    <row r="232" spans="7:9" s="198" customFormat="1">
      <c r="G232" s="199"/>
      <c r="I232" s="199"/>
    </row>
    <row r="233" spans="7:9" s="198" customFormat="1">
      <c r="G233" s="199"/>
      <c r="I233" s="199"/>
    </row>
    <row r="234" spans="7:9" s="198" customFormat="1">
      <c r="G234" s="199"/>
      <c r="I234" s="199"/>
    </row>
    <row r="235" spans="7:9" s="198" customFormat="1">
      <c r="G235" s="199"/>
      <c r="I235" s="199"/>
    </row>
    <row r="236" spans="7:9" s="198" customFormat="1">
      <c r="G236" s="199"/>
      <c r="I236" s="199"/>
    </row>
    <row r="237" spans="7:9" s="198" customFormat="1">
      <c r="G237" s="199"/>
      <c r="I237" s="199"/>
    </row>
    <row r="238" spans="7:9" s="198" customFormat="1">
      <c r="G238" s="199"/>
      <c r="I238" s="199"/>
    </row>
    <row r="239" spans="7:9" s="198" customFormat="1">
      <c r="G239" s="199"/>
      <c r="I239" s="199"/>
    </row>
    <row r="240" spans="7:9" s="198" customFormat="1">
      <c r="G240" s="199"/>
      <c r="I240" s="199"/>
    </row>
    <row r="241" spans="7:9" s="198" customFormat="1">
      <c r="G241" s="199"/>
      <c r="I241" s="199"/>
    </row>
    <row r="242" spans="7:9" s="198" customFormat="1">
      <c r="G242" s="199"/>
      <c r="I242" s="199"/>
    </row>
    <row r="243" spans="7:9" s="198" customFormat="1">
      <c r="G243" s="199"/>
      <c r="I243" s="199"/>
    </row>
    <row r="244" spans="7:9" s="198" customFormat="1">
      <c r="G244" s="199"/>
      <c r="I244" s="199"/>
    </row>
    <row r="245" spans="7:9" s="198" customFormat="1">
      <c r="G245" s="199"/>
      <c r="I245" s="199"/>
    </row>
    <row r="246" spans="7:9" s="198" customFormat="1">
      <c r="G246" s="199"/>
      <c r="I246" s="199"/>
    </row>
    <row r="247" spans="7:9" s="198" customFormat="1">
      <c r="G247" s="199"/>
      <c r="I247" s="199"/>
    </row>
    <row r="248" spans="7:9" s="198" customFormat="1">
      <c r="G248" s="199"/>
      <c r="I248" s="199"/>
    </row>
    <row r="249" spans="7:9" s="198" customFormat="1">
      <c r="G249" s="199"/>
      <c r="I249" s="199"/>
    </row>
    <row r="250" spans="7:9" s="198" customFormat="1">
      <c r="G250" s="199"/>
      <c r="I250" s="199"/>
    </row>
    <row r="251" spans="7:9" s="198" customFormat="1">
      <c r="G251" s="199"/>
      <c r="I251" s="199"/>
    </row>
    <row r="252" spans="7:9" s="198" customFormat="1">
      <c r="G252" s="199"/>
      <c r="I252" s="199"/>
    </row>
    <row r="253" spans="7:9" s="198" customFormat="1">
      <c r="G253" s="199"/>
      <c r="I253" s="199"/>
    </row>
    <row r="254" spans="7:9" s="198" customFormat="1">
      <c r="G254" s="199"/>
      <c r="I254" s="199"/>
    </row>
    <row r="255" spans="7:9" s="198" customFormat="1">
      <c r="G255" s="199"/>
      <c r="I255" s="199"/>
    </row>
    <row r="256" spans="7:9" s="198" customFormat="1">
      <c r="G256" s="199"/>
      <c r="I256" s="199"/>
    </row>
    <row r="257" spans="7:9" s="198" customFormat="1">
      <c r="G257" s="199"/>
      <c r="I257" s="199"/>
    </row>
    <row r="258" spans="7:9" s="198" customFormat="1">
      <c r="G258" s="199"/>
      <c r="I258" s="199"/>
    </row>
    <row r="259" spans="7:9" s="198" customFormat="1">
      <c r="G259" s="199"/>
      <c r="I259" s="199"/>
    </row>
    <row r="260" spans="7:9" s="198" customFormat="1">
      <c r="G260" s="199"/>
      <c r="I260" s="199"/>
    </row>
    <row r="261" spans="7:9" s="198" customFormat="1">
      <c r="G261" s="199"/>
      <c r="I261" s="199"/>
    </row>
    <row r="262" spans="7:9" s="198" customFormat="1">
      <c r="G262" s="199"/>
      <c r="I262" s="199"/>
    </row>
    <row r="263" spans="7:9" s="198" customFormat="1">
      <c r="G263" s="199"/>
      <c r="I263" s="199"/>
    </row>
    <row r="264" spans="7:9" s="198" customFormat="1">
      <c r="G264" s="199"/>
      <c r="I264" s="199"/>
    </row>
    <row r="265" spans="7:9" s="198" customFormat="1">
      <c r="G265" s="199"/>
      <c r="I265" s="199"/>
    </row>
    <row r="266" spans="7:9" s="198" customFormat="1">
      <c r="G266" s="199"/>
      <c r="I266" s="199"/>
    </row>
    <row r="267" spans="7:9" s="198" customFormat="1">
      <c r="G267" s="199"/>
      <c r="I267" s="199"/>
    </row>
    <row r="268" spans="7:9" s="198" customFormat="1">
      <c r="G268" s="199"/>
      <c r="I268" s="199"/>
    </row>
    <row r="269" spans="7:9" s="198" customFormat="1">
      <c r="G269" s="199"/>
      <c r="I269" s="199"/>
    </row>
    <row r="270" spans="7:9" s="198" customFormat="1">
      <c r="G270" s="199"/>
      <c r="I270" s="199"/>
    </row>
    <row r="271" spans="7:9" s="198" customFormat="1">
      <c r="G271" s="199"/>
      <c r="I271" s="199"/>
    </row>
    <row r="272" spans="7:9" s="198" customFormat="1">
      <c r="G272" s="199"/>
      <c r="I272" s="199"/>
    </row>
    <row r="273" spans="7:9" s="198" customFormat="1">
      <c r="G273" s="199"/>
      <c r="I273" s="199"/>
    </row>
    <row r="274" spans="7:9" s="198" customFormat="1">
      <c r="G274" s="199"/>
      <c r="I274" s="199"/>
    </row>
    <row r="275" spans="7:9" s="198" customFormat="1">
      <c r="G275" s="199"/>
      <c r="I275" s="199"/>
    </row>
    <row r="276" spans="7:9" s="198" customFormat="1">
      <c r="G276" s="199"/>
      <c r="I276" s="199"/>
    </row>
    <row r="277" spans="7:9" s="198" customFormat="1">
      <c r="G277" s="199"/>
      <c r="I277" s="199"/>
    </row>
    <row r="278" spans="7:9" s="198" customFormat="1">
      <c r="G278" s="199"/>
      <c r="I278" s="199"/>
    </row>
    <row r="279" spans="7:9" s="198" customFormat="1">
      <c r="G279" s="199"/>
      <c r="I279" s="199"/>
    </row>
    <row r="280" spans="7:9" s="198" customFormat="1">
      <c r="G280" s="199"/>
      <c r="I280" s="199"/>
    </row>
    <row r="281" spans="7:9" s="198" customFormat="1">
      <c r="G281" s="199"/>
      <c r="I281" s="199"/>
    </row>
    <row r="282" spans="7:9" s="198" customFormat="1">
      <c r="G282" s="199"/>
      <c r="I282" s="199"/>
    </row>
    <row r="283" spans="7:9" s="198" customFormat="1">
      <c r="G283" s="199"/>
      <c r="I283" s="199"/>
    </row>
    <row r="284" spans="7:9" s="198" customFormat="1">
      <c r="G284" s="199"/>
      <c r="I284" s="199"/>
    </row>
    <row r="285" spans="7:9" s="198" customFormat="1">
      <c r="G285" s="199"/>
      <c r="I285" s="199"/>
    </row>
    <row r="286" spans="7:9" s="198" customFormat="1">
      <c r="G286" s="199"/>
      <c r="I286" s="199"/>
    </row>
    <row r="287" spans="7:9" s="198" customFormat="1">
      <c r="G287" s="199"/>
      <c r="I287" s="199"/>
    </row>
    <row r="288" spans="7:9" s="198" customFormat="1">
      <c r="G288" s="199"/>
      <c r="I288" s="199"/>
    </row>
    <row r="289" spans="7:9" s="198" customFormat="1">
      <c r="G289" s="199"/>
      <c r="I289" s="199"/>
    </row>
    <row r="290" spans="7:9" s="198" customFormat="1">
      <c r="G290" s="199"/>
      <c r="I290" s="199"/>
    </row>
    <row r="291" spans="7:9" s="198" customFormat="1">
      <c r="G291" s="199"/>
      <c r="I291" s="199"/>
    </row>
    <row r="292" spans="7:9" s="198" customFormat="1">
      <c r="G292" s="199"/>
      <c r="I292" s="199"/>
    </row>
    <row r="293" spans="7:9" s="198" customFormat="1">
      <c r="G293" s="199"/>
      <c r="I293" s="199"/>
    </row>
    <row r="294" spans="7:9" s="198" customFormat="1">
      <c r="G294" s="199"/>
      <c r="I294" s="199"/>
    </row>
    <row r="295" spans="7:9" s="198" customFormat="1">
      <c r="G295" s="199"/>
      <c r="I295" s="199"/>
    </row>
    <row r="296" spans="7:9" s="198" customFormat="1">
      <c r="G296" s="199"/>
      <c r="I296" s="199"/>
    </row>
    <row r="297" spans="7:9" s="198" customFormat="1">
      <c r="G297" s="199"/>
      <c r="I297" s="199"/>
    </row>
    <row r="298" spans="7:9" s="198" customFormat="1">
      <c r="G298" s="199"/>
      <c r="I298" s="199"/>
    </row>
    <row r="299" spans="7:9" s="198" customFormat="1">
      <c r="G299" s="199"/>
      <c r="I299" s="199"/>
    </row>
    <row r="300" spans="7:9" s="198" customFormat="1">
      <c r="G300" s="199"/>
      <c r="I300" s="199"/>
    </row>
    <row r="301" spans="7:9" s="198" customFormat="1">
      <c r="G301" s="199"/>
      <c r="I301" s="199"/>
    </row>
    <row r="302" spans="7:9" s="198" customFormat="1">
      <c r="G302" s="199"/>
      <c r="I302" s="199"/>
    </row>
    <row r="303" spans="7:9" s="198" customFormat="1">
      <c r="G303" s="199"/>
      <c r="I303" s="199"/>
    </row>
    <row r="304" spans="7:9" s="198" customFormat="1">
      <c r="G304" s="199"/>
      <c r="I304" s="199"/>
    </row>
    <row r="305" spans="7:9" s="198" customFormat="1">
      <c r="G305" s="199"/>
      <c r="I305" s="199"/>
    </row>
    <row r="306" spans="7:9" s="198" customFormat="1">
      <c r="G306" s="199"/>
      <c r="I306" s="199"/>
    </row>
    <row r="307" spans="7:9" s="198" customFormat="1">
      <c r="G307" s="199"/>
      <c r="I307" s="199"/>
    </row>
    <row r="308" spans="7:9" s="198" customFormat="1">
      <c r="G308" s="199"/>
      <c r="I308" s="199"/>
    </row>
    <row r="309" spans="7:9" s="198" customFormat="1">
      <c r="G309" s="199"/>
      <c r="I309" s="199"/>
    </row>
    <row r="310" spans="7:9" s="198" customFormat="1">
      <c r="G310" s="199"/>
      <c r="I310" s="199"/>
    </row>
    <row r="311" spans="7:9" s="198" customFormat="1">
      <c r="G311" s="199"/>
      <c r="I311" s="199"/>
    </row>
    <row r="312" spans="7:9" s="198" customFormat="1">
      <c r="G312" s="199"/>
      <c r="I312" s="199"/>
    </row>
    <row r="313" spans="7:9" s="198" customFormat="1">
      <c r="G313" s="199"/>
      <c r="I313" s="199"/>
    </row>
    <row r="314" spans="7:9" s="198" customFormat="1">
      <c r="G314" s="199"/>
      <c r="I314" s="199"/>
    </row>
    <row r="315" spans="7:9" s="198" customFormat="1">
      <c r="G315" s="199"/>
      <c r="I315" s="199"/>
    </row>
    <row r="316" spans="7:9" s="198" customFormat="1">
      <c r="G316" s="199"/>
      <c r="I316" s="199"/>
    </row>
    <row r="317" spans="7:9" s="198" customFormat="1">
      <c r="G317" s="199"/>
      <c r="I317" s="199"/>
    </row>
    <row r="318" spans="7:9" s="198" customFormat="1">
      <c r="G318" s="199"/>
      <c r="I318" s="199"/>
    </row>
    <row r="319" spans="7:9" s="198" customFormat="1">
      <c r="G319" s="199"/>
      <c r="I319" s="199"/>
    </row>
    <row r="320" spans="7:9" s="198" customFormat="1">
      <c r="G320" s="199"/>
      <c r="I320" s="199"/>
    </row>
    <row r="321" spans="7:9" s="198" customFormat="1">
      <c r="G321" s="199"/>
      <c r="I321" s="199"/>
    </row>
    <row r="322" spans="7:9" s="198" customFormat="1">
      <c r="G322" s="199"/>
      <c r="I322" s="199"/>
    </row>
    <row r="323" spans="7:9" s="198" customFormat="1">
      <c r="G323" s="199"/>
      <c r="I323" s="199"/>
    </row>
    <row r="324" spans="7:9" s="198" customFormat="1">
      <c r="G324" s="199"/>
      <c r="I324" s="199"/>
    </row>
    <row r="325" spans="7:9" s="198" customFormat="1">
      <c r="G325" s="199"/>
      <c r="I325" s="199"/>
    </row>
    <row r="326" spans="7:9" s="198" customFormat="1">
      <c r="G326" s="199"/>
      <c r="I326" s="199"/>
    </row>
    <row r="327" spans="7:9" s="198" customFormat="1">
      <c r="G327" s="199"/>
      <c r="I327" s="199"/>
    </row>
    <row r="328" spans="7:9" s="198" customFormat="1">
      <c r="G328" s="199"/>
      <c r="I328" s="199"/>
    </row>
    <row r="329" spans="7:9" s="198" customFormat="1">
      <c r="G329" s="199"/>
      <c r="I329" s="199"/>
    </row>
    <row r="330" spans="7:9" s="198" customFormat="1">
      <c r="G330" s="199"/>
      <c r="I330" s="199"/>
    </row>
    <row r="331" spans="7:9" s="198" customFormat="1">
      <c r="G331" s="199"/>
      <c r="I331" s="199"/>
    </row>
    <row r="332" spans="7:9" s="198" customFormat="1">
      <c r="G332" s="199"/>
      <c r="I332" s="199"/>
    </row>
    <row r="333" spans="7:9" s="198" customFormat="1">
      <c r="G333" s="199"/>
      <c r="I333" s="199"/>
    </row>
    <row r="334" spans="7:9" s="198" customFormat="1">
      <c r="G334" s="199"/>
      <c r="I334" s="199"/>
    </row>
    <row r="335" spans="7:9" s="198" customFormat="1">
      <c r="G335" s="199"/>
      <c r="I335" s="199"/>
    </row>
    <row r="336" spans="7:9" s="198" customFormat="1">
      <c r="G336" s="199"/>
      <c r="I336" s="199"/>
    </row>
    <row r="337" spans="7:9" s="198" customFormat="1">
      <c r="G337" s="199"/>
      <c r="I337" s="199"/>
    </row>
    <row r="338" spans="7:9" s="198" customFormat="1">
      <c r="G338" s="199"/>
      <c r="I338" s="199"/>
    </row>
    <row r="339" spans="7:9" s="198" customFormat="1">
      <c r="G339" s="199"/>
      <c r="I339" s="199"/>
    </row>
    <row r="340" spans="7:9" s="198" customFormat="1">
      <c r="G340" s="199"/>
      <c r="I340" s="199"/>
    </row>
    <row r="341" spans="7:9" s="198" customFormat="1">
      <c r="G341" s="199"/>
      <c r="I341" s="199"/>
    </row>
    <row r="342" spans="7:9" s="198" customFormat="1">
      <c r="G342" s="199"/>
      <c r="I342" s="199"/>
    </row>
    <row r="343" spans="7:9" s="198" customFormat="1">
      <c r="G343" s="199"/>
      <c r="I343" s="199"/>
    </row>
    <row r="344" spans="7:9" s="198" customFormat="1">
      <c r="G344" s="199"/>
      <c r="I344" s="199"/>
    </row>
    <row r="345" spans="7:9" s="198" customFormat="1">
      <c r="G345" s="199"/>
      <c r="I345" s="199"/>
    </row>
    <row r="346" spans="7:9" s="198" customFormat="1">
      <c r="G346" s="199"/>
      <c r="I346" s="199"/>
    </row>
    <row r="347" spans="7:9" s="198" customFormat="1">
      <c r="G347" s="199"/>
      <c r="I347" s="199"/>
    </row>
    <row r="348" spans="7:9" s="198" customFormat="1">
      <c r="G348" s="199"/>
      <c r="I348" s="199"/>
    </row>
    <row r="349" spans="7:9" s="198" customFormat="1">
      <c r="G349" s="199"/>
      <c r="I349" s="199"/>
    </row>
    <row r="350" spans="7:9" s="198" customFormat="1">
      <c r="G350" s="199"/>
      <c r="I350" s="199"/>
    </row>
    <row r="351" spans="7:9" s="198" customFormat="1">
      <c r="G351" s="199"/>
      <c r="I351" s="199"/>
    </row>
  </sheetData>
  <mergeCells count="10">
    <mergeCell ref="K13:L13"/>
    <mergeCell ref="K15:M16"/>
    <mergeCell ref="L17:M17"/>
    <mergeCell ref="G4:H4"/>
    <mergeCell ref="I4:J4"/>
    <mergeCell ref="K4:L4"/>
    <mergeCell ref="K5:L5"/>
    <mergeCell ref="G12:H12"/>
    <mergeCell ref="I12:J12"/>
    <mergeCell ref="K12:L1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 Year 1</vt:lpstr>
      <vt:lpstr>TB Year 2</vt:lpstr>
      <vt:lpstr>TB Year 3</vt:lpstr>
      <vt:lpstr>TB Summary</vt:lpstr>
      <vt:lpstr>Sub NPS</vt:lpstr>
      <vt:lpstr>Travel Est</vt:lpstr>
    </vt:vector>
  </TitlesOfParts>
  <Company>MechSE, 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 Barber</dc:creator>
  <cp:lastModifiedBy>vldobr</cp:lastModifiedBy>
  <cp:lastPrinted>2013-09-02T18:12:31Z</cp:lastPrinted>
  <dcterms:created xsi:type="dcterms:W3CDTF">2009-11-13T15:43:49Z</dcterms:created>
  <dcterms:modified xsi:type="dcterms:W3CDTF">2013-09-02T19:48:20Z</dcterms:modified>
</cp:coreProperties>
</file>