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levva\Downloads\gyakorlas\22 - Excel függvények\"/>
    </mc:Choice>
  </mc:AlternateContent>
  <xr:revisionPtr revIDLastSave="0" documentId="13_ncr:1_{8A1A0F78-AD85-4CBE-A0D4-26939A0656C0}" xr6:coauthVersionLast="47" xr6:coauthVersionMax="47" xr10:uidLastSave="{00000000-0000-0000-0000-000000000000}"/>
  <bookViews>
    <workbookView xWindow="-120" yWindow="-120" windowWidth="29040" windowHeight="15720" activeTab="4" xr2:uid="{00000000-000D-0000-FFFF-FFFF00000000}"/>
  </bookViews>
  <sheets>
    <sheet name="1. Logikai" sheetId="5" r:id="rId1"/>
    <sheet name="2. Szám - Statisztikai" sheetId="6" r:id="rId2"/>
    <sheet name="3. Szöveg" sheetId="7" r:id="rId3"/>
    <sheet name="4. Keresés" sheetId="4" r:id="rId4"/>
    <sheet name="5. Adatbázis"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 l="1"/>
  <c r="G111" i="8" s="1"/>
  <c r="F4" i="8"/>
  <c r="F5" i="8"/>
  <c r="F6" i="8"/>
  <c r="F7" i="8"/>
  <c r="F8" i="8"/>
  <c r="F9" i="8"/>
  <c r="F10" i="8"/>
  <c r="F11" i="8"/>
  <c r="F2" i="8"/>
  <c r="B114" i="8" s="1"/>
  <c r="C106" i="8"/>
  <c r="B87" i="8"/>
  <c r="G64" i="8"/>
  <c r="B65" i="8"/>
  <c r="B58" i="8"/>
  <c r="T39" i="4"/>
  <c r="T32" i="4"/>
  <c r="T34" i="4"/>
  <c r="T26" i="4"/>
  <c r="T21" i="4"/>
  <c r="T16" i="4"/>
  <c r="T15" i="4"/>
  <c r="I32" i="4"/>
  <c r="J32" i="4"/>
  <c r="K32" i="4"/>
  <c r="H32" i="4"/>
  <c r="H26" i="4"/>
  <c r="H21" i="4"/>
  <c r="H16" i="4"/>
  <c r="H15" i="4"/>
  <c r="B48" i="4"/>
  <c r="B42" i="4"/>
  <c r="B35" i="4"/>
  <c r="B36" i="4"/>
  <c r="B37" i="4"/>
  <c r="B34" i="4"/>
  <c r="B27" i="4"/>
  <c r="B21" i="4"/>
  <c r="B16" i="4"/>
  <c r="B15" i="4"/>
  <c r="B73" i="7"/>
  <c r="E50" i="7"/>
  <c r="E51" i="7"/>
  <c r="E52" i="7"/>
  <c r="E53" i="7"/>
  <c r="E54" i="7"/>
  <c r="E55" i="7"/>
  <c r="E56" i="7"/>
  <c r="E57" i="7"/>
  <c r="E58" i="7"/>
  <c r="E59" i="7"/>
  <c r="E60" i="7"/>
  <c r="E61" i="7"/>
  <c r="E62" i="7"/>
  <c r="E63" i="7"/>
  <c r="E64" i="7"/>
  <c r="E65" i="7"/>
  <c r="E66" i="7"/>
  <c r="E67" i="7"/>
  <c r="E49" i="7"/>
  <c r="E48" i="7"/>
  <c r="C49" i="7"/>
  <c r="C50" i="7"/>
  <c r="C51" i="7"/>
  <c r="C52" i="7"/>
  <c r="C53" i="7"/>
  <c r="C54" i="7"/>
  <c r="C55" i="7"/>
  <c r="C56" i="7"/>
  <c r="C57" i="7"/>
  <c r="C58" i="7"/>
  <c r="C59" i="7"/>
  <c r="C60" i="7"/>
  <c r="C61" i="7"/>
  <c r="C62" i="7"/>
  <c r="C63" i="7"/>
  <c r="C64" i="7"/>
  <c r="C65" i="7"/>
  <c r="C66" i="7"/>
  <c r="C67" i="7"/>
  <c r="C48" i="7"/>
  <c r="B49" i="7"/>
  <c r="B50" i="7"/>
  <c r="B51" i="7"/>
  <c r="B52" i="7"/>
  <c r="B53" i="7"/>
  <c r="B54" i="7"/>
  <c r="B55" i="7"/>
  <c r="B56" i="7"/>
  <c r="B57" i="7"/>
  <c r="B58" i="7"/>
  <c r="B59" i="7"/>
  <c r="B60" i="7"/>
  <c r="B61" i="7"/>
  <c r="B62" i="7"/>
  <c r="B63" i="7"/>
  <c r="B64" i="7"/>
  <c r="B65" i="7"/>
  <c r="B66" i="7"/>
  <c r="B67" i="7"/>
  <c r="B48" i="7"/>
  <c r="B22" i="7"/>
  <c r="B24" i="7"/>
  <c r="B25" i="7"/>
  <c r="B26" i="7"/>
  <c r="B27" i="7"/>
  <c r="B28" i="7"/>
  <c r="B29" i="7"/>
  <c r="B30" i="7"/>
  <c r="B31" i="7"/>
  <c r="B32" i="7"/>
  <c r="B33" i="7"/>
  <c r="B34" i="7"/>
  <c r="B35" i="7"/>
  <c r="B36" i="7"/>
  <c r="B37" i="7"/>
  <c r="B38" i="7"/>
  <c r="B39" i="7"/>
  <c r="B40" i="7"/>
  <c r="B41" i="7"/>
  <c r="B23" i="7"/>
  <c r="B2" i="7"/>
  <c r="R8" i="7"/>
  <c r="N8" i="7"/>
  <c r="J8" i="7"/>
  <c r="K8" i="7"/>
  <c r="F8" i="7"/>
  <c r="B8" i="7"/>
  <c r="C8" i="7"/>
  <c r="B169" i="6"/>
  <c r="B168" i="6"/>
  <c r="B167" i="6"/>
  <c r="G69" i="6"/>
  <c r="G70" i="6"/>
  <c r="G71" i="6"/>
  <c r="G72" i="6"/>
  <c r="G73" i="6"/>
  <c r="G74" i="6"/>
  <c r="G75" i="6"/>
  <c r="G76" i="6"/>
  <c r="G77" i="6"/>
  <c r="G78" i="6"/>
  <c r="G79" i="6"/>
  <c r="G80" i="6"/>
  <c r="G81" i="6"/>
  <c r="G82" i="6"/>
  <c r="G83" i="6"/>
  <c r="G84" i="6"/>
  <c r="G85" i="6"/>
  <c r="G86" i="6"/>
  <c r="G87" i="6"/>
  <c r="G68" i="6"/>
  <c r="B160" i="6"/>
  <c r="B154" i="6"/>
  <c r="B153" i="6"/>
  <c r="B152" i="6"/>
  <c r="B143" i="6"/>
  <c r="B144" i="6"/>
  <c r="B145" i="6"/>
  <c r="B146" i="6"/>
  <c r="B142" i="6"/>
  <c r="B136" i="6"/>
  <c r="B135" i="6"/>
  <c r="B128" i="6"/>
  <c r="B123" i="6"/>
  <c r="B118" i="6"/>
  <c r="B110" i="6"/>
  <c r="B111" i="6"/>
  <c r="B112" i="6"/>
  <c r="B113" i="6"/>
  <c r="B104" i="6"/>
  <c r="B99" i="6"/>
  <c r="B98" i="6"/>
  <c r="B92" i="6"/>
  <c r="V49" i="6"/>
  <c r="R49" i="6"/>
  <c r="N51" i="6"/>
  <c r="N50" i="6"/>
  <c r="N49" i="6"/>
  <c r="J51" i="6"/>
  <c r="J50" i="6"/>
  <c r="J49" i="6"/>
  <c r="G51" i="6"/>
  <c r="F51" i="6"/>
  <c r="B49" i="6"/>
  <c r="B48" i="6"/>
  <c r="B43" i="6"/>
  <c r="B42" i="6"/>
  <c r="B41" i="6"/>
  <c r="N33" i="6"/>
  <c r="J33" i="6"/>
  <c r="G31" i="6" l="1"/>
  <c r="F31" i="6"/>
  <c r="E31" i="6"/>
  <c r="C31" i="6"/>
  <c r="B31" i="6"/>
  <c r="A31" i="6"/>
  <c r="V25" i="6"/>
  <c r="R25" i="6"/>
  <c r="N25" i="6"/>
  <c r="J25" i="6"/>
  <c r="F25" i="6"/>
  <c r="B25" i="6"/>
  <c r="N14" i="6"/>
  <c r="J15" i="6"/>
  <c r="J14" i="6"/>
  <c r="F14" i="6"/>
  <c r="B14" i="6"/>
  <c r="E83" i="5"/>
  <c r="E84" i="5"/>
  <c r="E85" i="5"/>
  <c r="E82" i="5"/>
  <c r="C83" i="5"/>
  <c r="C84" i="5"/>
  <c r="C85" i="5"/>
  <c r="C82" i="5"/>
  <c r="E74" i="5"/>
  <c r="E75" i="5"/>
  <c r="E76" i="5"/>
  <c r="E73" i="5"/>
  <c r="C74" i="5"/>
  <c r="C75" i="5"/>
  <c r="C76" i="5"/>
  <c r="C73" i="5"/>
  <c r="C58" i="5"/>
  <c r="C59" i="5"/>
  <c r="C60" i="5"/>
  <c r="C61" i="5"/>
  <c r="C62" i="5"/>
  <c r="C63" i="5"/>
  <c r="C64" i="5"/>
  <c r="C65" i="5"/>
  <c r="C66" i="5"/>
  <c r="C67" i="5"/>
  <c r="C46" i="5"/>
  <c r="C47" i="5"/>
  <c r="C48" i="5"/>
  <c r="C49" i="5"/>
  <c r="C50" i="5"/>
  <c r="C51" i="5"/>
  <c r="C52" i="5"/>
  <c r="C45" i="5"/>
  <c r="C35" i="5"/>
  <c r="C36" i="5"/>
  <c r="C37" i="5"/>
  <c r="C38" i="5"/>
  <c r="C39" i="5"/>
  <c r="C34" i="5"/>
  <c r="C24" i="5"/>
  <c r="C25" i="5"/>
  <c r="C26" i="5"/>
  <c r="C27" i="5"/>
  <c r="C28" i="5"/>
  <c r="C23" i="5"/>
  <c r="B24" i="5"/>
  <c r="B25" i="5"/>
  <c r="B26" i="5"/>
  <c r="B27" i="5"/>
  <c r="B28" i="5"/>
  <c r="B23" i="5"/>
  <c r="AC11" i="5"/>
  <c r="AC9" i="5"/>
  <c r="AC8" i="5"/>
  <c r="Z9" i="5"/>
  <c r="Z10" i="5"/>
  <c r="Z11" i="5"/>
  <c r="Z8" i="5"/>
  <c r="Y9" i="5"/>
  <c r="Y10" i="5"/>
  <c r="Y11" i="5"/>
  <c r="Y8" i="5"/>
  <c r="V10" i="5"/>
  <c r="V9" i="5"/>
  <c r="V8" i="5"/>
  <c r="S9" i="5"/>
  <c r="S10" i="5"/>
  <c r="S11" i="5"/>
  <c r="S12" i="5"/>
  <c r="S8" i="5"/>
  <c r="P9" i="5"/>
  <c r="P8" i="5"/>
  <c r="L11" i="5"/>
  <c r="M9" i="5"/>
  <c r="M10" i="5"/>
  <c r="M11" i="5"/>
  <c r="M8" i="5"/>
  <c r="J9" i="5"/>
  <c r="J8" i="5"/>
  <c r="G9" i="5"/>
  <c r="G10" i="5"/>
  <c r="G11" i="5"/>
  <c r="G8" i="5"/>
  <c r="C9" i="5"/>
  <c r="C10" i="5"/>
  <c r="C11" i="5"/>
  <c r="C8" i="5"/>
  <c r="A21" i="4"/>
  <c r="E3" i="8" l="1"/>
  <c r="E4" i="8"/>
  <c r="E5" i="8"/>
  <c r="E6" i="8"/>
  <c r="E7" i="8"/>
  <c r="E8" i="8"/>
  <c r="E9" i="8"/>
  <c r="A40" i="8" s="1"/>
  <c r="E10" i="8"/>
  <c r="E11" i="8"/>
  <c r="E2" i="8"/>
  <c r="A17" i="8" l="1"/>
  <c r="C107" i="8"/>
  <c r="C105" i="8"/>
  <c r="B51" i="8"/>
  <c r="B97" i="8"/>
  <c r="B80" i="8"/>
  <c r="B73" i="8"/>
  <c r="G71" i="8"/>
  <c r="B74" i="8" s="1"/>
  <c r="A16" i="8"/>
  <c r="A37" i="8"/>
  <c r="A20" i="8"/>
  <c r="A21" i="8"/>
  <c r="A24" i="8"/>
  <c r="A25" i="8"/>
  <c r="A28" i="8"/>
  <c r="A29" i="8"/>
  <c r="A33" i="8"/>
  <c r="A32" i="8"/>
  <c r="A36" i="8"/>
  <c r="U9" i="5" l="1"/>
  <c r="A16" i="4" l="1"/>
  <c r="S15" i="4" l="1"/>
  <c r="K31" i="4"/>
  <c r="J31" i="4"/>
  <c r="I31" i="4"/>
  <c r="H31" i="4"/>
  <c r="G21" i="4"/>
  <c r="G15" i="4"/>
  <c r="A37" i="4"/>
  <c r="A36" i="4"/>
  <c r="A35" i="4"/>
  <c r="A34" i="4"/>
  <c r="A15" i="4"/>
</calcChain>
</file>

<file path=xl/sharedStrings.xml><?xml version="1.0" encoding="utf-8"?>
<sst xmlns="http://schemas.openxmlformats.org/spreadsheetml/2006/main" count="573" uniqueCount="318">
  <si>
    <t>ÁTLAG</t>
  </si>
  <si>
    <t>DARAB</t>
  </si>
  <si>
    <t>alma</t>
  </si>
  <si>
    <t>körte</t>
  </si>
  <si>
    <t>nincs</t>
  </si>
  <si>
    <t>banán</t>
  </si>
  <si>
    <t>szőlő</t>
  </si>
  <si>
    <t>dió</t>
  </si>
  <si>
    <t>Eredmény:</t>
  </si>
  <si>
    <t>DARAB2</t>
  </si>
  <si>
    <t>DARABTELI</t>
  </si>
  <si>
    <t>DARABÜRES</t>
  </si>
  <si>
    <t>KICSI</t>
  </si>
  <si>
    <t>NAGY</t>
  </si>
  <si>
    <t>SZUM</t>
  </si>
  <si>
    <t>SZUMHA</t>
  </si>
  <si>
    <t>zokni</t>
  </si>
  <si>
    <t>Ár</t>
  </si>
  <si>
    <t>Termék</t>
  </si>
  <si>
    <t>cipő</t>
  </si>
  <si>
    <t>póló</t>
  </si>
  <si>
    <t>SZORZAT</t>
  </si>
  <si>
    <t>Banán</t>
  </si>
  <si>
    <t>Dió</t>
  </si>
  <si>
    <t xml:space="preserve">Barack </t>
  </si>
  <si>
    <t xml:space="preserve">Alma </t>
  </si>
  <si>
    <t>Meggy</t>
  </si>
  <si>
    <t>Cseresznye</t>
  </si>
  <si>
    <t>Körte</t>
  </si>
  <si>
    <t>Szőlő</t>
  </si>
  <si>
    <t>Egységár (Ft / kg)</t>
  </si>
  <si>
    <t>Megoldás:</t>
  </si>
  <si>
    <t>Legnagyobb egységára:</t>
  </si>
  <si>
    <t>Mennyiség (kg)</t>
  </si>
  <si>
    <t>Legkisebb egységára:</t>
  </si>
  <si>
    <t>Logikai értékek</t>
  </si>
  <si>
    <t>IGAZ-at ad vissza, ha legalább egy bemenő paramétere IGAZ.</t>
  </si>
  <si>
    <t>Adat</t>
  </si>
  <si>
    <t>Eredmény</t>
  </si>
  <si>
    <t>Feladatok</t>
  </si>
  <si>
    <t>A feladatok megoldásához bármilyen függvényt használhatsz. A függvények egymásba ágyazása engedélyezett!</t>
  </si>
  <si>
    <t>1. feladat</t>
  </si>
  <si>
    <t>Adatok</t>
  </si>
  <si>
    <t>Az alábbi számokat alakítsd párossá. Amennyiben a szám páratlan, kerekítsd fel a legközelebbi páros számra.</t>
  </si>
  <si>
    <t>2. feladat</t>
  </si>
  <si>
    <t>3. feladat</t>
  </si>
  <si>
    <t>Készíts el egy olyan logikai függvényt, ami csak akkor ad vissza IGAZ-at, ha a két bemenő logikai érték egyezik! Azaz két bemenő IGAZ, vagy két bemenő HAMIS esetén is IGAZ az eredmény, minden más esetben HAMIS.</t>
  </si>
  <si>
    <t>4. feladat</t>
  </si>
  <si>
    <t>Az iskolában papírgyűjtést rendeznek. Hogyha az adott osztály több, mint 1000kg papírt gyűjtött, egy kirándulást nyernek, hogyha az osztály pontosan 1000kg papírt gyűjtött, egy spéci jutalomban részesülnek. Az 1000kg papír alatt gyűjtők sajnos nem nyernek semmit. Határozd meg Excel függvények segítségével melyik osztály mit nyert!</t>
  </si>
  <si>
    <t>10/A</t>
  </si>
  <si>
    <t>10/B</t>
  </si>
  <si>
    <t>11/A</t>
  </si>
  <si>
    <t>11/B</t>
  </si>
  <si>
    <t>12/A</t>
  </si>
  <si>
    <t>12/B</t>
  </si>
  <si>
    <t>5. feladat</t>
  </si>
  <si>
    <t>Bence Nagy</t>
  </si>
  <si>
    <t>Csongor Varga</t>
  </si>
  <si>
    <t>Dóra Tóth</t>
  </si>
  <si>
    <t>Emese Kiss</t>
  </si>
  <si>
    <t>IV</t>
  </si>
  <si>
    <t>Anna Kovács</t>
  </si>
  <si>
    <t>Ferenc Kovács</t>
  </si>
  <si>
    <t>Gábor Szabó</t>
  </si>
  <si>
    <t>Hanna Farkas</t>
  </si>
  <si>
    <t>V</t>
  </si>
  <si>
    <t>VI</t>
  </si>
  <si>
    <t xml:space="preserve">A diákok dolgozatait szeretnéd osztályozni. Ha a diák 90%, vagy a fölött teljesített 5-öst kap. 80-89%-ig 4-es, 70-79%-ig 3-as, 40-69%-ig 2-es, ez alatt 1-es osztályzat kerül a dolgozatásra. Írj egy Excel függvényt, ami ez alapján osztályozza a diákok eredményeit! </t>
  </si>
  <si>
    <t>Péter Kovács</t>
  </si>
  <si>
    <t>Anna Nagy</t>
  </si>
  <si>
    <t>Zsófia Horváth</t>
  </si>
  <si>
    <t>Máté Varga</t>
  </si>
  <si>
    <t>Emília Tóth</t>
  </si>
  <si>
    <t>Dávid Kiss</t>
  </si>
  <si>
    <t>Viktória Papp</t>
  </si>
  <si>
    <t>Levente Molnár</t>
  </si>
  <si>
    <t>Enikő Farkas</t>
  </si>
  <si>
    <t>6. feladat</t>
  </si>
  <si>
    <t xml:space="preserve">Meghatározza, hogy egy cella üres-e. </t>
  </si>
  <si>
    <t>Tagadja (azaz, az ellentettjére fordítja) a bemenő logikai értéket.</t>
  </si>
  <si>
    <t>Ha az első paraméterként megadott érték, vagy kifejezés eredménye IGAZ, a második paraméterként megadott értéket helyettesítjük be a cellába, ha HAMIS, akkor a harmadikként megadott értéket helyettesítjük a cellába.</t>
  </si>
  <si>
    <t>Egy verseny rangsorolásánál összekeveredtek az adatok. Hogyha a versenyző nem fejezte be a versenyt, akkor a helyezése helyén egy üres cella áll. Az dobogós helyezések számmal, míg minden további helyezés római számmal lett jelölve. Készíts egy függvényt, ami "nincs eredmény", "dobogós", valamint "befejezte" szövegeket illeszt a versenyzők helyezése mellé, a korábbi szabályok mentén.</t>
  </si>
  <si>
    <t>Megnevezés</t>
  </si>
  <si>
    <t>Határozd meg, hogy mennyi alma található a készleten!</t>
  </si>
  <si>
    <t>Összesített árak</t>
  </si>
  <si>
    <t>Határozd meg a meggy egységárát!</t>
  </si>
  <si>
    <t>Határozd meg a legnagyobb mennyiséggel rendelkező termék egységárát!</t>
  </si>
  <si>
    <t>Határozd meg, hogy mennyi banán taláható a készleten!</t>
  </si>
  <si>
    <t>Határozd meg a körte egységárát!</t>
  </si>
  <si>
    <t>Határozd meg a 3. legkisebb mennyiséggel rendelkező termék egységárát!</t>
  </si>
  <si>
    <t>Összesített árak:</t>
  </si>
  <si>
    <t>Határozd meg, hogy a táblázat hanyadik sorában található a meggy!</t>
  </si>
  <si>
    <t>Határozd meg, hogy melyik termékből található 135 kg a raktáron!</t>
  </si>
  <si>
    <t xml:space="preserve"> Határozzuk meg, hogy melyik terméknek a legolcsóbb az egységára!</t>
  </si>
  <si>
    <t>Határozzuk meg, a 2. lenagyobb mennyiséggel rendelkező termék egységárát!</t>
  </si>
  <si>
    <t xml:space="preserve"> FKERES megoldás:</t>
  </si>
  <si>
    <t>Másolható képlet segítségével határozd meg az itt felsorolt termékek összesített árát!</t>
  </si>
  <si>
    <t>Fontosabb kereső függvények</t>
  </si>
  <si>
    <t>FKERES</t>
  </si>
  <si>
    <r>
      <t xml:space="preserve">Az FKERES függvény az </t>
    </r>
    <r>
      <rPr>
        <b/>
        <sz val="11"/>
        <color theme="1"/>
        <rFont val="Calibri"/>
        <family val="2"/>
        <charset val="238"/>
        <scheme val="minor"/>
      </rPr>
      <t>első paraméterként megadott értéket fogja keresni</t>
    </r>
    <r>
      <rPr>
        <sz val="11"/>
        <color theme="1"/>
        <rFont val="Calibri"/>
        <family val="2"/>
        <charset val="238"/>
        <scheme val="minor"/>
      </rPr>
      <t xml:space="preserve">, a második paraméterként megadott tartomány </t>
    </r>
    <r>
      <rPr>
        <b/>
        <u/>
        <sz val="11"/>
        <color theme="1"/>
        <rFont val="Calibri"/>
        <family val="2"/>
        <charset val="238"/>
        <scheme val="minor"/>
      </rPr>
      <t>1. oszlopában</t>
    </r>
    <r>
      <rPr>
        <sz val="11"/>
        <color theme="1"/>
        <rFont val="Calibri"/>
        <family val="2"/>
        <charset val="238"/>
        <scheme val="minor"/>
      </rPr>
      <t>.</t>
    </r>
  </si>
  <si>
    <t>A harmadik paraméter szabja meg, hogy az eredményt a megjelölt tartomány hanyadik oszlopából szeretnénk visszakapni. Olyan oszlopból nem lehet eredményt visszaadni, ami nem a tartomány része.</t>
  </si>
  <si>
    <t>A 4. paraméter szabja meg, hogy pontos egyezés alapján szeretnénk-e keresni, vagy sem. Előbbi esetén HAMIS-at, utóbbi esetén IGAZ-at kell megadni.</t>
  </si>
  <si>
    <t>Figyelem, az FKERES mindig a tartomány 1. oszlopában keres, ez a tulajdonsága nem változtatható meg!</t>
  </si>
  <si>
    <t>VKERES</t>
  </si>
  <si>
    <t>A harmadik paraméter szabja meg, hogy az eredményt a megjelölt tartomány hanyadik sorából szeretnénk visszakapni. Olyan sorból nem lehet eredményt visszaadni, ami nem a tartomány része.</t>
  </si>
  <si>
    <t>Figyelem, a VKERES mindig a tartomány 1. sorában keres, ez a tulajdonsága nem változtatható meg!</t>
  </si>
  <si>
    <r>
      <t xml:space="preserve">A VKERES függvény az </t>
    </r>
    <r>
      <rPr>
        <b/>
        <sz val="11"/>
        <color theme="1"/>
        <rFont val="Calibri"/>
        <family val="2"/>
        <charset val="238"/>
        <scheme val="minor"/>
      </rPr>
      <t>első paraméterként megadott értéket fogja keresni</t>
    </r>
    <r>
      <rPr>
        <sz val="11"/>
        <color theme="1"/>
        <rFont val="Calibri"/>
        <family val="2"/>
        <charset val="238"/>
        <scheme val="minor"/>
      </rPr>
      <t xml:space="preserve">, a második paraméterként megadott tartomány </t>
    </r>
    <r>
      <rPr>
        <b/>
        <u/>
        <sz val="11"/>
        <color theme="1"/>
        <rFont val="Calibri"/>
        <family val="2"/>
        <charset val="238"/>
        <scheme val="minor"/>
      </rPr>
      <t>1. sorában</t>
    </r>
    <r>
      <rPr>
        <sz val="11"/>
        <color theme="1"/>
        <rFont val="Calibri"/>
        <family val="2"/>
        <charset val="238"/>
        <scheme val="minor"/>
      </rPr>
      <t>.</t>
    </r>
  </si>
  <si>
    <t>HOL.VAN</t>
  </si>
  <si>
    <t>Az első paraméterként egy tartományt kell megadni. A tartománynak elég, ha a táblázat azon oszlopát adjuk meg, amiben az értéket keressük.</t>
  </si>
  <si>
    <t>Második paraméterként megadjuk a keresett értéket.</t>
  </si>
  <si>
    <t>INDEX</t>
  </si>
  <si>
    <t>Az első paraméter szabja meg azt a tartományt, amiből a keresett értékünket vissza szeretnénk adni. Ilyenkor nyugodtan az egész táblázat kijelölhető.</t>
  </si>
  <si>
    <t>A második paraméterként egy tartományon belüli sornak a sorszámát tudjuk megadni.</t>
  </si>
  <si>
    <t>A harmadik paraméterként egy tartományon belüli oszlopnak a sorszámát tudjuk megadni.</t>
  </si>
  <si>
    <r>
      <rPr>
        <b/>
        <sz val="11"/>
        <color theme="1"/>
        <rFont val="Calibri"/>
        <family val="2"/>
        <charset val="238"/>
        <scheme val="minor"/>
      </rPr>
      <t>Visszatérési érték:</t>
    </r>
    <r>
      <rPr>
        <sz val="11"/>
        <color theme="1"/>
        <rFont val="Calibri"/>
        <family val="2"/>
        <charset val="238"/>
        <scheme val="minor"/>
      </rPr>
      <t xml:space="preserve"> az első oszlopban megtalált érték sorának, és a 3. paraméterként megadott oszlopnak a metszetében található érték.</t>
    </r>
  </si>
  <si>
    <r>
      <rPr>
        <b/>
        <sz val="11"/>
        <color theme="1"/>
        <rFont val="Calibri"/>
        <family val="2"/>
        <charset val="238"/>
        <scheme val="minor"/>
      </rPr>
      <t>Visszatérési érték:</t>
    </r>
    <r>
      <rPr>
        <sz val="11"/>
        <color theme="1"/>
        <rFont val="Calibri"/>
        <family val="2"/>
        <charset val="238"/>
        <scheme val="minor"/>
      </rPr>
      <t xml:space="preserve"> az első sorban megtalált érték oszlopának, és a 3. paraméterként megadott sornak a metszetében található érték.</t>
    </r>
  </si>
  <si>
    <t xml:space="preserve">Az INDEX, HOL.VAN függvényeket gyakran egymásba ágyazva használjuk, hiszen így az FKERES limitációit megkerülve tudunk egy táblázatban keresni. </t>
  </si>
  <si>
    <t>A harmadik paraméter szabja meg, hogy pontos egyezést szeretnénk (0), vagy sem   (-1, 1).</t>
  </si>
  <si>
    <r>
      <rPr>
        <b/>
        <sz val="11"/>
        <color theme="1"/>
        <rFont val="Calibri"/>
        <family val="2"/>
        <charset val="238"/>
        <scheme val="minor"/>
      </rPr>
      <t>Visszatérési érték:</t>
    </r>
    <r>
      <rPr>
        <sz val="11"/>
        <color theme="1"/>
        <rFont val="Calibri"/>
        <family val="2"/>
        <charset val="238"/>
        <scheme val="minor"/>
      </rPr>
      <t xml:space="preserve"> egy szám, ami azt jelképezi, hogy a keresett érték a kijelölt tartomány hanyadik sorában található</t>
    </r>
    <r>
      <rPr>
        <i/>
        <sz val="11"/>
        <color theme="1"/>
        <rFont val="Calibri"/>
        <family val="2"/>
        <charset val="238"/>
        <scheme val="minor"/>
      </rPr>
      <t xml:space="preserve"> (a sorszámozás 1-től kezdődik)</t>
    </r>
    <r>
      <rPr>
        <sz val="11"/>
        <color theme="1"/>
        <rFont val="Calibri"/>
        <family val="2"/>
        <charset val="238"/>
        <scheme val="minor"/>
      </rPr>
      <t>.</t>
    </r>
  </si>
  <si>
    <t>Számszerű értékek</t>
  </si>
  <si>
    <t>Fontosabb szám és statisztikai függvények</t>
  </si>
  <si>
    <t>Fontosabb logikai és információs függvények</t>
  </si>
  <si>
    <t>Megszámolja hány cella nem üres.</t>
  </si>
  <si>
    <t>Megszámolja hány cella felel meg a megadott kritériumnak.</t>
  </si>
  <si>
    <t>Megszámolja hány üres cella van a tartományban.</t>
  </si>
  <si>
    <t>Összegzi a tartományban található számokat.</t>
  </si>
  <si>
    <t>Átlagolja a tartományban található számokat.</t>
  </si>
  <si>
    <t>Meghatározza a tartományban található legkisebb értéket.</t>
  </si>
  <si>
    <t>Meghatározza a tartományban található legnagyobb értéket.</t>
  </si>
  <si>
    <t>Meghatározza a tartományban található N-ik legkisebb értéket.</t>
  </si>
  <si>
    <t>Meghatározza a tartományban található N-ik legnagyobb értéket.</t>
  </si>
  <si>
    <t>MIN</t>
  </si>
  <si>
    <t>MAX</t>
  </si>
  <si>
    <t>Alkalmazható műveleti jelek: +, -, /, *, ^</t>
  </si>
  <si>
    <t>ABS / GYÖK / HATVÁNY</t>
  </si>
  <si>
    <t>KEREKÍTÉS / KEREK.FEL - LE</t>
  </si>
  <si>
    <t>SZORZATÖSSZEG</t>
  </si>
  <si>
    <t>Abszolútértéke, négyzetgyöke egy számnak, valamint tetszőleges kitevőre emelés.</t>
  </si>
  <si>
    <t>Kerekítés a matematika szabályainak megfelelően, vagy szándékosan le / fel.</t>
  </si>
  <si>
    <t>A tartományban szereplő számok összeszorzása.</t>
  </si>
  <si>
    <t>A megadott tartományok értékeit először sorirányba összeszorozza, majd oszlopirányba a szorzatokat összegzi.</t>
  </si>
  <si>
    <t>Amire fontos figyelni, hogy mindig a tartományra állítjuk a kritériumot, maximum az összegzés oszlopát állíthatjuk másra.</t>
  </si>
  <si>
    <r>
      <rPr>
        <b/>
        <sz val="11"/>
        <color theme="1"/>
        <rFont val="Calibri"/>
        <family val="2"/>
        <charset val="238"/>
        <scheme val="minor"/>
      </rPr>
      <t>3 paraméter esetén:</t>
    </r>
    <r>
      <rPr>
        <sz val="11"/>
        <color theme="1"/>
        <rFont val="Calibri"/>
        <family val="2"/>
        <charset val="238"/>
        <scheme val="minor"/>
      </rPr>
      <t xml:space="preserve"> a tartományra állítunk egy kritériumot (ez esetben a pl.: zoknikra szűrünk), majd az összeg tartományban a kritériumnak megfelelő cellákat összeadjuk.</t>
    </r>
  </si>
  <si>
    <t>Fontosabb dátum függvények</t>
  </si>
  <si>
    <t>MOST / MA</t>
  </si>
  <si>
    <t>DÁTUM / IDŐ</t>
  </si>
  <si>
    <t>ÉV / HÓNAP / NAP</t>
  </si>
  <si>
    <t>ÓRA / PERCEK / MPERC</t>
  </si>
  <si>
    <t>HÉT.NAPJA</t>
  </si>
  <si>
    <t>HÉT.SZÁMA</t>
  </si>
  <si>
    <r>
      <rPr>
        <b/>
        <sz val="11"/>
        <color theme="1"/>
        <rFont val="Calibri"/>
        <family val="2"/>
        <charset val="238"/>
        <scheme val="minor"/>
      </rPr>
      <t>Figyelem!</t>
    </r>
    <r>
      <rPr>
        <sz val="11"/>
        <color theme="1"/>
        <rFont val="Calibri"/>
        <family val="2"/>
        <charset val="238"/>
        <scheme val="minor"/>
      </rPr>
      <t xml:space="preserve"> A hét első napjának a vasárnap minősül!</t>
    </r>
  </si>
  <si>
    <r>
      <t xml:space="preserve">Mivel a dátumok számokként vannak kezelve, ezért az aritmetikai műveletek      </t>
    </r>
    <r>
      <rPr>
        <i/>
        <sz val="11"/>
        <color theme="1"/>
        <rFont val="Calibri"/>
        <family val="2"/>
        <charset val="238"/>
        <scheme val="minor"/>
      </rPr>
      <t>(+, -, *, /, ^)</t>
    </r>
    <r>
      <rPr>
        <sz val="11"/>
        <color theme="1"/>
        <rFont val="Calibri"/>
        <family val="2"/>
        <charset val="238"/>
        <scheme val="minor"/>
      </rPr>
      <t xml:space="preserve"> működnek rajtuk.</t>
    </r>
  </si>
  <si>
    <t>Fontosabb szöveges függvények</t>
  </si>
  <si>
    <t>BAL / JOBB</t>
  </si>
  <si>
    <t>KÖZÉP</t>
  </si>
  <si>
    <t>CSERE</t>
  </si>
  <si>
    <t>SZÖVEG.KERES</t>
  </si>
  <si>
    <t>Szöveges értékek</t>
  </si>
  <si>
    <t>almafa</t>
  </si>
  <si>
    <t>Megengedett műveletek: &amp;</t>
  </si>
  <si>
    <t>szőlőmag</t>
  </si>
  <si>
    <t>A szöveg bal / jobb oldalától nézve levág N darab karaktert.</t>
  </si>
  <si>
    <t>Egy megadott pozícióval kezdődő, N karakter hosszú szöveget másra cserél.</t>
  </si>
  <si>
    <t>A szövegből egy tetszőleges pozíciótól indulva kivág N karaktert. A karakterek számozása 1-től kezdődik.</t>
  </si>
  <si>
    <t>Megkeres egy szövegben egy szövegrészletet, és visszaadja annak a pozícióját. Számozás 1-től indul.</t>
  </si>
  <si>
    <t>Név</t>
  </si>
  <si>
    <t>Életkor</t>
  </si>
  <si>
    <t>Kovács Emília</t>
  </si>
  <si>
    <t>Horváth Gábor</t>
  </si>
  <si>
    <t>Nagy Andrea</t>
  </si>
  <si>
    <t>Szabó János</t>
  </si>
  <si>
    <t>Kiss Katalin</t>
  </si>
  <si>
    <t>Farkas Péter</t>
  </si>
  <si>
    <t>Tóth Éva</t>
  </si>
  <si>
    <t>Varga László</t>
  </si>
  <si>
    <t>Molnár Tamás</t>
  </si>
  <si>
    <t>Össz-érték:</t>
  </si>
  <si>
    <t>Jeleníts meg egy olyan terméket, amiből nincsen raktáron egy darab se!</t>
  </si>
  <si>
    <t>0 kg van belőle:</t>
  </si>
  <si>
    <t>Hány kg termék van raktáron a 200 Ft / kg-nál drágább árú gyümölcsökből?</t>
  </si>
  <si>
    <t>Kg:</t>
  </si>
  <si>
    <t>Órabér</t>
  </si>
  <si>
    <t>Munkaóra</t>
  </si>
  <si>
    <t>&lt;25</t>
  </si>
  <si>
    <t>&gt;=30</t>
  </si>
  <si>
    <t>AB.ÁTLAG</t>
  </si>
  <si>
    <t>AB.SZUM</t>
  </si>
  <si>
    <t>Hetibér</t>
  </si>
  <si>
    <t>AB.MIN</t>
  </si>
  <si>
    <t>AB.MAX</t>
  </si>
  <si>
    <t>AB.DARAB</t>
  </si>
  <si>
    <t>AB.DARAB2</t>
  </si>
  <si>
    <t>AB.MEZŐ</t>
  </si>
  <si>
    <t>Ha üres egy cella a kritériumtartományban, akkor a helyére bármilyen érték kerülhet.</t>
  </si>
  <si>
    <t>Egyenlőség vizsgálata esetén nem kell kiírni az "="-t a megadott érték elé.</t>
  </si>
  <si>
    <t>Használható műveleti jelek: &gt;, &lt;, &gt;=, &lt;=, &lt;&gt;</t>
  </si>
  <si>
    <t>Szabályok</t>
  </si>
  <si>
    <t>Nem szükséges a kritériumtartománynak tartalmaznia minden adatbázis mezőt.</t>
  </si>
  <si>
    <t>Papp Zsuzsa</t>
  </si>
  <si>
    <r>
      <t xml:space="preserve">Azoknak a </t>
    </r>
    <r>
      <rPr>
        <b/>
        <sz val="11"/>
        <color theme="1"/>
        <rFont val="Calibri"/>
        <family val="2"/>
        <charset val="238"/>
        <scheme val="minor"/>
      </rPr>
      <t>nem üres celláknak a száma</t>
    </r>
    <r>
      <rPr>
        <sz val="11"/>
        <color theme="1"/>
        <rFont val="Calibri"/>
        <family val="2"/>
        <charset val="238"/>
        <scheme val="minor"/>
      </rPr>
      <t xml:space="preserve"> (jelenleg hetibér), ahol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</si>
  <si>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Azoknak a </t>
    </r>
    <r>
      <rPr>
        <b/>
        <sz val="11"/>
        <color theme="1"/>
        <rFont val="Calibri"/>
        <family val="2"/>
        <charset val="238"/>
        <scheme val="minor"/>
      </rPr>
      <t>nem üres celláknak a száma</t>
    </r>
    <r>
      <rPr>
        <sz val="11"/>
        <color theme="1"/>
        <rFont val="Calibri"/>
        <family val="2"/>
        <charset val="238"/>
        <scheme val="minor"/>
      </rPr>
      <t xml:space="preserve"> (jelenleg hetibér), ahol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</si>
  <si>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Azoknak a </t>
    </r>
    <r>
      <rPr>
        <b/>
        <sz val="11"/>
        <color theme="1"/>
        <rFont val="Calibri"/>
        <family val="2"/>
        <charset val="238"/>
        <scheme val="minor"/>
      </rPr>
      <t>számot tartalmazó celláknak a száma</t>
    </r>
    <r>
      <rPr>
        <sz val="11"/>
        <color theme="1"/>
        <rFont val="Calibri"/>
        <family val="2"/>
        <charset val="238"/>
        <scheme val="minor"/>
      </rPr>
      <t xml:space="preserve"> (jelenleg hetibér), ahol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</si>
  <si>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Azoknak a </t>
    </r>
    <r>
      <rPr>
        <b/>
        <sz val="11"/>
        <color theme="1"/>
        <rFont val="Calibri"/>
        <family val="2"/>
        <charset val="238"/>
        <scheme val="minor"/>
      </rPr>
      <t>számot tartalmazó celláknak a száma</t>
    </r>
    <r>
      <rPr>
        <sz val="11"/>
        <color theme="1"/>
        <rFont val="Calibri"/>
        <family val="2"/>
        <charset val="238"/>
        <scheme val="minor"/>
      </rPr>
      <t xml:space="preserve"> (jelenleg hetibér), ahol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</si>
  <si>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Azon emberek közül a </t>
    </r>
    <r>
      <rPr>
        <b/>
        <sz val="11"/>
        <color theme="1"/>
        <rFont val="Calibri"/>
        <family val="2"/>
        <charset val="238"/>
        <scheme val="minor"/>
      </rPr>
      <t>legnagyobb</t>
    </r>
    <r>
      <rPr>
        <sz val="11"/>
        <color theme="1"/>
        <rFont val="Calibri"/>
        <family val="2"/>
        <charset val="238"/>
        <scheme val="minor"/>
      </rPr>
      <t xml:space="preserve"> hetibér, akik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</si>
  <si>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Azon emberek közül a </t>
    </r>
    <r>
      <rPr>
        <b/>
        <sz val="11"/>
        <color theme="1"/>
        <rFont val="Calibri"/>
        <family val="2"/>
        <charset val="238"/>
        <scheme val="minor"/>
      </rPr>
      <t>legnagyobb</t>
    </r>
    <r>
      <rPr>
        <sz val="11"/>
        <color theme="1"/>
        <rFont val="Calibri"/>
        <family val="2"/>
        <charset val="238"/>
        <scheme val="minor"/>
      </rPr>
      <t xml:space="preserve"> hetibér, akik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</si>
  <si>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Azon emberek közül a </t>
    </r>
    <r>
      <rPr>
        <b/>
        <sz val="11"/>
        <color theme="1"/>
        <rFont val="Calibri"/>
        <family val="2"/>
        <charset val="238"/>
        <scheme val="minor"/>
      </rPr>
      <t>legkisebb</t>
    </r>
    <r>
      <rPr>
        <sz val="11"/>
        <color theme="1"/>
        <rFont val="Calibri"/>
        <family val="2"/>
        <charset val="238"/>
        <scheme val="minor"/>
      </rPr>
      <t xml:space="preserve"> hetibér, akik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</si>
  <si>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Azon emberek közül a </t>
    </r>
    <r>
      <rPr>
        <b/>
        <sz val="11"/>
        <color theme="1"/>
        <rFont val="Calibri"/>
        <family val="2"/>
        <charset val="238"/>
        <scheme val="minor"/>
      </rPr>
      <t>legkisebb</t>
    </r>
    <r>
      <rPr>
        <sz val="11"/>
        <color theme="1"/>
        <rFont val="Calibri"/>
        <family val="2"/>
        <charset val="238"/>
        <scheme val="minor"/>
      </rPr>
      <t xml:space="preserve"> hetibér, akik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</si>
  <si>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Azon emberek </t>
    </r>
    <r>
      <rPr>
        <b/>
        <sz val="11"/>
        <color theme="1"/>
        <rFont val="Calibri"/>
        <family val="2"/>
        <charset val="238"/>
        <scheme val="minor"/>
      </rPr>
      <t>átlagos</t>
    </r>
    <r>
      <rPr>
        <sz val="11"/>
        <color theme="1"/>
        <rFont val="Calibri"/>
        <family val="2"/>
        <charset val="238"/>
        <scheme val="minor"/>
      </rPr>
      <t xml:space="preserve"> hetibére, akik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</si>
  <si>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Azon emberek </t>
    </r>
    <r>
      <rPr>
        <b/>
        <sz val="11"/>
        <color theme="1"/>
        <rFont val="Calibri"/>
        <family val="2"/>
        <charset val="238"/>
        <scheme val="minor"/>
      </rPr>
      <t>átlagos</t>
    </r>
    <r>
      <rPr>
        <sz val="11"/>
        <color theme="1"/>
        <rFont val="Calibri"/>
        <family val="2"/>
        <charset val="238"/>
        <scheme val="minor"/>
      </rPr>
      <t xml:space="preserve"> hetibére, akik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</si>
  <si>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t xml:space="preserve">Azon emberek </t>
    </r>
    <r>
      <rPr>
        <b/>
        <sz val="11"/>
        <color theme="1"/>
        <rFont val="Calibri"/>
        <family val="2"/>
        <charset val="238"/>
        <scheme val="minor"/>
      </rPr>
      <t>összesített</t>
    </r>
    <r>
      <rPr>
        <sz val="11"/>
        <color theme="1"/>
        <rFont val="Calibri"/>
        <family val="2"/>
        <charset val="238"/>
        <scheme val="minor"/>
      </rPr>
      <t xml:space="preserve"> hetibére, akik heti 40 munkaórában dolgoztak </t>
    </r>
    <r>
      <rPr>
        <b/>
        <sz val="11"/>
        <color theme="1"/>
        <rFont val="Calibri"/>
        <family val="2"/>
        <charset val="238"/>
        <scheme val="minor"/>
      </rPr>
      <t>ÉS</t>
    </r>
    <r>
      <rPr>
        <sz val="11"/>
        <color theme="1"/>
        <rFont val="Calibri"/>
        <family val="2"/>
        <charset val="238"/>
        <scheme val="minor"/>
      </rPr>
      <t xml:space="preserve"> 25 évnél fiatalabbak, </t>
    </r>
    <r>
      <rPr>
        <b/>
        <sz val="11"/>
        <color theme="1"/>
        <rFont val="Calibri"/>
        <family val="2"/>
        <charset val="238"/>
        <scheme val="minor"/>
      </rPr>
      <t>VAGY</t>
    </r>
    <r>
      <rPr>
        <sz val="11"/>
        <color theme="1"/>
        <rFont val="Calibri"/>
        <family val="2"/>
        <charset val="238"/>
        <scheme val="minor"/>
      </rPr>
      <t xml:space="preserve"> a 30 életévüket betöltötték.</t>
    </r>
  </si>
  <si>
    <r>
      <t xml:space="preserve">Azon emberek </t>
    </r>
    <r>
      <rPr>
        <b/>
        <sz val="11"/>
        <color theme="1"/>
        <rFont val="Calibri"/>
        <family val="2"/>
        <charset val="238"/>
        <scheme val="minor"/>
      </rPr>
      <t>összesített</t>
    </r>
    <r>
      <rPr>
        <sz val="11"/>
        <color theme="1"/>
        <rFont val="Calibri"/>
        <family val="2"/>
        <charset val="238"/>
        <scheme val="minor"/>
      </rPr>
      <t xml:space="preserve"> hetibére, akik heti 40 munkaórában dolgoztak </t>
    </r>
    <r>
      <rPr>
        <b/>
        <sz val="11"/>
        <color theme="1"/>
        <rFont val="Calibri"/>
        <family val="2"/>
        <charset val="238"/>
        <scheme val="minor"/>
      </rPr>
      <t>ÉS</t>
    </r>
    <r>
      <rPr>
        <sz val="11"/>
        <color theme="1"/>
        <rFont val="Calibri"/>
        <family val="2"/>
        <charset val="238"/>
        <scheme val="minor"/>
      </rPr>
      <t xml:space="preserve"> 25 évnél fiatalabbak.</t>
    </r>
  </si>
  <si>
    <r>
      <rPr>
        <b/>
        <sz val="11"/>
        <color theme="1"/>
        <rFont val="Calibri"/>
        <family val="2"/>
        <charset val="238"/>
        <scheme val="minor"/>
      </rPr>
      <t>Visszaadja</t>
    </r>
    <r>
      <rPr>
        <sz val="11"/>
        <color theme="1"/>
        <rFont val="Calibri"/>
        <family val="2"/>
        <charset val="238"/>
        <scheme val="minor"/>
      </rPr>
      <t xml:space="preserve"> a kritériumnak megfelelő (jelenleg Varga László), megadott mezőben található (jelenleg hetibér) </t>
    </r>
    <r>
      <rPr>
        <b/>
        <sz val="11"/>
        <color theme="1"/>
        <rFont val="Calibri"/>
        <family val="2"/>
        <charset val="238"/>
        <scheme val="minor"/>
      </rPr>
      <t>cellának az értékét</t>
    </r>
    <r>
      <rPr>
        <sz val="11"/>
        <color theme="1"/>
        <rFont val="Calibri"/>
        <family val="2"/>
        <charset val="238"/>
        <scheme val="minor"/>
      </rPr>
      <t xml:space="preserve">. </t>
    </r>
    <r>
      <rPr>
        <b/>
        <sz val="11"/>
        <color rgb="FFFF0000"/>
        <rFont val="Calibri"/>
        <family val="2"/>
        <charset val="238"/>
        <scheme val="minor"/>
      </rPr>
      <t>#SZÁM hibát ad vissza, ha a kritériumnak több érték is megfelel.</t>
    </r>
    <r>
      <rPr>
        <b/>
        <sz val="11"/>
        <color theme="1"/>
        <rFont val="Calibri"/>
        <family val="2"/>
        <charset val="238"/>
        <scheme val="minor"/>
      </rPr>
      <t xml:space="preserve"> </t>
    </r>
  </si>
  <si>
    <r>
      <t>Oszlopirányba '</t>
    </r>
    <r>
      <rPr>
        <b/>
        <sz val="11"/>
        <color theme="1"/>
        <rFont val="Calibri"/>
        <family val="2"/>
        <charset val="238"/>
        <scheme val="minor"/>
      </rPr>
      <t>ÉS</t>
    </r>
    <r>
      <rPr>
        <sz val="11"/>
        <color theme="1"/>
        <rFont val="Calibri"/>
        <family val="2"/>
        <charset val="238"/>
        <scheme val="minor"/>
      </rPr>
      <t>', sorirányba '</t>
    </r>
    <r>
      <rPr>
        <b/>
        <sz val="11"/>
        <color theme="1"/>
        <rFont val="Calibri"/>
        <family val="2"/>
        <charset val="238"/>
        <scheme val="minor"/>
      </rPr>
      <t>VAGY</t>
    </r>
    <r>
      <rPr>
        <sz val="11"/>
        <color theme="1"/>
        <rFont val="Calibri"/>
        <family val="2"/>
        <charset val="238"/>
        <scheme val="minor"/>
      </rPr>
      <t>' kapcsolat a kritériumok (feltételek) között.</t>
    </r>
  </si>
  <si>
    <t>Adatbázis</t>
  </si>
  <si>
    <t>Kritériumtartományok</t>
  </si>
  <si>
    <t>Mennyi volt a hetibére Horváth Gábornak?</t>
  </si>
  <si>
    <t>Hetibér:</t>
  </si>
  <si>
    <t>Darab:</t>
  </si>
  <si>
    <t>Hányan rendelkeznek 3500 Ft-os órabérnél nagyobb keresettel?</t>
  </si>
  <si>
    <t>Hányan rendelkeznek az átlagos órabérnél nagyobb keresettel?</t>
  </si>
  <si>
    <t>A feladatok megoldásához bármilyen függvényt használhatsz. A függvények egymásba ágyazása engedélyezett! Figyelj arra, hogy bizonyos helyeken a kritériumok kiszámításához is függvényeket kell használnod, de olyan is lehet, hogy a kritériumtáblát egyáltalán nem is kell igénybe venned.</t>
  </si>
  <si>
    <t>Legtöbb:</t>
  </si>
  <si>
    <t>Melyik személy rendelkezik a legnagyobb hetibérrel? Oldd meg a feladatot legalább 2 eltérő módon!</t>
  </si>
  <si>
    <t>Átlag:</t>
  </si>
  <si>
    <t>Mennyi az átlagos havi keresete a 26 év alatti 40 órát dolgozó embereknek, hogyha 4 héttel számolunk egy hónapban?</t>
  </si>
  <si>
    <t>Egy mezőnév többször is szerepelhet a kritériumtartományban, így lehet ÉS feltétellel kritériumot állítani ugyanarra a mezőre.</t>
  </si>
  <si>
    <r>
      <t xml:space="preserve">A táblázatban / adatbázisban a </t>
    </r>
    <r>
      <rPr>
        <b/>
        <sz val="11"/>
        <color theme="1"/>
        <rFont val="Calibri"/>
        <family val="2"/>
        <charset val="238"/>
        <scheme val="minor"/>
      </rPr>
      <t>"mező"</t>
    </r>
    <r>
      <rPr>
        <sz val="11"/>
        <color theme="1"/>
        <rFont val="Calibri"/>
        <family val="2"/>
        <charset val="238"/>
        <scheme val="minor"/>
      </rPr>
      <t xml:space="preserve"> elnevezés </t>
    </r>
    <r>
      <rPr>
        <b/>
        <sz val="11"/>
        <color theme="1"/>
        <rFont val="Calibri"/>
        <family val="2"/>
        <charset val="238"/>
        <scheme val="minor"/>
      </rPr>
      <t>egyenlő</t>
    </r>
    <r>
      <rPr>
        <sz val="11"/>
        <color theme="1"/>
        <rFont val="Calibri"/>
        <family val="2"/>
        <charset val="238"/>
        <scheme val="minor"/>
      </rPr>
      <t xml:space="preserve"> azzal, hogy </t>
    </r>
    <r>
      <rPr>
        <b/>
        <sz val="11"/>
        <color theme="1"/>
        <rFont val="Calibri"/>
        <family val="2"/>
        <charset val="238"/>
        <scheme val="minor"/>
      </rPr>
      <t>"oszlop"</t>
    </r>
    <r>
      <rPr>
        <sz val="11"/>
        <color theme="1"/>
        <rFont val="Calibri"/>
        <family val="2"/>
        <charset val="238"/>
        <scheme val="minor"/>
      </rPr>
      <t>.</t>
    </r>
  </si>
  <si>
    <t>Különbség:</t>
  </si>
  <si>
    <t>Mennyi a különbség a 20-29 és 30-39 évesek átlagos órabére között? Ügyelj arra, hogy az érték mindenképp pozitív szám legyen!</t>
  </si>
  <si>
    <t>7. feladat</t>
  </si>
  <si>
    <t>Mennyi az átlagos hetibére a 20, 25, 30 éves személyeknek? Az eredménybe csak azok a személyek számítsanak bele, akik havonta legalább 120 órát dolgoznak (ha feltételezzük egy hónapban 4 teljes munkahét van). Az eredményt kerekítsd 1 tizedesjegyre.</t>
  </si>
  <si>
    <t>8. feladat</t>
  </si>
  <si>
    <t>Havi kereset:</t>
  </si>
  <si>
    <t>40 óra esetén:</t>
  </si>
  <si>
    <t>Farkas Péter és Papp Zsuzsa egy háztartásban élnek. Mennyi a havi keresetük, ha egy hónapban 4 munkahéttel számolunk? Mennyi lenne a keresetük, ha mindketten heti 40 órában dolgoznának? Ez mekkora bevétel-különbséget jelent?</t>
  </si>
  <si>
    <t>9. feladat</t>
  </si>
  <si>
    <t>Hány személynek van az órabére az átlag órabér és a medián órabér között? Ha csak egy személynek, akkor írd ki a nevét, hogyha többnek, akkor jelenítsd meg a darabszámot!</t>
  </si>
  <si>
    <t>10. feladat</t>
  </si>
  <si>
    <t>Átlagosan hány órát dolgoznak naponta a havi 500 000 Ft felett kereső személyek, hogyha 4 hetes hónapokkal számolunk? Figyelj arra, hogy a hétvégék nem számítanak munkanapnak.</t>
  </si>
  <si>
    <t>Meghatározza a mostani dátum/időt, vagy csak dátumot.</t>
  </si>
  <si>
    <t>3 számból egy dátum-, vagy időérték létrehozása.</t>
  </si>
  <si>
    <t>Egy dátumértékből az év / hónap / nap leválasztása.</t>
  </si>
  <si>
    <t>Egy időértékből az óra / perc / másodperc leválasztása.</t>
  </si>
  <si>
    <t>Meghatározza egy dátum alapján, hogy a nap a hét hagyadik napja volt.</t>
  </si>
  <si>
    <t>Meghatározza egy dátum alapján, hogy az évben hanyadik hét volt.</t>
  </si>
  <si>
    <t>A feladatok megoldásához bármilyen függvényt használhatsz. A függvények egymásba ágyazása engedélyezett! A feladatok megoldásához az alábbi táblázatot használd:</t>
  </si>
  <si>
    <t>Kovács János</t>
  </si>
  <si>
    <t>sapka</t>
  </si>
  <si>
    <t>Szabó István</t>
  </si>
  <si>
    <t>Szilárd Gergely</t>
  </si>
  <si>
    <t>Vásárlás dátuma</t>
  </si>
  <si>
    <t>Vissza</t>
  </si>
  <si>
    <t>ü</t>
  </si>
  <si>
    <t>Regisztráció dátuma</t>
  </si>
  <si>
    <r>
      <t>A táblázatban egy boltban történt vásárlások adatait láthatod. A termék visszacserélésre került, ha a sorban egy "</t>
    </r>
    <r>
      <rPr>
        <sz val="11"/>
        <color theme="1"/>
        <rFont val="Wingdings"/>
        <charset val="2"/>
      </rPr>
      <t>ü</t>
    </r>
    <r>
      <rPr>
        <sz val="11"/>
        <color theme="1"/>
        <rFont val="Calibri"/>
        <family val="2"/>
        <charset val="238"/>
        <scheme val="minor"/>
      </rPr>
      <t xml:space="preserve">" szimbólum szerepel. A vásárlók regisztrálhatnak a vásárlás előtt egy törzskártyát, ezt a dátumot tárolja a "Regisztráció dátuma" oszlop. Ha a vásárlónak nincsen - vagy a vásárláskor nem használta -  törzskártyáját, a cella értéke üres. Amennyiben a vásárló a vásárlása során használta a törzskártyát, a kártya regisztrációjának dátuma jelenik meg. </t>
    </r>
  </si>
  <si>
    <t>Hány vásárlás történt törzskártyával?</t>
  </si>
  <si>
    <t>%:</t>
  </si>
  <si>
    <t>Hány terméket nem vittek vissza a vásárlás után? Ez hány százaláka az összes vásárlásnak? Az eredményt kerekítsd 2 tizedesjegyre.</t>
  </si>
  <si>
    <t>Átlagosan milyen értékben vásároltak termékeket a boltban?</t>
  </si>
  <si>
    <t>Itt látsz egy táblázatot a boltban értékesített termékekről. Egy másolható képlet segítségével határozd meg, melyik termékből hány darabot értékesítettek.</t>
  </si>
  <si>
    <t>Hány vásárlás volt, aminek az értéke meghaladta a 20 000 Ft-ot?</t>
  </si>
  <si>
    <t>Mennyi volt azon vásálrások összesített értéke, amik meghaladták a 20 000 Ft-ot?</t>
  </si>
  <si>
    <t xml:space="preserve">Eredmény: </t>
  </si>
  <si>
    <t>Milyen értékben vittek vissza ruhákat a boltba?</t>
  </si>
  <si>
    <t>Milyen értékben történtek vásárlások törzskártya használata nélkül? Hogyha ez több volt akkor az eredmény alatti cellában jelenítsd meg a "Több, mint törzskártyával", hogyha kevesebb, akkor a "Kevesebb, mint törzskártyával" szöveget.</t>
  </si>
  <si>
    <t>Több?</t>
  </si>
  <si>
    <t>Itt látod a boltban vásároló személyeket. Határozd meg egy másolható képlet segítségével ki, milyen össz-értékben vásárolt a boltban!</t>
  </si>
  <si>
    <t>Legnagyobb:</t>
  </si>
  <si>
    <t>Legkisebb:</t>
  </si>
  <si>
    <t>Mekkora volt a legnagyobb és a legkisebb értékű vásárlás a boltban? Mikor történt a második vásárlás az évben?</t>
  </si>
  <si>
    <t>2. vásárlás:</t>
  </si>
  <si>
    <t>A mai dátumhoz képes hány nap telt el az első vásárlás óta? Figyelj arra, hogy csak az egész eltelt napok számát jelenítsd meg!</t>
  </si>
  <si>
    <t>1. hét:</t>
  </si>
  <si>
    <t>2. hét:</t>
  </si>
  <si>
    <t>Az év első, vagy a második hetében történt nagyobb értékben eladás? Jelenítsd meg az "Első héten" szöveget, ha az 1. héten, a "Második héten" szöveget, ha a 2. héten! A megoldáshoz nyugodtan egészítsd ki a táblázatot egy segédoszloppal.</t>
  </si>
  <si>
    <t>11. feladat</t>
  </si>
  <si>
    <t>12. feladat</t>
  </si>
  <si>
    <t>HOSSZ</t>
  </si>
  <si>
    <t>Meghatározza a szövegben található karakterek számát.</t>
  </si>
  <si>
    <t>A feladatok megoldásához bármilyen függvényt használhatsz. A függvények egymásba ágyazása engedélyezett! A feladatok során használd a "2. Szám - Statisztikai" munkalap feladatainál található táblázatot.</t>
  </si>
  <si>
    <t>A vásárlók nevei néhol túl hosszúak, így a név első 5 karaktere után egy "..." karakterláncot szeretnénk megjeleníteni, a további karaktereket elrejtve. Végezd el a műveletet a táblázat minden vásárlójára!</t>
  </si>
  <si>
    <t>Rövid nevek:</t>
  </si>
  <si>
    <t>A táblázatban szereplő neveket szét szeretnénk bontani két külön oszlopra: vezeték-, és keresztnévre. Végezd el a műveletet egy másolható képlet segítségével!</t>
  </si>
  <si>
    <t>Vezetéknév</t>
  </si>
  <si>
    <t>Keresztnév</t>
  </si>
  <si>
    <t>Hány karakterből áll a leghosszabb keresztnév? A feladathoz nyugodtan használd fel az előző feladatban elkészített táblázatot.</t>
  </si>
  <si>
    <t>Műveleti jelek: =, &gt;, &lt;, &gt;=, &lt;=, &lt;&gt;</t>
  </si>
  <si>
    <r>
      <t xml:space="preserve">Készítsd el a saját "kizáró vagy" logikai függvényed! A kizáró vagy csak akkor ad vissza IGAZ-at, ha két bemenő adatból kizárólag az egyik IGAZ. </t>
    </r>
    <r>
      <rPr>
        <i/>
        <sz val="11"/>
        <color theme="1"/>
        <rFont val="Calibri"/>
        <family val="2"/>
        <charset val="238"/>
        <scheme val="minor"/>
      </rPr>
      <t>Figyelem, nem könnyü feladat!</t>
    </r>
  </si>
  <si>
    <t>ÉS</t>
  </si>
  <si>
    <t>VAGY</t>
  </si>
  <si>
    <t>NEM</t>
  </si>
  <si>
    <t>ÜRES</t>
  </si>
  <si>
    <t>LOGIKAI</t>
  </si>
  <si>
    <t>SZÁM</t>
  </si>
  <si>
    <t>SZÖVEG.E</t>
  </si>
  <si>
    <t>PÁROS / PÁRATLAN</t>
  </si>
  <si>
    <t>HA</t>
  </si>
  <si>
    <t>IGAZ-at ad vissza, ha az összes bemenő paramétere IGAZ.</t>
  </si>
  <si>
    <t>IGAZ-at ad vissza, ha a cellában logikai érték szerepel.</t>
  </si>
  <si>
    <t>IGAZ-at ad vissza, ha a cellában szám, vagy formázott szám szerepel.</t>
  </si>
  <si>
    <t>IGAZ-at ad vissza, ha egy cellában szöveg található.</t>
  </si>
  <si>
    <t>IGAZ-at ad vissza, ha a cellában páros / páratlan érték található.</t>
  </si>
  <si>
    <t>Megszámolja hány cella tartalmaz szám típusú értéket.</t>
  </si>
  <si>
    <r>
      <rPr>
        <b/>
        <sz val="11"/>
        <color theme="1"/>
        <rFont val="Calibri"/>
        <family val="2"/>
        <charset val="238"/>
        <scheme val="minor"/>
      </rPr>
      <t>2 paraméter esetén:</t>
    </r>
    <r>
      <rPr>
        <sz val="11"/>
        <color theme="1"/>
        <rFont val="Calibri"/>
        <family val="2"/>
        <charset val="238"/>
        <scheme val="minor"/>
      </rPr>
      <t xml:space="preserve"> a tartományban levő kritériumnak megfelelő cellákat összeadja. Ha így használjuk csak a tartományból választhatjuk ki a kritériumot (pl.: 1000 Ft-os termékek összegzése).</t>
    </r>
  </si>
  <si>
    <r>
      <t xml:space="preserve">Hogyha több kritériumnak kell megfelelnie a tartománynak: </t>
    </r>
    <r>
      <rPr>
        <b/>
        <i/>
        <sz val="11"/>
        <color theme="1"/>
        <rFont val="Calibri"/>
        <family val="2"/>
        <charset val="238"/>
        <scheme val="minor"/>
      </rPr>
      <t>SZUMHATÖBB, ÁTLAGHATÖBB</t>
    </r>
    <r>
      <rPr>
        <i/>
        <sz val="11"/>
        <color theme="1"/>
        <rFont val="Calibri"/>
        <family val="2"/>
        <charset val="238"/>
        <scheme val="minor"/>
      </rPr>
      <t>, …</t>
    </r>
  </si>
  <si>
    <r>
      <t>Hasonló elven működő statisztikai függvények:</t>
    </r>
    <r>
      <rPr>
        <b/>
        <i/>
        <sz val="11"/>
        <color theme="1"/>
        <rFont val="Calibri"/>
        <family val="2"/>
        <charset val="238"/>
        <scheme val="minor"/>
      </rPr>
      <t xml:space="preserve"> ÁTLAGHA, MAXHA, MINHA</t>
    </r>
    <r>
      <rPr>
        <i/>
        <sz val="11"/>
        <color theme="1"/>
        <rFont val="Calibri"/>
        <family val="2"/>
        <charset val="238"/>
        <scheme val="minor"/>
      </rPr>
      <t>.</t>
    </r>
  </si>
  <si>
    <r>
      <rPr>
        <b/>
        <sz val="11"/>
        <color theme="1"/>
        <rFont val="Calibri"/>
        <family val="2"/>
        <charset val="238"/>
        <scheme val="minor"/>
      </rPr>
      <t>Visszatérési érték:</t>
    </r>
    <r>
      <rPr>
        <sz val="11"/>
        <color theme="1"/>
        <rFont val="Calibri"/>
        <family val="2"/>
        <charset val="238"/>
        <scheme val="minor"/>
      </rPr>
      <t xml:space="preserve"> a tartományon belül, a megadott sor és oszlop keresztmetszetében található érték.</t>
    </r>
  </si>
  <si>
    <t>Hét száma</t>
  </si>
  <si>
    <t>Számítsd ki a raktárkészlet teljes értékét!</t>
  </si>
  <si>
    <t>&gt;3500</t>
  </si>
  <si>
    <t>Átlagos órabér</t>
  </si>
  <si>
    <t>&gt;26</t>
  </si>
  <si>
    <t>&gt;=20</t>
  </si>
  <si>
    <t>&lt;=29</t>
  </si>
  <si>
    <t>&lt;=39</t>
  </si>
  <si>
    <t>Hány igaz</t>
  </si>
  <si>
    <t>&gt;125000</t>
  </si>
  <si>
    <t>Összes ledolgozott óra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</si>
</sst>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 &quot;Ft&quot;_-;\-* #,##0.00\ &quot;Ft&quot;_-;_-* &quot;-&quot;??\ &quot;Ft&quot;_-;_-@_-"/>
    <numFmt numFmtId="165" formatCode="#,##0\ &quot;Ft&quot;"/>
    <numFmt numFmtId="166" formatCode="[$-F400]h:mm:ss\ AM/PM"/>
    <numFmt numFmtId="167" formatCode="#,##0&quot; kg&quot;"/>
    <numFmt numFmtId="168" formatCode="0.0%"/>
    <numFmt numFmtId="169" formatCode="_-* #,##0\ &quot;Ft&quot;_-;\-* #,##0\ &quot;Ft&quot;_-;_-* &quot;-&quot;??\ &quot;Ft&quot;_-;_-@_-"/>
    <numFmt numFmtId="170" formatCode="#,##0&quot; ó / hét&quot;"/>
    <numFmt numFmtId="171" formatCode="_-* #,##0.0\ &quot;Ft&quot;_-;\-* #,##0.0\ &quot;Ft&quot;_-;_-* &quot;-&quot;??\ &quot;Ft&quot;_-;_-@_-"/>
  </numFmts>
  <fonts count="16" x14ac:knownFonts="1">
    <font>
      <sz val="11"/>
      <color theme="1"/>
      <name val="Calibri"/>
      <family val="2"/>
      <charset val="238"/>
      <scheme val="minor"/>
    </font>
    <font>
      <b/>
      <sz val="11"/>
      <color theme="1"/>
      <name val="Calibri"/>
      <family val="2"/>
      <charset val="238"/>
      <scheme val="minor"/>
    </font>
    <font>
      <sz val="11"/>
      <color theme="1"/>
      <name val="Calibri"/>
      <family val="2"/>
      <charset val="238"/>
      <scheme val="minor"/>
    </font>
    <font>
      <sz val="11"/>
      <color theme="0"/>
      <name val="Calibri"/>
      <family val="2"/>
      <charset val="238"/>
      <scheme val="minor"/>
    </font>
    <font>
      <sz val="11"/>
      <name val="Calibri"/>
      <family val="2"/>
      <charset val="238"/>
      <scheme val="minor"/>
    </font>
    <font>
      <i/>
      <sz val="11"/>
      <color theme="1"/>
      <name val="Calibri"/>
      <family val="2"/>
      <charset val="238"/>
      <scheme val="minor"/>
    </font>
    <font>
      <b/>
      <sz val="12"/>
      <color theme="0"/>
      <name val="Calibri"/>
      <family val="2"/>
      <charset val="238"/>
      <scheme val="minor"/>
    </font>
    <font>
      <b/>
      <u/>
      <sz val="11"/>
      <color theme="1"/>
      <name val="Calibri"/>
      <family val="2"/>
      <charset val="238"/>
      <scheme val="minor"/>
    </font>
    <font>
      <b/>
      <i/>
      <sz val="11"/>
      <color theme="1"/>
      <name val="Calibri"/>
      <family val="2"/>
      <charset val="238"/>
      <scheme val="minor"/>
    </font>
    <font>
      <b/>
      <sz val="11"/>
      <color theme="0"/>
      <name val="Calibri"/>
      <family val="2"/>
      <charset val="238"/>
      <scheme val="minor"/>
    </font>
    <font>
      <b/>
      <sz val="11"/>
      <color rgb="FFFF0000"/>
      <name val="Calibri"/>
      <family val="2"/>
      <charset val="238"/>
      <scheme val="minor"/>
    </font>
    <font>
      <sz val="11"/>
      <color rgb="FF9C5700"/>
      <name val="Calibri"/>
      <family val="2"/>
      <charset val="238"/>
      <scheme val="minor"/>
    </font>
    <font>
      <sz val="11"/>
      <color theme="1"/>
      <name val="Wingdings"/>
      <charset val="2"/>
    </font>
    <font>
      <b/>
      <sz val="11"/>
      <color rgb="FF9C5700"/>
      <name val="Calibri"/>
      <family val="2"/>
      <charset val="238"/>
      <scheme val="minor"/>
    </font>
    <font>
      <b/>
      <sz val="11"/>
      <color theme="1"/>
      <name val="Calibri"/>
      <family val="2"/>
      <scheme val="minor"/>
    </font>
    <font>
      <sz val="8"/>
      <name val="Calibri"/>
      <family val="2"/>
      <charset val="238"/>
      <scheme val="minor"/>
    </font>
  </fonts>
  <fills count="11">
    <fill>
      <patternFill patternType="none"/>
    </fill>
    <fill>
      <patternFill patternType="gray125"/>
    </fill>
    <fill>
      <patternFill patternType="solid">
        <fgColor theme="6" tint="0.79998168889431442"/>
        <bgColor indexed="65"/>
      </patternFill>
    </fill>
    <fill>
      <patternFill patternType="solid">
        <fgColor theme="7" tint="0.79998168889431442"/>
        <bgColor indexed="65"/>
      </patternFill>
    </fill>
    <fill>
      <patternFill patternType="solid">
        <fgColor theme="8"/>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79998168889431442"/>
        <bgColor indexed="65"/>
      </patternFill>
    </fill>
    <fill>
      <patternFill patternType="solid">
        <fgColor rgb="FFFFEB9C"/>
      </patternFill>
    </fill>
    <fill>
      <patternFill patternType="solid">
        <fgColor theme="7" tint="0.39997558519241921"/>
        <bgColor indexed="65"/>
      </patternFill>
    </fill>
    <fill>
      <patternFill patternType="solid">
        <fgColor rgb="FFFFFF00"/>
        <bgColor indexed="64"/>
      </patternFill>
    </fill>
  </fills>
  <borders count="16">
    <border>
      <left/>
      <right/>
      <top/>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rgb="FF7F7F7F"/>
      </right>
      <top style="medium">
        <color indexed="64"/>
      </top>
      <bottom style="thin">
        <color rgb="FF7F7F7F"/>
      </bottom>
      <diagonal/>
    </border>
    <border>
      <left/>
      <right/>
      <top/>
      <bottom style="double">
        <color theme="0" tint="-0.34998626667073579"/>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1">
    <xf numFmtId="0" fontId="0" fillId="0" borderId="0"/>
    <xf numFmtId="164" fontId="2" fillId="0" borderId="0" applyFont="0" applyFill="0" applyBorder="0" applyAlignment="0" applyProtection="0"/>
    <xf numFmtId="9" fontId="2"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11" fillId="8" borderId="0" applyNumberFormat="0" applyBorder="0" applyAlignment="0" applyProtection="0"/>
    <xf numFmtId="0" fontId="2" fillId="9" borderId="0" applyNumberFormat="0" applyBorder="0" applyAlignment="0" applyProtection="0"/>
  </cellStyleXfs>
  <cellXfs count="148">
    <xf numFmtId="0" fontId="0" fillId="0" borderId="0" xfId="0"/>
    <xf numFmtId="0" fontId="1" fillId="0" borderId="0" xfId="0" applyFont="1" applyAlignment="1">
      <alignment horizontal="center" vertical="center"/>
    </xf>
    <xf numFmtId="1" fontId="0" fillId="0" borderId="0" xfId="0" applyNumberFormat="1"/>
    <xf numFmtId="0" fontId="0" fillId="0" borderId="0" xfId="0" applyAlignment="1">
      <alignment horizontal="right" indent="1"/>
    </xf>
    <xf numFmtId="0" fontId="0" fillId="0" borderId="0" xfId="0" applyAlignment="1"/>
    <xf numFmtId="0" fontId="0" fillId="0" borderId="4" xfId="0" applyBorder="1" applyAlignment="1">
      <alignment horizontal="right" indent="1"/>
    </xf>
    <xf numFmtId="0" fontId="0" fillId="0" borderId="0" xfId="0" applyBorder="1" applyAlignment="1">
      <alignment horizontal="center"/>
    </xf>
    <xf numFmtId="165" fontId="0" fillId="0" borderId="5" xfId="0" applyNumberFormat="1" applyBorder="1" applyAlignment="1">
      <alignment horizontal="left" indent="1"/>
    </xf>
    <xf numFmtId="0" fontId="0" fillId="0" borderId="6" xfId="0" applyBorder="1" applyAlignment="1">
      <alignment horizontal="right" indent="1"/>
    </xf>
    <xf numFmtId="0" fontId="0" fillId="0" borderId="7" xfId="0" applyBorder="1" applyAlignment="1">
      <alignment horizontal="center"/>
    </xf>
    <xf numFmtId="165" fontId="0" fillId="0" borderId="8" xfId="0" applyNumberFormat="1" applyBorder="1" applyAlignment="1">
      <alignment horizontal="left" indent="1"/>
    </xf>
    <xf numFmtId="0" fontId="0" fillId="0" borderId="0" xfId="0" applyBorder="1" applyAlignment="1">
      <alignment horizontal="center" vertical="center"/>
    </xf>
    <xf numFmtId="0" fontId="0" fillId="0" borderId="5" xfId="0" applyBorder="1" applyAlignment="1">
      <alignment horizontal="center" vertical="center"/>
    </xf>
    <xf numFmtId="165" fontId="0" fillId="0" borderId="7" xfId="0" applyNumberFormat="1" applyBorder="1" applyAlignment="1">
      <alignment horizontal="center" vertical="center"/>
    </xf>
    <xf numFmtId="165" fontId="0" fillId="0" borderId="8" xfId="0" applyNumberFormat="1" applyBorder="1" applyAlignment="1">
      <alignment horizontal="center" vertical="center"/>
    </xf>
    <xf numFmtId="0" fontId="0" fillId="0" borderId="4" xfId="0" applyFill="1" applyBorder="1" applyAlignment="1">
      <alignment horizontal="right" indent="1"/>
    </xf>
    <xf numFmtId="0" fontId="0" fillId="0" borderId="0" xfId="0" applyFill="1" applyBorder="1" applyAlignment="1">
      <alignment horizontal="center"/>
    </xf>
    <xf numFmtId="0" fontId="0" fillId="0" borderId="0" xfId="0" applyAlignment="1">
      <alignment horizontal="right"/>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indent="1"/>
    </xf>
    <xf numFmtId="0" fontId="4" fillId="0" borderId="0" xfId="0" applyFont="1" applyFill="1"/>
    <xf numFmtId="166" fontId="0" fillId="0" borderId="0" xfId="0" applyNumberFormat="1"/>
    <xf numFmtId="14" fontId="0" fillId="0" borderId="0" xfId="0" applyNumberFormat="1"/>
    <xf numFmtId="37" fontId="4" fillId="0" borderId="0" xfId="0" applyNumberFormat="1" applyFont="1" applyFill="1"/>
    <xf numFmtId="0" fontId="0" fillId="0" borderId="0" xfId="0" applyAlignment="1">
      <alignment horizontal="left"/>
    </xf>
    <xf numFmtId="0" fontId="0" fillId="0" borderId="0" xfId="0" applyAlignment="1">
      <alignment horizontal="center" vertical="center"/>
    </xf>
    <xf numFmtId="0" fontId="2" fillId="2" borderId="0" xfId="3" applyBorder="1" applyAlignment="1">
      <alignment horizontal="left" indent="1"/>
    </xf>
    <xf numFmtId="0" fontId="0" fillId="0" borderId="0" xfId="0" applyBorder="1"/>
    <xf numFmtId="0" fontId="0" fillId="0" borderId="11" xfId="0" applyBorder="1"/>
    <xf numFmtId="0" fontId="2" fillId="6" borderId="0" xfId="7" applyBorder="1" applyAlignment="1">
      <alignment horizontal="left" indent="1"/>
    </xf>
    <xf numFmtId="0" fontId="4" fillId="0" borderId="0" xfId="0" applyFont="1" applyFill="1" applyBorder="1"/>
    <xf numFmtId="14" fontId="0" fillId="0" borderId="0" xfId="0" applyNumberFormat="1" applyBorder="1"/>
    <xf numFmtId="166" fontId="0" fillId="0" borderId="0" xfId="0" applyNumberFormat="1" applyBorder="1"/>
    <xf numFmtId="167" fontId="0" fillId="0" borderId="0" xfId="0" applyNumberFormat="1" applyBorder="1" applyAlignment="1">
      <alignment horizontal="center"/>
    </xf>
    <xf numFmtId="167" fontId="0" fillId="0" borderId="7" xfId="0" applyNumberFormat="1" applyBorder="1" applyAlignment="1">
      <alignment horizontal="center"/>
    </xf>
    <xf numFmtId="0" fontId="2" fillId="5" borderId="0" xfId="6" applyAlignment="1">
      <alignment horizontal="left" indent="1"/>
    </xf>
    <xf numFmtId="0" fontId="0" fillId="0" borderId="0" xfId="0" applyBorder="1" applyAlignment="1">
      <alignment horizontal="right" indent="1"/>
    </xf>
    <xf numFmtId="167" fontId="0" fillId="0" borderId="0" xfId="0" applyNumberFormat="1" applyBorder="1" applyAlignment="1">
      <alignment horizontal="center" vertical="center"/>
    </xf>
    <xf numFmtId="167" fontId="0" fillId="0" borderId="5" xfId="0" applyNumberFormat="1" applyBorder="1" applyAlignment="1">
      <alignment horizontal="center" vertical="center"/>
    </xf>
    <xf numFmtId="0" fontId="2" fillId="3" borderId="4" xfId="4" applyBorder="1" applyAlignment="1">
      <alignment horizontal="center" vertical="center"/>
    </xf>
    <xf numFmtId="0" fontId="2" fillId="3" borderId="6" xfId="4" applyBorder="1" applyAlignment="1">
      <alignment horizontal="center" vertical="center"/>
    </xf>
    <xf numFmtId="168" fontId="0" fillId="0" borderId="0" xfId="2" applyNumberFormat="1" applyFont="1"/>
    <xf numFmtId="169" fontId="0" fillId="0" borderId="0" xfId="1" applyNumberFormat="1" applyFont="1"/>
    <xf numFmtId="167" fontId="0" fillId="0" borderId="0" xfId="0" applyNumberFormat="1"/>
    <xf numFmtId="0" fontId="2" fillId="6" borderId="0" xfId="7" applyAlignment="1">
      <alignment horizontal="right"/>
    </xf>
    <xf numFmtId="18" fontId="0" fillId="0" borderId="0" xfId="0" applyNumberFormat="1"/>
    <xf numFmtId="0" fontId="2" fillId="6" borderId="0" xfId="7"/>
    <xf numFmtId="0" fontId="2" fillId="5" borderId="0" xfId="6" applyAlignment="1">
      <alignment horizontal="left" vertical="center" indent="1"/>
    </xf>
    <xf numFmtId="0" fontId="0" fillId="0" borderId="0" xfId="0" applyAlignment="1">
      <alignment horizontal="center"/>
    </xf>
    <xf numFmtId="0" fontId="0" fillId="0" borderId="0" xfId="0" applyAlignment="1">
      <alignment vertical="top" wrapText="1"/>
    </xf>
    <xf numFmtId="169" fontId="0" fillId="0" borderId="0" xfId="1" applyNumberFormat="1" applyFont="1" applyBorder="1"/>
    <xf numFmtId="0" fontId="9" fillId="4" borderId="9" xfId="5" applyFont="1" applyBorder="1" applyAlignment="1">
      <alignment horizontal="center" vertical="center"/>
    </xf>
    <xf numFmtId="0" fontId="9" fillId="4" borderId="12" xfId="5" applyFont="1" applyBorder="1" applyAlignment="1">
      <alignment horizontal="center" vertical="center"/>
    </xf>
    <xf numFmtId="0" fontId="9" fillId="4" borderId="12" xfId="5" applyFont="1" applyBorder="1" applyAlignment="1">
      <alignment horizontal="center" vertical="center" wrapText="1"/>
    </xf>
    <xf numFmtId="0" fontId="9" fillId="4" borderId="13" xfId="5" applyFont="1" applyBorder="1" applyAlignment="1">
      <alignment horizontal="center" vertical="center"/>
    </xf>
    <xf numFmtId="0" fontId="0" fillId="0" borderId="4" xfId="0" applyBorder="1"/>
    <xf numFmtId="169" fontId="0" fillId="0" borderId="5" xfId="1" applyNumberFormat="1" applyFont="1" applyBorder="1"/>
    <xf numFmtId="0" fontId="0" fillId="0" borderId="6" xfId="0" applyBorder="1"/>
    <xf numFmtId="169" fontId="0" fillId="0" borderId="7" xfId="1" applyNumberFormat="1" applyFont="1" applyBorder="1"/>
    <xf numFmtId="0" fontId="0" fillId="0" borderId="7" xfId="0" applyBorder="1"/>
    <xf numFmtId="169" fontId="0" fillId="0" borderId="8" xfId="1" applyNumberFormat="1" applyFont="1" applyBorder="1"/>
    <xf numFmtId="0" fontId="0" fillId="0" borderId="5" xfId="0" applyBorder="1"/>
    <xf numFmtId="0" fontId="0" fillId="0" borderId="8" xfId="0" applyBorder="1"/>
    <xf numFmtId="0" fontId="9" fillId="4" borderId="1" xfId="5" applyFont="1" applyBorder="1" applyAlignment="1">
      <alignment horizontal="center" vertical="center"/>
    </xf>
    <xf numFmtId="0" fontId="9" fillId="4" borderId="2" xfId="5" applyFont="1" applyBorder="1" applyAlignment="1">
      <alignment horizontal="center" vertical="center"/>
    </xf>
    <xf numFmtId="0" fontId="9" fillId="4" borderId="3" xfId="5" applyFont="1" applyBorder="1" applyAlignment="1">
      <alignment horizontal="center" vertical="center"/>
    </xf>
    <xf numFmtId="0" fontId="9" fillId="4" borderId="10" xfId="5" applyFont="1" applyBorder="1" applyAlignment="1">
      <alignment horizontal="center" vertical="center"/>
    </xf>
    <xf numFmtId="0" fontId="2" fillId="3" borderId="0" xfId="4" applyFont="1" applyAlignment="1">
      <alignment horizontal="center" vertical="center"/>
    </xf>
    <xf numFmtId="0" fontId="2" fillId="9" borderId="9" xfId="10" applyBorder="1" applyAlignment="1">
      <alignment horizontal="center" vertical="center"/>
    </xf>
    <xf numFmtId="0" fontId="2" fillId="9" borderId="12" xfId="10" applyBorder="1" applyAlignment="1">
      <alignment horizontal="center" vertical="center"/>
    </xf>
    <xf numFmtId="0" fontId="2" fillId="9" borderId="13" xfId="10" applyBorder="1" applyAlignment="1">
      <alignment horizontal="center" vertical="center"/>
    </xf>
    <xf numFmtId="169" fontId="0" fillId="0" borderId="5" xfId="0" applyNumberFormat="1" applyBorder="1"/>
    <xf numFmtId="0" fontId="0" fillId="9" borderId="12" xfId="10" applyFont="1" applyBorder="1" applyAlignment="1">
      <alignment horizontal="center" vertical="center"/>
    </xf>
    <xf numFmtId="0" fontId="0" fillId="9" borderId="9" xfId="10" applyFont="1" applyBorder="1" applyAlignment="1">
      <alignment horizontal="center" vertical="center"/>
    </xf>
    <xf numFmtId="170" fontId="0" fillId="0" borderId="0" xfId="0" applyNumberFormat="1" applyBorder="1"/>
    <xf numFmtId="170" fontId="0" fillId="0" borderId="7" xfId="0" applyNumberFormat="1" applyBorder="1"/>
    <xf numFmtId="0" fontId="0" fillId="0" borderId="0" xfId="0" applyAlignment="1">
      <alignment vertical="top"/>
    </xf>
    <xf numFmtId="169" fontId="0" fillId="0" borderId="0" xfId="0" applyNumberFormat="1" applyBorder="1"/>
    <xf numFmtId="22" fontId="0" fillId="0" borderId="0" xfId="0" applyNumberFormat="1"/>
    <xf numFmtId="22" fontId="0" fillId="0" borderId="0" xfId="0" applyNumberFormat="1" applyBorder="1"/>
    <xf numFmtId="22" fontId="0" fillId="0" borderId="5" xfId="0" applyNumberFormat="1" applyBorder="1"/>
    <xf numFmtId="22" fontId="0" fillId="0" borderId="7" xfId="0" applyNumberFormat="1" applyBorder="1"/>
    <xf numFmtId="22" fontId="0" fillId="0" borderId="8" xfId="0" applyNumberFormat="1" applyBorder="1"/>
    <xf numFmtId="0" fontId="11" fillId="8" borderId="9" xfId="9" applyBorder="1"/>
    <xf numFmtId="0" fontId="11" fillId="8" borderId="13" xfId="9" applyBorder="1"/>
    <xf numFmtId="0" fontId="13" fillId="8" borderId="9" xfId="9" applyFont="1" applyBorder="1" applyAlignment="1">
      <alignment horizontal="center"/>
    </xf>
    <xf numFmtId="0" fontId="13" fillId="8" borderId="12" xfId="9" applyFont="1" applyBorder="1" applyAlignment="1">
      <alignment horizontal="center"/>
    </xf>
    <xf numFmtId="0" fontId="13" fillId="8" borderId="13" xfId="9" applyFont="1" applyBorder="1" applyAlignment="1">
      <alignment horizontal="center"/>
    </xf>
    <xf numFmtId="0" fontId="12" fillId="0" borderId="0" xfId="0" applyFont="1" applyBorder="1" applyAlignment="1">
      <alignment horizontal="center"/>
    </xf>
    <xf numFmtId="0" fontId="0" fillId="5" borderId="0" xfId="6" applyFont="1" applyAlignment="1">
      <alignment horizontal="left" vertical="center" indent="1"/>
    </xf>
    <xf numFmtId="169" fontId="0" fillId="0" borderId="0" xfId="0" applyNumberFormat="1"/>
    <xf numFmtId="0" fontId="12" fillId="0" borderId="7" xfId="0" applyFont="1" applyBorder="1" applyAlignment="1">
      <alignment horizontal="center"/>
    </xf>
    <xf numFmtId="171" fontId="0" fillId="0" borderId="0" xfId="1" applyNumberFormat="1" applyFont="1"/>
    <xf numFmtId="9" fontId="0" fillId="0" borderId="0" xfId="2" applyFont="1"/>
    <xf numFmtId="169" fontId="0" fillId="0" borderId="0" xfId="1" applyNumberFormat="1" applyFont="1" applyAlignment="1"/>
    <xf numFmtId="167" fontId="0" fillId="0" borderId="0" xfId="0" applyNumberFormat="1" applyBorder="1" applyAlignment="1">
      <alignment horizontal="right" indent="1"/>
    </xf>
    <xf numFmtId="0" fontId="3" fillId="4" borderId="0" xfId="5"/>
    <xf numFmtId="0" fontId="0" fillId="0" borderId="15" xfId="0" applyBorder="1"/>
    <xf numFmtId="0" fontId="11" fillId="8" borderId="14" xfId="9" applyBorder="1"/>
    <xf numFmtId="0" fontId="4" fillId="0" borderId="0" xfId="0" applyFont="1" applyFill="1" applyAlignment="1">
      <alignment horizontal="center" vertical="center"/>
    </xf>
    <xf numFmtId="0" fontId="14" fillId="0" borderId="0" xfId="0" applyFont="1"/>
    <xf numFmtId="0" fontId="0" fillId="3" borderId="0" xfId="4" applyFont="1" applyAlignment="1">
      <alignment horizontal="center" vertical="center"/>
    </xf>
    <xf numFmtId="0" fontId="2" fillId="3" borderId="0" xfId="4" applyAlignment="1">
      <alignment horizontal="center" vertical="center"/>
    </xf>
    <xf numFmtId="0" fontId="0" fillId="0" borderId="0" xfId="0" applyAlignment="1">
      <alignment horizontal="left" vertical="top" wrapText="1"/>
    </xf>
    <xf numFmtId="0" fontId="6" fillId="4" borderId="0" xfId="5" applyFont="1" applyAlignment="1">
      <alignment horizontal="left" vertical="center" indent="2"/>
    </xf>
    <xf numFmtId="0" fontId="4" fillId="0" borderId="0" xfId="0" applyFont="1" applyFill="1" applyAlignment="1">
      <alignment horizontal="left" vertical="top" wrapText="1"/>
    </xf>
    <xf numFmtId="0" fontId="2" fillId="6" borderId="0" xfId="7" applyBorder="1" applyAlignment="1">
      <alignment horizontal="left" indent="1"/>
    </xf>
    <xf numFmtId="0" fontId="0" fillId="3" borderId="0" xfId="4" applyFont="1" applyAlignment="1">
      <alignment horizontal="center" vertical="center" wrapText="1"/>
    </xf>
    <xf numFmtId="0" fontId="2" fillId="3" borderId="0" xfId="4" applyAlignment="1">
      <alignment horizontal="center" vertical="center" wrapText="1"/>
    </xf>
    <xf numFmtId="0" fontId="0" fillId="0" borderId="0" xfId="0" applyAlignment="1">
      <alignment horizontal="left" wrapText="1" indent="1"/>
    </xf>
    <xf numFmtId="0" fontId="2" fillId="2" borderId="0" xfId="3" applyBorder="1" applyAlignment="1">
      <alignment horizontal="left" indent="1"/>
    </xf>
    <xf numFmtId="0" fontId="2" fillId="5" borderId="0" xfId="6" applyAlignment="1">
      <alignment horizontal="left" vertical="center" indent="1"/>
    </xf>
    <xf numFmtId="0" fontId="0" fillId="0" borderId="0" xfId="0" applyAlignment="1">
      <alignment horizontal="left" indent="1"/>
    </xf>
    <xf numFmtId="14" fontId="0" fillId="0" borderId="0" xfId="0" applyNumberFormat="1" applyAlignment="1">
      <alignment horizontal="left" indent="1"/>
    </xf>
    <xf numFmtId="22" fontId="0" fillId="0" borderId="0" xfId="0" applyNumberFormat="1" applyAlignment="1">
      <alignment horizontal="left" indent="1"/>
    </xf>
    <xf numFmtId="0" fontId="0" fillId="0" borderId="0" xfId="0" applyAlignment="1">
      <alignment horizontal="left" vertical="top" wrapText="1" indent="1"/>
    </xf>
    <xf numFmtId="0" fontId="0" fillId="3" borderId="0" xfId="4" applyFont="1" applyAlignment="1">
      <alignment horizontal="center"/>
    </xf>
    <xf numFmtId="0" fontId="2" fillId="3" borderId="0" xfId="4" applyAlignment="1">
      <alignment horizontal="center"/>
    </xf>
    <xf numFmtId="0" fontId="5" fillId="0" borderId="0" xfId="0" applyFont="1" applyAlignment="1">
      <alignment horizontal="left" indent="1"/>
    </xf>
    <xf numFmtId="0" fontId="2" fillId="3" borderId="0" xfId="4" applyBorder="1" applyAlignment="1">
      <alignment horizontal="center"/>
    </xf>
    <xf numFmtId="0" fontId="2" fillId="5" borderId="0" xfId="6" applyBorder="1" applyAlignment="1">
      <alignment horizontal="left" indent="1"/>
    </xf>
    <xf numFmtId="0" fontId="2" fillId="5" borderId="0" xfId="6" applyAlignment="1">
      <alignment horizontal="left" indent="1"/>
    </xf>
    <xf numFmtId="0" fontId="8" fillId="0" borderId="0" xfId="0" applyFont="1" applyAlignment="1">
      <alignment horizontal="left" wrapText="1" indent="1"/>
    </xf>
    <xf numFmtId="0" fontId="2" fillId="5" borderId="0" xfId="6" applyAlignment="1">
      <alignment horizontal="center" vertical="center"/>
    </xf>
    <xf numFmtId="0" fontId="2" fillId="5" borderId="0" xfId="6" applyAlignment="1">
      <alignment horizontal="center"/>
    </xf>
    <xf numFmtId="0" fontId="6" fillId="4" borderId="0" xfId="5" applyFont="1" applyAlignment="1">
      <alignment horizontal="center" vertical="center"/>
    </xf>
    <xf numFmtId="0" fontId="0" fillId="5" borderId="0" xfId="6" applyFont="1" applyAlignment="1">
      <alignment horizontal="left" indent="1"/>
    </xf>
    <xf numFmtId="0" fontId="0" fillId="5" borderId="0" xfId="6" applyFont="1" applyAlignment="1">
      <alignment horizontal="left" indent="2"/>
    </xf>
    <xf numFmtId="0" fontId="0" fillId="0" borderId="0" xfId="0" applyAlignment="1">
      <alignment horizontal="right" indent="1"/>
    </xf>
    <xf numFmtId="0" fontId="0" fillId="0" borderId="4" xfId="0" applyBorder="1" applyAlignment="1">
      <alignment horizontal="left" wrapText="1" indent="1"/>
    </xf>
    <xf numFmtId="0" fontId="0" fillId="0" borderId="0" xfId="0" applyBorder="1" applyAlignment="1">
      <alignment horizontal="left" wrapText="1" indent="1"/>
    </xf>
    <xf numFmtId="0" fontId="0" fillId="0" borderId="5" xfId="0" applyBorder="1" applyAlignment="1">
      <alignment horizontal="left" wrapText="1" indent="1"/>
    </xf>
    <xf numFmtId="0" fontId="0" fillId="0" borderId="6" xfId="0" applyBorder="1" applyAlignment="1">
      <alignment horizontal="left" indent="1"/>
    </xf>
    <xf numFmtId="0" fontId="0" fillId="0" borderId="7" xfId="0" applyBorder="1" applyAlignment="1">
      <alignment horizontal="left" indent="1"/>
    </xf>
    <xf numFmtId="0" fontId="0" fillId="0" borderId="8" xfId="0" applyBorder="1" applyAlignment="1">
      <alignment horizontal="left" indent="1"/>
    </xf>
    <xf numFmtId="0" fontId="2" fillId="6" borderId="9" xfId="7" applyBorder="1" applyAlignment="1">
      <alignment horizontal="center"/>
    </xf>
    <xf numFmtId="0" fontId="2" fillId="6" borderId="13" xfId="7" applyBorder="1" applyAlignment="1">
      <alignment horizontal="center"/>
    </xf>
    <xf numFmtId="0" fontId="2" fillId="7" borderId="6" xfId="8" applyBorder="1" applyAlignment="1">
      <alignment horizontal="center"/>
    </xf>
    <xf numFmtId="0" fontId="2" fillId="7" borderId="8" xfId="8" applyBorder="1" applyAlignment="1">
      <alignment horizontal="center"/>
    </xf>
    <xf numFmtId="0" fontId="9" fillId="4" borderId="9" xfId="5" applyFont="1" applyBorder="1" applyAlignment="1">
      <alignment horizontal="center" vertical="center"/>
    </xf>
    <xf numFmtId="0" fontId="9" fillId="4" borderId="12" xfId="5" applyFont="1" applyBorder="1" applyAlignment="1">
      <alignment horizontal="center" vertical="center"/>
    </xf>
    <xf numFmtId="0" fontId="9" fillId="4" borderId="13" xfId="5" applyFont="1" applyBorder="1" applyAlignment="1">
      <alignment horizontal="center" vertical="center"/>
    </xf>
    <xf numFmtId="0" fontId="0" fillId="0" borderId="4" xfId="0" applyBorder="1" applyAlignment="1">
      <alignment horizontal="left" indent="1"/>
    </xf>
    <xf numFmtId="0" fontId="0" fillId="0" borderId="0" xfId="0" applyBorder="1" applyAlignment="1">
      <alignment horizontal="left" indent="1"/>
    </xf>
    <xf numFmtId="0" fontId="0" fillId="0" borderId="5" xfId="0" applyBorder="1" applyAlignment="1">
      <alignment horizontal="left" indent="1"/>
    </xf>
    <xf numFmtId="169" fontId="0" fillId="0" borderId="4" xfId="0" applyNumberFormat="1" applyBorder="1"/>
    <xf numFmtId="0" fontId="0" fillId="10" borderId="0" xfId="0" applyFill="1"/>
  </cellXfs>
  <cellStyles count="11">
    <cellStyle name="20% - 2. jelölőszín" xfId="8" builtinId="34"/>
    <cellStyle name="20% - 3. jelölőszín" xfId="3" builtinId="38"/>
    <cellStyle name="20% - 4. jelölőszín" xfId="4" builtinId="42"/>
    <cellStyle name="20% - 5. jelölőszín" xfId="6" builtinId="46"/>
    <cellStyle name="20% - 6. jelölőszín" xfId="7" builtinId="50"/>
    <cellStyle name="60% - 4. jelölőszín" xfId="10" builtinId="44"/>
    <cellStyle name="Jelölőszín 5" xfId="5" builtinId="45"/>
    <cellStyle name="Normál" xfId="0" builtinId="0"/>
    <cellStyle name="Pénznem" xfId="1" builtinId="4"/>
    <cellStyle name="Semleges" xfId="9" builtinId="28"/>
    <cellStyle name="Százalék"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41275</xdr:colOff>
      <xdr:row>11</xdr:row>
      <xdr:rowOff>152400</xdr:rowOff>
    </xdr:from>
    <xdr:to>
      <xdr:col>6</xdr:col>
      <xdr:colOff>317500</xdr:colOff>
      <xdr:row>11</xdr:row>
      <xdr:rowOff>152400</xdr:rowOff>
    </xdr:to>
    <xdr:cxnSp macro="">
      <xdr:nvCxnSpPr>
        <xdr:cNvPr id="3" name="Egyenes összekötő nyíllal 2">
          <a:extLst>
            <a:ext uri="{FF2B5EF4-FFF2-40B4-BE49-F238E27FC236}">
              <a16:creationId xmlns:a16="http://schemas.microsoft.com/office/drawing/2014/main" id="{1D249FA1-B073-4D36-A5E9-0D8D08FEEB47}"/>
            </a:ext>
          </a:extLst>
        </xdr:cNvPr>
        <xdr:cNvCxnSpPr/>
      </xdr:nvCxnSpPr>
      <xdr:spPr>
        <a:xfrm flipH="1">
          <a:off x="4867275" y="2478088"/>
          <a:ext cx="2762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571500</xdr:colOff>
      <xdr:row>6</xdr:row>
      <xdr:rowOff>57151</xdr:rowOff>
    </xdr:from>
    <xdr:to>
      <xdr:col>6</xdr:col>
      <xdr:colOff>571500</xdr:colOff>
      <xdr:row>8</xdr:row>
      <xdr:rowOff>161925</xdr:rowOff>
    </xdr:to>
    <xdr:cxnSp macro="">
      <xdr:nvCxnSpPr>
        <xdr:cNvPr id="10" name="Egyenes összekötő nyíllal 9">
          <a:extLst>
            <a:ext uri="{FF2B5EF4-FFF2-40B4-BE49-F238E27FC236}">
              <a16:creationId xmlns:a16="http://schemas.microsoft.com/office/drawing/2014/main" id="{B1EB664A-A01A-4DAC-9F70-CF96E4984E8F}"/>
            </a:ext>
          </a:extLst>
        </xdr:cNvPr>
        <xdr:cNvCxnSpPr/>
      </xdr:nvCxnSpPr>
      <xdr:spPr>
        <a:xfrm flipV="1">
          <a:off x="5381625" y="1419226"/>
          <a:ext cx="0" cy="48577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A0AE6-8A14-4FF2-B055-C5FC48D8F89C}">
  <dimension ref="A1:AG86"/>
  <sheetViews>
    <sheetView topLeftCell="A40" zoomScaleNormal="100" workbookViewId="0">
      <selection activeCell="G86" sqref="G86"/>
    </sheetView>
  </sheetViews>
  <sheetFormatPr defaultRowHeight="15" x14ac:dyDescent="0.25"/>
  <cols>
    <col min="1" max="3" width="13.28515625" customWidth="1"/>
    <col min="4" max="4" width="2.7109375" customWidth="1"/>
    <col min="5" max="7" width="13.28515625" customWidth="1"/>
    <col min="8" max="8" width="2.7109375" customWidth="1"/>
    <col min="9" max="10" width="13.28515625" customWidth="1"/>
    <col min="11" max="11" width="2.7109375" customWidth="1"/>
    <col min="12" max="13" width="13.28515625" customWidth="1"/>
    <col min="14" max="14" width="2.7109375" customWidth="1"/>
    <col min="15" max="16" width="13.28515625" customWidth="1"/>
    <col min="17" max="17" width="2.7109375" customWidth="1"/>
    <col min="18" max="19" width="13.28515625" customWidth="1"/>
    <col min="20" max="20" width="2.7109375" customWidth="1"/>
    <col min="22" max="22" width="13.28515625" customWidth="1"/>
    <col min="23" max="23" width="2.7109375" customWidth="1"/>
    <col min="24" max="26" width="13.28515625" customWidth="1"/>
    <col min="27" max="27" width="2.7109375" customWidth="1"/>
    <col min="28" max="28" width="13.28515625" customWidth="1"/>
    <col min="29" max="29" width="11.140625" customWidth="1"/>
    <col min="34" max="34" width="2.7109375" customWidth="1"/>
  </cols>
  <sheetData>
    <row r="1" spans="1:33" ht="35.1" customHeight="1" x14ac:dyDescent="0.25">
      <c r="A1" s="105" t="s">
        <v>35</v>
      </c>
      <c r="B1" s="105"/>
      <c r="C1" s="105"/>
      <c r="D1" s="21"/>
      <c r="E1" s="21"/>
      <c r="F1" s="21"/>
      <c r="G1" s="21"/>
      <c r="H1" s="21"/>
      <c r="I1" s="23"/>
    </row>
    <row r="2" spans="1:33" x14ac:dyDescent="0.25">
      <c r="A2" s="24" t="b">
        <v>1</v>
      </c>
      <c r="B2" s="21" t="b">
        <v>0</v>
      </c>
      <c r="D2" s="21"/>
      <c r="E2" s="21"/>
      <c r="F2" s="21"/>
      <c r="G2" s="21"/>
      <c r="H2" s="21"/>
    </row>
    <row r="3" spans="1:33" x14ac:dyDescent="0.25">
      <c r="A3" s="21"/>
      <c r="B3" s="24"/>
      <c r="C3" s="21"/>
      <c r="D3" s="21"/>
      <c r="E3" s="21"/>
      <c r="F3" s="21"/>
      <c r="G3" s="21"/>
      <c r="H3" s="21"/>
    </row>
    <row r="4" spans="1:33" ht="35.1" customHeight="1" x14ac:dyDescent="0.25">
      <c r="A4" s="105" t="s">
        <v>121</v>
      </c>
      <c r="B4" s="105"/>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row>
    <row r="5" spans="1:33" s="49" customFormat="1" ht="15" customHeight="1" x14ac:dyDescent="0.25">
      <c r="A5" s="102" t="s">
        <v>288</v>
      </c>
      <c r="B5" s="103"/>
      <c r="C5" s="103"/>
      <c r="D5" s="100"/>
      <c r="E5" s="102" t="s">
        <v>289</v>
      </c>
      <c r="F5" s="103"/>
      <c r="G5" s="103"/>
      <c r="H5" s="100"/>
      <c r="I5" s="102" t="s">
        <v>290</v>
      </c>
      <c r="J5" s="103"/>
      <c r="K5" s="26"/>
      <c r="L5" s="102" t="s">
        <v>291</v>
      </c>
      <c r="M5" s="103"/>
      <c r="N5" s="26"/>
      <c r="O5" s="102" t="s">
        <v>292</v>
      </c>
      <c r="P5" s="103"/>
      <c r="Q5" s="26"/>
      <c r="R5" s="102" t="s">
        <v>293</v>
      </c>
      <c r="S5" s="103"/>
      <c r="T5" s="26"/>
      <c r="U5" s="102" t="s">
        <v>294</v>
      </c>
      <c r="V5" s="103"/>
      <c r="W5" s="26"/>
      <c r="X5" s="108" t="s">
        <v>295</v>
      </c>
      <c r="Y5" s="109"/>
      <c r="Z5" s="109"/>
      <c r="AA5" s="26"/>
      <c r="AB5" s="102" t="s">
        <v>296</v>
      </c>
      <c r="AC5" s="103"/>
      <c r="AD5" s="103"/>
      <c r="AE5" s="103"/>
      <c r="AF5" s="103"/>
      <c r="AG5" s="103"/>
    </row>
    <row r="6" spans="1:33" ht="65.099999999999994" customHeight="1" x14ac:dyDescent="0.25">
      <c r="A6" s="106" t="s">
        <v>297</v>
      </c>
      <c r="B6" s="106"/>
      <c r="C6" s="106"/>
      <c r="D6" s="21"/>
      <c r="E6" s="106" t="s">
        <v>36</v>
      </c>
      <c r="F6" s="106"/>
      <c r="G6" s="106"/>
      <c r="H6" s="21"/>
      <c r="I6" s="104" t="s">
        <v>79</v>
      </c>
      <c r="J6" s="104"/>
      <c r="L6" s="104" t="s">
        <v>78</v>
      </c>
      <c r="M6" s="104"/>
      <c r="O6" s="104" t="s">
        <v>298</v>
      </c>
      <c r="P6" s="104"/>
      <c r="R6" s="104" t="s">
        <v>299</v>
      </c>
      <c r="S6" s="104"/>
      <c r="U6" s="104" t="s">
        <v>300</v>
      </c>
      <c r="V6" s="104"/>
      <c r="X6" s="104" t="s">
        <v>301</v>
      </c>
      <c r="Y6" s="104"/>
      <c r="Z6" s="104"/>
      <c r="AB6" s="104" t="s">
        <v>80</v>
      </c>
      <c r="AC6" s="104"/>
      <c r="AD6" s="104"/>
      <c r="AE6" s="104"/>
      <c r="AF6" s="104"/>
      <c r="AG6" s="104"/>
    </row>
    <row r="7" spans="1:33" x14ac:dyDescent="0.25">
      <c r="A7" s="111" t="s">
        <v>37</v>
      </c>
      <c r="B7" s="111"/>
      <c r="C7" s="30" t="s">
        <v>38</v>
      </c>
      <c r="E7" s="111" t="s">
        <v>37</v>
      </c>
      <c r="F7" s="111"/>
      <c r="G7" s="30" t="s">
        <v>38</v>
      </c>
      <c r="I7" s="27" t="s">
        <v>37</v>
      </c>
      <c r="J7" s="30" t="s">
        <v>38</v>
      </c>
      <c r="L7" s="27" t="s">
        <v>37</v>
      </c>
      <c r="M7" s="30" t="s">
        <v>38</v>
      </c>
      <c r="N7" s="28"/>
      <c r="O7" s="27" t="s">
        <v>37</v>
      </c>
      <c r="P7" s="30" t="s">
        <v>38</v>
      </c>
      <c r="Q7" s="28"/>
      <c r="R7" s="27" t="s">
        <v>37</v>
      </c>
      <c r="S7" s="30" t="s">
        <v>38</v>
      </c>
      <c r="T7" s="28"/>
      <c r="U7" s="27" t="s">
        <v>37</v>
      </c>
      <c r="V7" s="30" t="s">
        <v>38</v>
      </c>
      <c r="W7" s="28"/>
      <c r="X7" s="27" t="s">
        <v>37</v>
      </c>
      <c r="Y7" s="107" t="s">
        <v>38</v>
      </c>
      <c r="Z7" s="107"/>
      <c r="AA7" s="28"/>
      <c r="AB7" s="27" t="s">
        <v>37</v>
      </c>
      <c r="AC7" s="30" t="s">
        <v>38</v>
      </c>
    </row>
    <row r="8" spans="1:33" x14ac:dyDescent="0.25">
      <c r="A8" s="31" t="b">
        <v>0</v>
      </c>
      <c r="B8" s="31" t="b">
        <v>0</v>
      </c>
      <c r="C8" s="31" t="b">
        <f>AND(A8:B8)</f>
        <v>0</v>
      </c>
      <c r="D8" s="21"/>
      <c r="E8" s="31" t="b">
        <v>0</v>
      </c>
      <c r="F8" s="31" t="b">
        <v>0</v>
      </c>
      <c r="G8" s="31" t="b">
        <f>OR(E8:F8)</f>
        <v>0</v>
      </c>
      <c r="H8" s="21"/>
      <c r="I8" s="28" t="b">
        <v>1</v>
      </c>
      <c r="J8" s="28" t="b">
        <f>NOT(I8)</f>
        <v>0</v>
      </c>
      <c r="L8" s="28"/>
      <c r="M8" s="28" t="b">
        <f>ISBLANK(L8)</f>
        <v>1</v>
      </c>
      <c r="N8" s="28"/>
      <c r="O8" s="28" t="b">
        <v>1</v>
      </c>
      <c r="P8" s="28" t="b">
        <f>ISLOGICAL(O8)</f>
        <v>1</v>
      </c>
      <c r="Q8" s="28"/>
      <c r="R8" s="28">
        <v>2</v>
      </c>
      <c r="S8" s="28" t="b">
        <f>ISNUMBER(R8)</f>
        <v>1</v>
      </c>
      <c r="T8" s="28"/>
      <c r="U8" s="28" t="s">
        <v>2</v>
      </c>
      <c r="V8" s="28" t="b">
        <f>ISTEXT(U8)</f>
        <v>1</v>
      </c>
      <c r="W8" s="28"/>
      <c r="X8" s="28">
        <v>10</v>
      </c>
      <c r="Y8" s="28" t="b">
        <f>ISEVEN(X8)</f>
        <v>1</v>
      </c>
      <c r="Z8" s="28" t="b">
        <f>ISODD(X8)</f>
        <v>0</v>
      </c>
      <c r="AA8" s="28"/>
      <c r="AB8" s="28">
        <v>10</v>
      </c>
      <c r="AC8" s="28" t="str">
        <f>IF(AB8&gt;5,"Nagyobb","Kisebb")</f>
        <v>Nagyobb</v>
      </c>
    </row>
    <row r="9" spans="1:33" ht="15.75" thickBot="1" x14ac:dyDescent="0.3">
      <c r="A9" s="31" t="b">
        <v>0</v>
      </c>
      <c r="B9" s="31" t="b">
        <v>1</v>
      </c>
      <c r="C9" s="31" t="b">
        <f t="shared" ref="C9:C11" si="0">AND(A9:B9)</f>
        <v>0</v>
      </c>
      <c r="D9" s="21"/>
      <c r="E9" s="31" t="b">
        <v>0</v>
      </c>
      <c r="F9" s="31" t="b">
        <v>1</v>
      </c>
      <c r="G9" s="31" t="b">
        <f t="shared" ref="G9:G11" si="1">OR(E9:F9)</f>
        <v>1</v>
      </c>
      <c r="H9" s="21"/>
      <c r="I9" s="29" t="b">
        <v>0</v>
      </c>
      <c r="J9" s="28" t="b">
        <f>NOT(I9)</f>
        <v>1</v>
      </c>
      <c r="L9" s="28" t="s">
        <v>2</v>
      </c>
      <c r="M9" s="28" t="b">
        <f t="shared" ref="M9:M11" si="2">ISBLANK(L9)</f>
        <v>0</v>
      </c>
      <c r="N9" s="28"/>
      <c r="O9" s="29" t="s">
        <v>2</v>
      </c>
      <c r="P9" s="28" t="b">
        <f>ISLOGICAL(O9)</f>
        <v>0</v>
      </c>
      <c r="Q9" s="28"/>
      <c r="R9" s="28">
        <v>3.14</v>
      </c>
      <c r="S9" s="28" t="b">
        <f t="shared" ref="S9:S12" si="3">ISNUMBER(R9)</f>
        <v>1</v>
      </c>
      <c r="T9" s="28"/>
      <c r="U9" s="28" t="str">
        <f>""</f>
        <v/>
      </c>
      <c r="V9" s="28" t="b">
        <f>ISTEXT(U9)</f>
        <v>1</v>
      </c>
      <c r="W9" s="28"/>
      <c r="X9" s="28">
        <v>11</v>
      </c>
      <c r="Y9" s="28" t="b">
        <f t="shared" ref="Y9:Y11" si="4">ISEVEN(X9)</f>
        <v>0</v>
      </c>
      <c r="Z9" s="28" t="b">
        <f t="shared" ref="Z9:Z11" si="5">ISODD(X9)</f>
        <v>1</v>
      </c>
      <c r="AA9" s="28"/>
      <c r="AB9" s="28">
        <v>3</v>
      </c>
      <c r="AC9" s="28" t="str">
        <f>IF(AB9&gt;5,"Nagyobb","Kisebb")</f>
        <v>Kisebb</v>
      </c>
    </row>
    <row r="10" spans="1:33" ht="16.5" thickTop="1" thickBot="1" x14ac:dyDescent="0.3">
      <c r="A10" s="28" t="b">
        <v>1</v>
      </c>
      <c r="B10" s="28" t="b">
        <v>0</v>
      </c>
      <c r="C10" s="31" t="b">
        <f t="shared" si="0"/>
        <v>0</v>
      </c>
      <c r="E10" s="28" t="b">
        <v>1</v>
      </c>
      <c r="F10" s="28" t="b">
        <v>0</v>
      </c>
      <c r="G10" s="31" t="b">
        <f t="shared" si="1"/>
        <v>1</v>
      </c>
      <c r="L10" s="28">
        <v>0</v>
      </c>
      <c r="M10" s="28" t="b">
        <f t="shared" si="2"/>
        <v>0</v>
      </c>
      <c r="N10" s="28"/>
      <c r="O10" s="28"/>
      <c r="P10" s="28"/>
      <c r="Q10" s="28"/>
      <c r="R10" s="32">
        <v>10</v>
      </c>
      <c r="S10" s="28" t="b">
        <f t="shared" si="3"/>
        <v>1</v>
      </c>
      <c r="T10" s="28"/>
      <c r="U10" s="29">
        <v>10</v>
      </c>
      <c r="V10" s="28" t="b">
        <f>ISTEXT(U10)</f>
        <v>0</v>
      </c>
      <c r="W10" s="28"/>
      <c r="X10" s="28">
        <v>12</v>
      </c>
      <c r="Y10" s="28" t="b">
        <f t="shared" si="4"/>
        <v>1</v>
      </c>
      <c r="Z10" s="28" t="b">
        <f t="shared" si="5"/>
        <v>0</v>
      </c>
      <c r="AA10" s="28"/>
      <c r="AB10" s="28"/>
      <c r="AC10" s="28"/>
    </row>
    <row r="11" spans="1:33" ht="16.5" thickTop="1" thickBot="1" x14ac:dyDescent="0.3">
      <c r="A11" s="29" t="b">
        <v>1</v>
      </c>
      <c r="B11" s="29" t="b">
        <v>1</v>
      </c>
      <c r="C11" s="31" t="b">
        <f t="shared" si="0"/>
        <v>1</v>
      </c>
      <c r="E11" s="29" t="b">
        <v>1</v>
      </c>
      <c r="F11" s="29" t="b">
        <v>1</v>
      </c>
      <c r="G11" s="31" t="b">
        <f t="shared" si="1"/>
        <v>1</v>
      </c>
      <c r="L11" s="29" t="str">
        <f>""</f>
        <v/>
      </c>
      <c r="M11" s="28" t="b">
        <f t="shared" si="2"/>
        <v>0</v>
      </c>
      <c r="N11" s="28"/>
      <c r="O11" s="28"/>
      <c r="P11" s="28"/>
      <c r="Q11" s="28"/>
      <c r="R11" s="33">
        <v>1E-4</v>
      </c>
      <c r="S11" s="28" t="b">
        <f t="shared" si="3"/>
        <v>1</v>
      </c>
      <c r="T11" s="28"/>
      <c r="U11" s="28"/>
      <c r="V11" s="28"/>
      <c r="W11" s="28"/>
      <c r="X11" s="29">
        <v>13</v>
      </c>
      <c r="Y11" s="28" t="b">
        <f t="shared" si="4"/>
        <v>0</v>
      </c>
      <c r="Z11" s="28" t="b">
        <f t="shared" si="5"/>
        <v>1</v>
      </c>
      <c r="AA11" s="28"/>
      <c r="AB11" s="29">
        <v>10</v>
      </c>
      <c r="AC11" s="29" t="str">
        <f>IF(AND(AB11&gt;9,AB11&lt;15),"A cella értéke 10 és 14 között van","A cella értéke NEM 10 és 14 között van")</f>
        <v>A cella értéke 10 és 14 között van</v>
      </c>
      <c r="AD11" t="s">
        <v>286</v>
      </c>
    </row>
    <row r="12" spans="1:33" ht="16.5" thickTop="1" thickBot="1" x14ac:dyDescent="0.3">
      <c r="L12" s="28"/>
      <c r="M12" s="28"/>
      <c r="N12" s="28"/>
      <c r="O12" s="28"/>
      <c r="P12" s="28"/>
      <c r="Q12" s="28"/>
      <c r="R12" s="29" t="s">
        <v>2</v>
      </c>
      <c r="S12" s="28" t="b">
        <f t="shared" si="3"/>
        <v>0</v>
      </c>
      <c r="T12" s="28"/>
      <c r="U12" s="28"/>
      <c r="V12" s="28"/>
      <c r="W12" s="28"/>
      <c r="X12" s="28"/>
      <c r="Y12" s="28"/>
      <c r="Z12" s="28"/>
      <c r="AA12" s="28"/>
      <c r="AB12" s="28"/>
      <c r="AC12" s="28"/>
    </row>
    <row r="13" spans="1:33" ht="15.75" thickTop="1" x14ac:dyDescent="0.25">
      <c r="C13" s="31"/>
    </row>
    <row r="16" spans="1:33" ht="35.1" customHeight="1" x14ac:dyDescent="0.25">
      <c r="A16" s="105" t="s">
        <v>39</v>
      </c>
      <c r="B16" s="105"/>
      <c r="C16" s="105"/>
      <c r="D16" s="105"/>
      <c r="E16" s="105"/>
      <c r="F16" s="105"/>
      <c r="G16" s="105"/>
    </row>
    <row r="17" spans="1:18" ht="30" customHeight="1" x14ac:dyDescent="0.25">
      <c r="A17" s="110" t="s">
        <v>40</v>
      </c>
      <c r="B17" s="110"/>
      <c r="C17" s="110"/>
      <c r="D17" s="110"/>
      <c r="E17" s="110"/>
      <c r="F17" s="110"/>
      <c r="G17" s="110"/>
    </row>
    <row r="19" spans="1:18" s="26" customFormat="1" ht="24.95" customHeight="1" x14ac:dyDescent="0.25">
      <c r="A19" s="112" t="s">
        <v>41</v>
      </c>
      <c r="B19" s="112"/>
      <c r="C19" s="112"/>
      <c r="D19" s="112"/>
      <c r="E19" s="112"/>
      <c r="F19" s="112"/>
      <c r="G19" s="112"/>
    </row>
    <row r="20" spans="1:18" s="25" customFormat="1" ht="30" customHeight="1" x14ac:dyDescent="0.25">
      <c r="A20" s="110" t="s">
        <v>43</v>
      </c>
      <c r="B20" s="110"/>
      <c r="C20" s="110"/>
      <c r="D20" s="110"/>
      <c r="E20" s="110"/>
      <c r="F20" s="110"/>
      <c r="G20" s="110"/>
    </row>
    <row r="21" spans="1:18" x14ac:dyDescent="0.25">
      <c r="A21" s="18"/>
      <c r="B21" s="18"/>
      <c r="C21" s="18"/>
      <c r="D21" s="18"/>
      <c r="E21" s="18"/>
      <c r="F21" s="18"/>
      <c r="G21" s="18"/>
    </row>
    <row r="22" spans="1:18" x14ac:dyDescent="0.25">
      <c r="A22" s="27" t="s">
        <v>42</v>
      </c>
      <c r="B22" s="107" t="s">
        <v>38</v>
      </c>
      <c r="C22" s="107"/>
    </row>
    <row r="23" spans="1:18" x14ac:dyDescent="0.25">
      <c r="A23" s="28">
        <v>10</v>
      </c>
      <c r="B23" s="28">
        <f>IF(ISEVEN(A23),A23,A23+1)</f>
        <v>10</v>
      </c>
      <c r="C23" s="28">
        <f>EVEN(A23)</f>
        <v>10</v>
      </c>
      <c r="Q23" s="21"/>
      <c r="R23" s="21"/>
    </row>
    <row r="24" spans="1:18" x14ac:dyDescent="0.25">
      <c r="A24" s="28">
        <v>11</v>
      </c>
      <c r="B24" s="28">
        <f t="shared" ref="B24:B28" si="6">IF(ISEVEN(A24),A24,A24+1)</f>
        <v>12</v>
      </c>
      <c r="C24" s="28">
        <f t="shared" ref="C24:C28" si="7">EVEN(A24)</f>
        <v>12</v>
      </c>
      <c r="Q24" s="21"/>
      <c r="R24" s="21"/>
    </row>
    <row r="25" spans="1:18" x14ac:dyDescent="0.25">
      <c r="A25" s="28">
        <v>12</v>
      </c>
      <c r="B25" s="28">
        <f t="shared" si="6"/>
        <v>12</v>
      </c>
      <c r="C25" s="28">
        <f t="shared" si="7"/>
        <v>12</v>
      </c>
    </row>
    <row r="26" spans="1:18" x14ac:dyDescent="0.25">
      <c r="A26" s="28">
        <v>13</v>
      </c>
      <c r="B26" s="28">
        <f t="shared" si="6"/>
        <v>14</v>
      </c>
      <c r="C26" s="28">
        <f t="shared" si="7"/>
        <v>14</v>
      </c>
    </row>
    <row r="27" spans="1:18" x14ac:dyDescent="0.25">
      <c r="A27" s="28">
        <v>14</v>
      </c>
      <c r="B27" s="28">
        <f t="shared" si="6"/>
        <v>14</v>
      </c>
      <c r="C27" s="28">
        <f t="shared" si="7"/>
        <v>14</v>
      </c>
    </row>
    <row r="28" spans="1:18" ht="15.75" thickBot="1" x14ac:dyDescent="0.3">
      <c r="A28" s="29">
        <v>15</v>
      </c>
      <c r="B28" s="28">
        <f t="shared" si="6"/>
        <v>16</v>
      </c>
      <c r="C28" s="28">
        <f t="shared" si="7"/>
        <v>16</v>
      </c>
    </row>
    <row r="29" spans="1:18" ht="15.75" thickTop="1" x14ac:dyDescent="0.25"/>
    <row r="30" spans="1:18" s="1" customFormat="1" ht="24.95" customHeight="1" x14ac:dyDescent="0.25">
      <c r="A30" s="112" t="s">
        <v>44</v>
      </c>
      <c r="B30" s="112"/>
      <c r="C30" s="112"/>
      <c r="D30" s="112"/>
      <c r="E30" s="112"/>
      <c r="F30" s="112"/>
      <c r="G30" s="112"/>
    </row>
    <row r="31" spans="1:18" s="25" customFormat="1" ht="60" customHeight="1" x14ac:dyDescent="0.25">
      <c r="A31" s="110" t="s">
        <v>48</v>
      </c>
      <c r="B31" s="110"/>
      <c r="C31" s="110"/>
      <c r="D31" s="110"/>
      <c r="E31" s="110"/>
      <c r="F31" s="110"/>
      <c r="G31" s="110"/>
    </row>
    <row r="32" spans="1:18" x14ac:dyDescent="0.25">
      <c r="A32" s="18"/>
      <c r="B32" s="18"/>
      <c r="C32" s="18"/>
      <c r="D32" s="18"/>
      <c r="E32" s="18"/>
      <c r="F32" s="18"/>
      <c r="G32" s="18"/>
    </row>
    <row r="33" spans="1:7" x14ac:dyDescent="0.25">
      <c r="A33" s="111" t="s">
        <v>42</v>
      </c>
      <c r="B33" s="111"/>
      <c r="C33" s="30" t="s">
        <v>38</v>
      </c>
    </row>
    <row r="34" spans="1:7" x14ac:dyDescent="0.25">
      <c r="A34" s="28" t="s">
        <v>49</v>
      </c>
      <c r="B34" s="28">
        <v>854</v>
      </c>
      <c r="C34" s="28" t="str">
        <f>IF(B34&gt;1000,"Kirándulás",IF(B34=1000, "Spéci","Semmi"))</f>
        <v>Semmi</v>
      </c>
    </row>
    <row r="35" spans="1:7" x14ac:dyDescent="0.25">
      <c r="A35" s="28" t="s">
        <v>50</v>
      </c>
      <c r="B35" s="28">
        <v>1000</v>
      </c>
      <c r="C35" s="28" t="str">
        <f t="shared" ref="C35:C39" si="8">IF(B35&gt;1000,"Kirándulás",IF(B35=1000, "Spéci","Semmi"))</f>
        <v>Spéci</v>
      </c>
    </row>
    <row r="36" spans="1:7" x14ac:dyDescent="0.25">
      <c r="A36" s="28" t="s">
        <v>51</v>
      </c>
      <c r="B36" s="28">
        <v>1502</v>
      </c>
      <c r="C36" s="28" t="str">
        <f t="shared" si="8"/>
        <v>Kirándulás</v>
      </c>
    </row>
    <row r="37" spans="1:7" x14ac:dyDescent="0.25">
      <c r="A37" s="28" t="s">
        <v>52</v>
      </c>
      <c r="B37" s="28">
        <v>980</v>
      </c>
      <c r="C37" s="28" t="str">
        <f t="shared" si="8"/>
        <v>Semmi</v>
      </c>
    </row>
    <row r="38" spans="1:7" x14ac:dyDescent="0.25">
      <c r="A38" s="28" t="s">
        <v>53</v>
      </c>
      <c r="B38" s="28">
        <v>1204</v>
      </c>
      <c r="C38" s="28" t="str">
        <f t="shared" si="8"/>
        <v>Kirándulás</v>
      </c>
    </row>
    <row r="39" spans="1:7" ht="15.75" thickBot="1" x14ac:dyDescent="0.3">
      <c r="A39" s="29" t="s">
        <v>54</v>
      </c>
      <c r="B39" s="29">
        <v>603</v>
      </c>
      <c r="C39" s="28" t="str">
        <f t="shared" si="8"/>
        <v>Semmi</v>
      </c>
    </row>
    <row r="40" spans="1:7" ht="15.75" thickTop="1" x14ac:dyDescent="0.25"/>
    <row r="41" spans="1:7" ht="24.95" customHeight="1" x14ac:dyDescent="0.25">
      <c r="A41" s="112" t="s">
        <v>45</v>
      </c>
      <c r="B41" s="112"/>
      <c r="C41" s="112"/>
      <c r="D41" s="112"/>
      <c r="E41" s="112"/>
      <c r="F41" s="112"/>
      <c r="G41" s="112"/>
    </row>
    <row r="42" spans="1:7" s="25" customFormat="1" ht="75" customHeight="1" x14ac:dyDescent="0.25">
      <c r="A42" s="110" t="s">
        <v>81</v>
      </c>
      <c r="B42" s="110"/>
      <c r="C42" s="110"/>
      <c r="D42" s="110"/>
      <c r="E42" s="110"/>
      <c r="F42" s="110"/>
      <c r="G42" s="110"/>
    </row>
    <row r="43" spans="1:7" x14ac:dyDescent="0.25">
      <c r="A43" s="18"/>
      <c r="B43" s="18"/>
      <c r="C43" s="18"/>
      <c r="D43" s="18"/>
      <c r="E43" s="18"/>
      <c r="F43" s="18"/>
      <c r="G43" s="18"/>
    </row>
    <row r="44" spans="1:7" x14ac:dyDescent="0.25">
      <c r="A44" s="111" t="s">
        <v>42</v>
      </c>
      <c r="B44" s="111"/>
      <c r="C44" s="30" t="s">
        <v>38</v>
      </c>
    </row>
    <row r="45" spans="1:7" x14ac:dyDescent="0.25">
      <c r="A45" s="28" t="s">
        <v>56</v>
      </c>
      <c r="B45" s="28"/>
      <c r="C45" s="28" t="str">
        <f>IF(ISBLANK(B45),"nincs eredmény",IF(ISNUMBER(B45),"dobogós","befejezte"))</f>
        <v>nincs eredmény</v>
      </c>
    </row>
    <row r="46" spans="1:7" x14ac:dyDescent="0.25">
      <c r="A46" s="28" t="s">
        <v>57</v>
      </c>
      <c r="B46" s="28">
        <v>1</v>
      </c>
      <c r="C46" s="28" t="str">
        <f t="shared" ref="C46:C52" si="9">IF(ISBLANK(B46),"nincs eredmény",IF(ISNUMBER(B46),"dobogós","befejezte"))</f>
        <v>dobogós</v>
      </c>
    </row>
    <row r="47" spans="1:7" x14ac:dyDescent="0.25">
      <c r="A47" s="28" t="s">
        <v>58</v>
      </c>
      <c r="B47" s="28">
        <v>2</v>
      </c>
      <c r="C47" s="28" t="str">
        <f t="shared" si="9"/>
        <v>dobogós</v>
      </c>
    </row>
    <row r="48" spans="1:7" x14ac:dyDescent="0.25">
      <c r="A48" s="28" t="s">
        <v>59</v>
      </c>
      <c r="B48" s="28" t="s">
        <v>60</v>
      </c>
      <c r="C48" s="28" t="str">
        <f t="shared" si="9"/>
        <v>befejezte</v>
      </c>
    </row>
    <row r="49" spans="1:7" x14ac:dyDescent="0.25">
      <c r="A49" s="28" t="s">
        <v>61</v>
      </c>
      <c r="B49" s="28" t="s">
        <v>65</v>
      </c>
      <c r="C49" s="28" t="str">
        <f t="shared" si="9"/>
        <v>befejezte</v>
      </c>
    </row>
    <row r="50" spans="1:7" x14ac:dyDescent="0.25">
      <c r="A50" s="28" t="s">
        <v>64</v>
      </c>
      <c r="B50" s="28"/>
      <c r="C50" s="28" t="str">
        <f t="shared" si="9"/>
        <v>nincs eredmény</v>
      </c>
    </row>
    <row r="51" spans="1:7" x14ac:dyDescent="0.25">
      <c r="A51" s="28" t="s">
        <v>63</v>
      </c>
      <c r="B51" s="28">
        <v>3</v>
      </c>
      <c r="C51" s="28" t="str">
        <f t="shared" si="9"/>
        <v>dobogós</v>
      </c>
    </row>
    <row r="52" spans="1:7" ht="15.75" thickBot="1" x14ac:dyDescent="0.3">
      <c r="A52" s="29" t="s">
        <v>62</v>
      </c>
      <c r="B52" s="29" t="s">
        <v>66</v>
      </c>
      <c r="C52" s="28" t="str">
        <f t="shared" si="9"/>
        <v>befejezte</v>
      </c>
    </row>
    <row r="53" spans="1:7" ht="15.75" thickTop="1" x14ac:dyDescent="0.25"/>
    <row r="54" spans="1:7" ht="24.95" customHeight="1" x14ac:dyDescent="0.25">
      <c r="A54" s="112" t="s">
        <v>47</v>
      </c>
      <c r="B54" s="112"/>
      <c r="C54" s="112"/>
      <c r="D54" s="112"/>
      <c r="E54" s="112"/>
      <c r="F54" s="112"/>
      <c r="G54" s="112"/>
    </row>
    <row r="55" spans="1:7" s="20" customFormat="1" ht="45" customHeight="1" x14ac:dyDescent="0.25">
      <c r="A55" s="110" t="s">
        <v>67</v>
      </c>
      <c r="B55" s="110"/>
      <c r="C55" s="110"/>
      <c r="D55" s="110"/>
      <c r="E55" s="110"/>
      <c r="F55" s="110"/>
      <c r="G55" s="110"/>
    </row>
    <row r="56" spans="1:7" x14ac:dyDescent="0.25">
      <c r="A56" s="18"/>
      <c r="B56" s="18"/>
      <c r="C56" s="18"/>
      <c r="D56" s="18"/>
      <c r="E56" s="18"/>
      <c r="F56" s="18"/>
      <c r="G56" s="18"/>
    </row>
    <row r="57" spans="1:7" x14ac:dyDescent="0.25">
      <c r="A57" s="111" t="s">
        <v>42</v>
      </c>
      <c r="B57" s="111"/>
      <c r="C57" s="30" t="s">
        <v>38</v>
      </c>
    </row>
    <row r="58" spans="1:7" x14ac:dyDescent="0.25">
      <c r="A58" s="28" t="s">
        <v>68</v>
      </c>
      <c r="B58" s="28">
        <v>30</v>
      </c>
      <c r="C58" s="28">
        <f>IF(B58&gt;=90,5,IF(AND(B58&gt;=80,B58&lt;=89),4,IF(AND(B58&gt;=70,B58&lt;=79),3,IF(AND(B58&gt;=40,B58&lt;=69),2,1))))</f>
        <v>1</v>
      </c>
    </row>
    <row r="59" spans="1:7" x14ac:dyDescent="0.25">
      <c r="A59" s="28" t="s">
        <v>69</v>
      </c>
      <c r="B59" s="28">
        <v>96</v>
      </c>
      <c r="C59" s="28">
        <f t="shared" ref="C59:C67" si="10">IF(B59&gt;=90,5,IF(AND(B59&gt;=80,B59&lt;=89),4,IF(AND(B59&gt;=70,B59&lt;=79),3,IF(AND(B59&gt;=40,B59&lt;=69),2,1))))</f>
        <v>5</v>
      </c>
    </row>
    <row r="60" spans="1:7" x14ac:dyDescent="0.25">
      <c r="A60" s="28" t="s">
        <v>63</v>
      </c>
      <c r="B60" s="28">
        <v>90</v>
      </c>
      <c r="C60" s="28">
        <f t="shared" si="10"/>
        <v>5</v>
      </c>
    </row>
    <row r="61" spans="1:7" x14ac:dyDescent="0.25">
      <c r="A61" s="28" t="s">
        <v>70</v>
      </c>
      <c r="B61" s="28">
        <v>83</v>
      </c>
      <c r="C61" s="28">
        <f t="shared" si="10"/>
        <v>4</v>
      </c>
    </row>
    <row r="62" spans="1:7" x14ac:dyDescent="0.25">
      <c r="A62" s="28" t="s">
        <v>71</v>
      </c>
      <c r="B62" s="28">
        <v>93</v>
      </c>
      <c r="C62" s="28">
        <f t="shared" si="10"/>
        <v>5</v>
      </c>
    </row>
    <row r="63" spans="1:7" x14ac:dyDescent="0.25">
      <c r="A63" s="28" t="s">
        <v>72</v>
      </c>
      <c r="B63" s="28">
        <v>63</v>
      </c>
      <c r="C63" s="28">
        <f t="shared" si="10"/>
        <v>2</v>
      </c>
    </row>
    <row r="64" spans="1:7" x14ac:dyDescent="0.25">
      <c r="A64" s="28" t="s">
        <v>73</v>
      </c>
      <c r="B64" s="28">
        <v>84</v>
      </c>
      <c r="C64" s="28">
        <f t="shared" si="10"/>
        <v>4</v>
      </c>
    </row>
    <row r="65" spans="1:7" x14ac:dyDescent="0.25">
      <c r="A65" s="28" t="s">
        <v>74</v>
      </c>
      <c r="B65" s="28">
        <v>45</v>
      </c>
      <c r="C65" s="28">
        <f t="shared" si="10"/>
        <v>2</v>
      </c>
    </row>
    <row r="66" spans="1:7" x14ac:dyDescent="0.25">
      <c r="A66" s="28" t="s">
        <v>75</v>
      </c>
      <c r="B66" s="28">
        <v>89</v>
      </c>
      <c r="C66" s="28">
        <f t="shared" si="10"/>
        <v>4</v>
      </c>
    </row>
    <row r="67" spans="1:7" ht="15.75" thickBot="1" x14ac:dyDescent="0.3">
      <c r="A67" s="29" t="s">
        <v>76</v>
      </c>
      <c r="B67" s="29">
        <v>78</v>
      </c>
      <c r="C67" s="28">
        <f t="shared" si="10"/>
        <v>3</v>
      </c>
    </row>
    <row r="68" spans="1:7" ht="15.75" thickTop="1" x14ac:dyDescent="0.25"/>
    <row r="69" spans="1:7" s="1" customFormat="1" ht="24.95" customHeight="1" x14ac:dyDescent="0.25">
      <c r="A69" s="112" t="s">
        <v>55</v>
      </c>
      <c r="B69" s="112"/>
      <c r="C69" s="112"/>
      <c r="D69" s="112"/>
      <c r="E69" s="112"/>
      <c r="F69" s="112"/>
      <c r="G69" s="112"/>
    </row>
    <row r="70" spans="1:7" s="20" customFormat="1" ht="30" customHeight="1" x14ac:dyDescent="0.25">
      <c r="A70" s="110" t="s">
        <v>287</v>
      </c>
      <c r="B70" s="110"/>
      <c r="C70" s="110"/>
      <c r="D70" s="110"/>
      <c r="E70" s="110"/>
      <c r="F70" s="110"/>
      <c r="G70" s="110"/>
    </row>
    <row r="71" spans="1:7" x14ac:dyDescent="0.25">
      <c r="A71" s="18"/>
      <c r="B71" s="18"/>
      <c r="C71" s="18"/>
      <c r="D71" s="18"/>
      <c r="E71" s="18"/>
      <c r="F71" s="18"/>
      <c r="G71" s="18"/>
    </row>
    <row r="72" spans="1:7" x14ac:dyDescent="0.25">
      <c r="A72" s="111" t="s">
        <v>42</v>
      </c>
      <c r="B72" s="111"/>
      <c r="C72" s="30" t="s">
        <v>38</v>
      </c>
    </row>
    <row r="73" spans="1:7" x14ac:dyDescent="0.25">
      <c r="A73" s="31" t="b">
        <v>0</v>
      </c>
      <c r="B73" s="31" t="b">
        <v>0</v>
      </c>
      <c r="C73" s="28" t="b">
        <f>OR(AND(A73,NOT(B73)),AND(NOT(A73),B73))</f>
        <v>0</v>
      </c>
      <c r="E73" t="b">
        <f>_xlfn.XOR(A73,B73)</f>
        <v>0</v>
      </c>
    </row>
    <row r="74" spans="1:7" x14ac:dyDescent="0.25">
      <c r="A74" s="31" t="b">
        <v>0</v>
      </c>
      <c r="B74" s="31" t="b">
        <v>1</v>
      </c>
      <c r="C74" s="28" t="b">
        <f t="shared" ref="C74:C76" si="11">OR(AND(A74,NOT(B74)),AND(NOT(A74),B74))</f>
        <v>1</v>
      </c>
      <c r="E74" t="b">
        <f t="shared" ref="E74:E76" si="12">_xlfn.XOR(A74,B74)</f>
        <v>1</v>
      </c>
    </row>
    <row r="75" spans="1:7" x14ac:dyDescent="0.25">
      <c r="A75" s="28" t="b">
        <v>1</v>
      </c>
      <c r="B75" s="28" t="b">
        <v>0</v>
      </c>
      <c r="C75" s="28" t="b">
        <f t="shared" si="11"/>
        <v>1</v>
      </c>
      <c r="E75" t="b">
        <f t="shared" si="12"/>
        <v>1</v>
      </c>
    </row>
    <row r="76" spans="1:7" ht="15.75" thickBot="1" x14ac:dyDescent="0.3">
      <c r="A76" s="29" t="b">
        <v>1</v>
      </c>
      <c r="B76" s="29" t="b">
        <v>1</v>
      </c>
      <c r="C76" s="28" t="b">
        <f t="shared" si="11"/>
        <v>0</v>
      </c>
      <c r="E76" t="b">
        <f t="shared" si="12"/>
        <v>0</v>
      </c>
    </row>
    <row r="77" spans="1:7" ht="15.75" thickTop="1" x14ac:dyDescent="0.25"/>
    <row r="78" spans="1:7" ht="24.95" customHeight="1" x14ac:dyDescent="0.25">
      <c r="A78" s="112" t="s">
        <v>77</v>
      </c>
      <c r="B78" s="112"/>
      <c r="C78" s="112"/>
      <c r="D78" s="112"/>
      <c r="E78" s="112"/>
      <c r="F78" s="112"/>
      <c r="G78" s="112"/>
    </row>
    <row r="79" spans="1:7" ht="45" customHeight="1" x14ac:dyDescent="0.25">
      <c r="A79" s="110" t="s">
        <v>46</v>
      </c>
      <c r="B79" s="110"/>
      <c r="C79" s="110"/>
      <c r="D79" s="110"/>
      <c r="E79" s="110"/>
      <c r="F79" s="110"/>
      <c r="G79" s="110"/>
    </row>
    <row r="80" spans="1:7" x14ac:dyDescent="0.25">
      <c r="A80" s="18"/>
      <c r="B80" s="18"/>
      <c r="C80" s="18"/>
      <c r="D80" s="18"/>
      <c r="E80" s="18"/>
      <c r="F80" s="18"/>
      <c r="G80" s="18"/>
    </row>
    <row r="81" spans="1:5" x14ac:dyDescent="0.25">
      <c r="A81" s="111" t="s">
        <v>42</v>
      </c>
      <c r="B81" s="111"/>
      <c r="C81" s="30" t="s">
        <v>38</v>
      </c>
    </row>
    <row r="82" spans="1:5" x14ac:dyDescent="0.25">
      <c r="A82" s="31" t="b">
        <v>0</v>
      </c>
      <c r="B82" s="31" t="b">
        <v>0</v>
      </c>
      <c r="C82" s="28" t="b">
        <f>NOT(OR(AND(A82,NOT(B82)),AND(NOT(A82),B82)))</f>
        <v>1</v>
      </c>
      <c r="E82" t="b">
        <f>NOT(_xlfn.XOR(A73,B73))</f>
        <v>1</v>
      </c>
    </row>
    <row r="83" spans="1:5" x14ac:dyDescent="0.25">
      <c r="A83" s="31" t="b">
        <v>0</v>
      </c>
      <c r="B83" s="31" t="b">
        <v>1</v>
      </c>
      <c r="C83" s="28" t="b">
        <f t="shared" ref="C83:C85" si="13">NOT(OR(AND(A83,NOT(B83)),AND(NOT(A83),B83)))</f>
        <v>0</v>
      </c>
      <c r="E83" t="b">
        <f t="shared" ref="E83:E85" si="14">NOT(_xlfn.XOR(A74,B74))</f>
        <v>0</v>
      </c>
    </row>
    <row r="84" spans="1:5" x14ac:dyDescent="0.25">
      <c r="A84" s="28" t="b">
        <v>1</v>
      </c>
      <c r="B84" s="28" t="b">
        <v>0</v>
      </c>
      <c r="C84" s="28" t="b">
        <f t="shared" si="13"/>
        <v>0</v>
      </c>
      <c r="E84" t="b">
        <f t="shared" si="14"/>
        <v>0</v>
      </c>
    </row>
    <row r="85" spans="1:5" ht="15.75" thickBot="1" x14ac:dyDescent="0.3">
      <c r="A85" s="29" t="b">
        <v>1</v>
      </c>
      <c r="B85" s="29" t="b">
        <v>1</v>
      </c>
      <c r="C85" s="28" t="b">
        <f t="shared" si="13"/>
        <v>1</v>
      </c>
      <c r="E85" t="b">
        <f t="shared" si="14"/>
        <v>1</v>
      </c>
    </row>
    <row r="86" spans="1:5" ht="15.75" thickTop="1" x14ac:dyDescent="0.25"/>
  </sheetData>
  <mergeCells count="43">
    <mergeCell ref="A81:B81"/>
    <mergeCell ref="A17:G17"/>
    <mergeCell ref="A16:G16"/>
    <mergeCell ref="A19:G19"/>
    <mergeCell ref="A30:G30"/>
    <mergeCell ref="A41:G41"/>
    <mergeCell ref="A54:G54"/>
    <mergeCell ref="A69:G69"/>
    <mergeCell ref="A78:G78"/>
    <mergeCell ref="A79:G79"/>
    <mergeCell ref="B22:C22"/>
    <mergeCell ref="A33:B33"/>
    <mergeCell ref="A44:B44"/>
    <mergeCell ref="A57:B57"/>
    <mergeCell ref="A72:B72"/>
    <mergeCell ref="A20:G20"/>
    <mergeCell ref="A31:G31"/>
    <mergeCell ref="A42:G42"/>
    <mergeCell ref="A55:G55"/>
    <mergeCell ref="A70:G70"/>
    <mergeCell ref="A7:B7"/>
    <mergeCell ref="E7:F7"/>
    <mergeCell ref="Y7:Z7"/>
    <mergeCell ref="A1:C1"/>
    <mergeCell ref="R5:S5"/>
    <mergeCell ref="U5:V5"/>
    <mergeCell ref="X5:Z5"/>
    <mergeCell ref="AB5:AG5"/>
    <mergeCell ref="X6:Z6"/>
    <mergeCell ref="AB6:AG6"/>
    <mergeCell ref="A4:AG4"/>
    <mergeCell ref="A5:C5"/>
    <mergeCell ref="E5:G5"/>
    <mergeCell ref="I5:J5"/>
    <mergeCell ref="L5:M5"/>
    <mergeCell ref="O5:P5"/>
    <mergeCell ref="A6:C6"/>
    <mergeCell ref="E6:G6"/>
    <mergeCell ref="I6:J6"/>
    <mergeCell ref="L6:M6"/>
    <mergeCell ref="O6:P6"/>
    <mergeCell ref="R6:S6"/>
    <mergeCell ref="U6:V6"/>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D950-593A-48DD-ABCF-66B2D91195BF}">
  <dimension ref="A1:W169"/>
  <sheetViews>
    <sheetView topLeftCell="A55" zoomScale="120" zoomScaleNormal="120" workbookViewId="0">
      <selection activeCell="B169" sqref="B169"/>
    </sheetView>
  </sheetViews>
  <sheetFormatPr defaultRowHeight="15" x14ac:dyDescent="0.25"/>
  <cols>
    <col min="1" max="1" width="14.7109375" customWidth="1"/>
    <col min="2" max="2" width="17.140625" customWidth="1"/>
    <col min="3" max="3" width="13.28515625" customWidth="1"/>
    <col min="4" max="4" width="6.7109375" customWidth="1"/>
    <col min="5" max="5" width="13.28515625" customWidth="1"/>
    <col min="6" max="6" width="18.85546875" customWidth="1"/>
    <col min="7" max="7" width="13.28515625" customWidth="1"/>
    <col min="8" max="8" width="6.7109375" customWidth="1"/>
    <col min="9" max="11" width="13.28515625" customWidth="1"/>
    <col min="12" max="12" width="6.7109375" customWidth="1"/>
    <col min="13" max="15" width="13.28515625" customWidth="1"/>
    <col min="16" max="16" width="6.7109375" customWidth="1"/>
    <col min="17" max="19" width="13.28515625" customWidth="1"/>
    <col min="20" max="20" width="6.7109375" customWidth="1"/>
    <col min="21" max="23" width="13.28515625" customWidth="1"/>
    <col min="24" max="24" width="6.7109375" customWidth="1"/>
  </cols>
  <sheetData>
    <row r="1" spans="1:23" ht="35.1" customHeight="1" x14ac:dyDescent="0.25">
      <c r="A1" s="105" t="s">
        <v>119</v>
      </c>
      <c r="B1" s="105"/>
      <c r="C1" s="105"/>
    </row>
    <row r="2" spans="1:23" x14ac:dyDescent="0.25">
      <c r="A2">
        <v>1</v>
      </c>
      <c r="B2">
        <v>3.14</v>
      </c>
      <c r="C2" s="42">
        <v>1E-3</v>
      </c>
      <c r="E2" t="s">
        <v>133</v>
      </c>
    </row>
    <row r="3" spans="1:23" x14ac:dyDescent="0.25">
      <c r="A3" s="23">
        <v>10</v>
      </c>
      <c r="B3" s="22">
        <v>1.0000000000000001E-5</v>
      </c>
    </row>
    <row r="4" spans="1:23" x14ac:dyDescent="0.25">
      <c r="A4" s="43">
        <v>100</v>
      </c>
      <c r="B4" s="44">
        <v>100</v>
      </c>
    </row>
    <row r="6" spans="1:23" ht="35.1" customHeight="1" x14ac:dyDescent="0.25">
      <c r="A6" s="105" t="s">
        <v>120</v>
      </c>
      <c r="B6" s="105"/>
      <c r="C6" s="105"/>
      <c r="D6" s="105"/>
      <c r="E6" s="105"/>
      <c r="F6" s="105"/>
      <c r="G6" s="105"/>
      <c r="H6" s="105"/>
      <c r="I6" s="105"/>
      <c r="J6" s="105"/>
      <c r="K6" s="105"/>
      <c r="L6" s="105"/>
      <c r="M6" s="105"/>
      <c r="N6" s="105"/>
      <c r="O6" s="105"/>
      <c r="P6" s="105"/>
      <c r="Q6" s="105"/>
      <c r="R6" s="105"/>
      <c r="S6" s="105"/>
      <c r="T6" s="105"/>
      <c r="U6" s="105"/>
      <c r="V6" s="105"/>
      <c r="W6" s="105"/>
    </row>
    <row r="7" spans="1:23" x14ac:dyDescent="0.25">
      <c r="A7" s="117" t="s">
        <v>1</v>
      </c>
      <c r="B7" s="118"/>
      <c r="C7" s="118"/>
      <c r="E7" s="118" t="s">
        <v>9</v>
      </c>
      <c r="F7" s="118"/>
      <c r="G7" s="118"/>
      <c r="I7" s="118" t="s">
        <v>10</v>
      </c>
      <c r="J7" s="118"/>
      <c r="K7" s="118"/>
      <c r="M7" s="118" t="s">
        <v>11</v>
      </c>
      <c r="N7" s="118"/>
      <c r="O7" s="118"/>
    </row>
    <row r="8" spans="1:23" s="25" customFormat="1" ht="30" customHeight="1" x14ac:dyDescent="0.25">
      <c r="A8" s="116" t="s">
        <v>302</v>
      </c>
      <c r="B8" s="116"/>
      <c r="C8" s="116"/>
      <c r="E8" s="116" t="s">
        <v>122</v>
      </c>
      <c r="F8" s="116"/>
      <c r="G8" s="116"/>
      <c r="I8" s="116" t="s">
        <v>123</v>
      </c>
      <c r="J8" s="116"/>
      <c r="K8" s="116"/>
      <c r="M8" s="116" t="s">
        <v>124</v>
      </c>
      <c r="N8" s="116"/>
      <c r="O8" s="116"/>
    </row>
    <row r="9" spans="1:23" x14ac:dyDescent="0.25">
      <c r="A9" s="17" t="s">
        <v>2</v>
      </c>
      <c r="B9">
        <v>150</v>
      </c>
      <c r="E9" s="17" t="s">
        <v>2</v>
      </c>
      <c r="F9">
        <v>150</v>
      </c>
      <c r="I9" s="17" t="s">
        <v>2</v>
      </c>
      <c r="J9">
        <v>150</v>
      </c>
      <c r="M9" s="17" t="s">
        <v>2</v>
      </c>
      <c r="N9">
        <v>150</v>
      </c>
    </row>
    <row r="10" spans="1:23" x14ac:dyDescent="0.25">
      <c r="A10" s="17" t="s">
        <v>3</v>
      </c>
      <c r="B10" s="17" t="s">
        <v>4</v>
      </c>
      <c r="E10" s="17" t="s">
        <v>3</v>
      </c>
      <c r="F10" s="17" t="s">
        <v>4</v>
      </c>
      <c r="I10" s="17" t="s">
        <v>3</v>
      </c>
      <c r="J10" s="17" t="s">
        <v>4</v>
      </c>
      <c r="M10" s="17" t="s">
        <v>3</v>
      </c>
      <c r="N10" s="17" t="s">
        <v>4</v>
      </c>
    </row>
    <row r="11" spans="1:23" x14ac:dyDescent="0.25">
      <c r="A11" s="17" t="s">
        <v>5</v>
      </c>
      <c r="B11" s="17"/>
      <c r="E11" s="17" t="s">
        <v>5</v>
      </c>
      <c r="F11" s="17"/>
      <c r="I11" s="17" t="s">
        <v>5</v>
      </c>
      <c r="J11" s="17"/>
      <c r="M11" s="17" t="s">
        <v>5</v>
      </c>
      <c r="N11" s="17"/>
    </row>
    <row r="12" spans="1:23" x14ac:dyDescent="0.25">
      <c r="A12" s="17" t="s">
        <v>6</v>
      </c>
      <c r="B12" s="17">
        <v>100</v>
      </c>
      <c r="E12" s="17" t="s">
        <v>6</v>
      </c>
      <c r="F12" s="17">
        <v>100</v>
      </c>
      <c r="I12" s="17" t="s">
        <v>6</v>
      </c>
      <c r="J12" s="17">
        <v>100</v>
      </c>
      <c r="M12" s="17" t="s">
        <v>6</v>
      </c>
      <c r="N12" s="17">
        <v>100</v>
      </c>
    </row>
    <row r="13" spans="1:23" x14ac:dyDescent="0.25">
      <c r="A13" s="17" t="s">
        <v>7</v>
      </c>
      <c r="B13" s="17"/>
      <c r="E13" s="17" t="s">
        <v>7</v>
      </c>
      <c r="F13" s="17" t="s">
        <v>4</v>
      </c>
      <c r="I13" s="17" t="s">
        <v>7</v>
      </c>
      <c r="J13" s="17" t="s">
        <v>4</v>
      </c>
      <c r="M13" s="17" t="s">
        <v>7</v>
      </c>
      <c r="N13" s="17" t="s">
        <v>4</v>
      </c>
    </row>
    <row r="14" spans="1:23" x14ac:dyDescent="0.25">
      <c r="A14" s="45" t="s">
        <v>8</v>
      </c>
      <c r="B14">
        <f>COUNT(B9:B13)</f>
        <v>2</v>
      </c>
      <c r="E14" s="45" t="s">
        <v>8</v>
      </c>
      <c r="F14">
        <f>COUNTA(F9:F13)</f>
        <v>4</v>
      </c>
      <c r="I14" s="45" t="s">
        <v>8</v>
      </c>
      <c r="J14">
        <f>COUNTIF(J9:J13,"nincs")</f>
        <v>2</v>
      </c>
      <c r="M14" s="45" t="s">
        <v>8</v>
      </c>
      <c r="N14">
        <f>COUNTBLANK(N9:N13)</f>
        <v>1</v>
      </c>
    </row>
    <row r="15" spans="1:23" x14ac:dyDescent="0.25">
      <c r="I15" s="45" t="s">
        <v>8</v>
      </c>
      <c r="J15">
        <f>COUNTIF(J9:J13,"&gt;100")</f>
        <v>1</v>
      </c>
    </row>
    <row r="17" spans="1:23" x14ac:dyDescent="0.25">
      <c r="A17" s="117" t="s">
        <v>14</v>
      </c>
      <c r="B17" s="118"/>
      <c r="C17" s="118"/>
      <c r="E17" s="118" t="s">
        <v>0</v>
      </c>
      <c r="F17" s="118"/>
      <c r="G17" s="118"/>
      <c r="I17" s="118" t="s">
        <v>131</v>
      </c>
      <c r="J17" s="118"/>
      <c r="K17" s="118"/>
      <c r="M17" s="118" t="s">
        <v>132</v>
      </c>
      <c r="N17" s="118"/>
      <c r="O17" s="118"/>
      <c r="Q17" s="118" t="s">
        <v>12</v>
      </c>
      <c r="R17" s="118"/>
      <c r="S17" s="118"/>
      <c r="U17" s="118" t="s">
        <v>13</v>
      </c>
      <c r="V17" s="118"/>
      <c r="W17" s="118"/>
    </row>
    <row r="18" spans="1:23" ht="30" customHeight="1" x14ac:dyDescent="0.25">
      <c r="A18" s="116" t="s">
        <v>125</v>
      </c>
      <c r="B18" s="116"/>
      <c r="C18" s="116"/>
      <c r="E18" s="116" t="s">
        <v>126</v>
      </c>
      <c r="F18" s="116"/>
      <c r="G18" s="116"/>
      <c r="I18" s="116" t="s">
        <v>127</v>
      </c>
      <c r="J18" s="116"/>
      <c r="K18" s="116"/>
      <c r="M18" s="116" t="s">
        <v>128</v>
      </c>
      <c r="N18" s="116"/>
      <c r="O18" s="116"/>
      <c r="Q18" s="116" t="s">
        <v>129</v>
      </c>
      <c r="R18" s="116"/>
      <c r="S18" s="116"/>
      <c r="U18" s="116" t="s">
        <v>130</v>
      </c>
      <c r="V18" s="116"/>
      <c r="W18" s="116"/>
    </row>
    <row r="19" spans="1:23" x14ac:dyDescent="0.25">
      <c r="B19">
        <v>21</v>
      </c>
      <c r="F19">
        <v>21</v>
      </c>
      <c r="J19">
        <v>21</v>
      </c>
      <c r="N19">
        <v>21</v>
      </c>
      <c r="R19">
        <v>21</v>
      </c>
      <c r="V19">
        <v>21</v>
      </c>
    </row>
    <row r="20" spans="1:23" x14ac:dyDescent="0.25">
      <c r="B20">
        <v>321</v>
      </c>
      <c r="F20">
        <v>321</v>
      </c>
      <c r="J20">
        <v>321</v>
      </c>
      <c r="N20">
        <v>321</v>
      </c>
      <c r="R20">
        <v>321</v>
      </c>
      <c r="V20">
        <v>321</v>
      </c>
    </row>
    <row r="21" spans="1:23" x14ac:dyDescent="0.25">
      <c r="B21">
        <v>4</v>
      </c>
      <c r="F21">
        <v>4</v>
      </c>
      <c r="J21">
        <v>4</v>
      </c>
      <c r="N21">
        <v>4</v>
      </c>
      <c r="R21">
        <v>4</v>
      </c>
      <c r="V21">
        <v>4</v>
      </c>
    </row>
    <row r="22" spans="1:23" x14ac:dyDescent="0.25">
      <c r="B22">
        <v>342</v>
      </c>
      <c r="F22">
        <v>342</v>
      </c>
      <c r="J22">
        <v>342</v>
      </c>
      <c r="N22">
        <v>342</v>
      </c>
      <c r="R22">
        <v>342</v>
      </c>
      <c r="V22">
        <v>342</v>
      </c>
    </row>
    <row r="23" spans="1:23" x14ac:dyDescent="0.25">
      <c r="B23">
        <v>-52</v>
      </c>
      <c r="F23">
        <v>-52</v>
      </c>
      <c r="J23">
        <v>-52</v>
      </c>
      <c r="N23">
        <v>-52</v>
      </c>
      <c r="R23">
        <v>-52</v>
      </c>
      <c r="V23">
        <v>-52</v>
      </c>
    </row>
    <row r="24" spans="1:23" x14ac:dyDescent="0.25">
      <c r="B24">
        <v>432</v>
      </c>
      <c r="F24">
        <v>432</v>
      </c>
      <c r="J24">
        <v>432</v>
      </c>
      <c r="N24">
        <v>432</v>
      </c>
      <c r="R24">
        <v>432</v>
      </c>
      <c r="V24">
        <v>432</v>
      </c>
    </row>
    <row r="25" spans="1:23" x14ac:dyDescent="0.25">
      <c r="A25" s="45" t="s">
        <v>8</v>
      </c>
      <c r="B25">
        <f>SUM(B19:B24)</f>
        <v>1068</v>
      </c>
      <c r="E25" s="45" t="s">
        <v>8</v>
      </c>
      <c r="F25">
        <f>AVERAGE(F19:F24)</f>
        <v>178</v>
      </c>
      <c r="I25" s="45" t="s">
        <v>8</v>
      </c>
      <c r="J25">
        <f>MIN(J19:J24)</f>
        <v>-52</v>
      </c>
      <c r="M25" s="45" t="s">
        <v>8</v>
      </c>
      <c r="N25">
        <f>MAX(N19:N24)</f>
        <v>432</v>
      </c>
      <c r="Q25" s="45" t="s">
        <v>8</v>
      </c>
      <c r="R25">
        <f>SMALL(R19:R24,2)</f>
        <v>4</v>
      </c>
      <c r="U25" s="45" t="s">
        <v>8</v>
      </c>
      <c r="V25">
        <f>LARGE(V19:V24,2)</f>
        <v>342</v>
      </c>
    </row>
    <row r="28" spans="1:23" x14ac:dyDescent="0.25">
      <c r="A28" s="117" t="s">
        <v>134</v>
      </c>
      <c r="B28" s="118"/>
      <c r="C28" s="118"/>
      <c r="E28" s="118" t="s">
        <v>135</v>
      </c>
      <c r="F28" s="118"/>
      <c r="G28" s="118"/>
      <c r="I28" s="118" t="s">
        <v>21</v>
      </c>
      <c r="J28" s="118"/>
      <c r="K28" s="118"/>
      <c r="M28" s="118" t="s">
        <v>136</v>
      </c>
      <c r="N28" s="118"/>
      <c r="O28" s="118"/>
    </row>
    <row r="29" spans="1:23" ht="45" customHeight="1" x14ac:dyDescent="0.25">
      <c r="A29" s="116" t="s">
        <v>137</v>
      </c>
      <c r="B29" s="116"/>
      <c r="C29" s="116"/>
      <c r="E29" s="116" t="s">
        <v>138</v>
      </c>
      <c r="F29" s="116"/>
      <c r="G29" s="116"/>
      <c r="I29" s="116" t="s">
        <v>139</v>
      </c>
      <c r="J29" s="116"/>
      <c r="K29" s="116"/>
      <c r="M29" s="116" t="s">
        <v>140</v>
      </c>
      <c r="N29" s="116"/>
      <c r="O29" s="116"/>
    </row>
    <row r="30" spans="1:23" x14ac:dyDescent="0.25">
      <c r="A30">
        <v>-2</v>
      </c>
      <c r="B30">
        <v>2</v>
      </c>
      <c r="C30">
        <v>2</v>
      </c>
      <c r="E30">
        <v>4.45</v>
      </c>
      <c r="F30">
        <v>4.4000000000000004</v>
      </c>
      <c r="G30">
        <v>4.5999999999999996</v>
      </c>
      <c r="J30">
        <v>21</v>
      </c>
      <c r="M30">
        <v>2</v>
      </c>
      <c r="N30">
        <v>21</v>
      </c>
    </row>
    <row r="31" spans="1:23" x14ac:dyDescent="0.25">
      <c r="A31">
        <f>ABS(A30)</f>
        <v>2</v>
      </c>
      <c r="B31">
        <f>SQRT(B30)</f>
        <v>1.4142135623730951</v>
      </c>
      <c r="C31">
        <f>POWER(C30,3)</f>
        <v>8</v>
      </c>
      <c r="E31">
        <f>ROUND(E30,1)</f>
        <v>4.5</v>
      </c>
      <c r="F31">
        <f>ROUNDUP(F30,0)</f>
        <v>5</v>
      </c>
      <c r="G31">
        <f>ROUNDDOWN(G30,0)</f>
        <v>4</v>
      </c>
      <c r="J31">
        <v>321</v>
      </c>
      <c r="M31">
        <v>1</v>
      </c>
      <c r="N31">
        <v>321</v>
      </c>
    </row>
    <row r="32" spans="1:23" x14ac:dyDescent="0.25">
      <c r="J32">
        <v>4</v>
      </c>
      <c r="M32">
        <v>3</v>
      </c>
      <c r="N32">
        <v>4</v>
      </c>
    </row>
    <row r="33" spans="1:23" x14ac:dyDescent="0.25">
      <c r="I33" s="45" t="s">
        <v>8</v>
      </c>
      <c r="J33">
        <f>PRODUCT(J30:J32)</f>
        <v>26964</v>
      </c>
      <c r="M33" s="45" t="s">
        <v>8</v>
      </c>
      <c r="N33">
        <f>SUMPRODUCT(M30:M32,N30:N32)</f>
        <v>375</v>
      </c>
    </row>
    <row r="35" spans="1:23" x14ac:dyDescent="0.25">
      <c r="A35" s="118" t="s">
        <v>15</v>
      </c>
      <c r="B35" s="118"/>
      <c r="C35" s="118"/>
    </row>
    <row r="36" spans="1:23" ht="15" customHeight="1" x14ac:dyDescent="0.25">
      <c r="A36" t="s">
        <v>18</v>
      </c>
      <c r="B36" t="s">
        <v>17</v>
      </c>
      <c r="E36" s="110" t="s">
        <v>303</v>
      </c>
      <c r="F36" s="110"/>
      <c r="G36" s="110"/>
      <c r="H36" s="110"/>
      <c r="I36" s="110"/>
      <c r="J36" s="110"/>
      <c r="K36" s="110"/>
    </row>
    <row r="37" spans="1:23" ht="15" customHeight="1" x14ac:dyDescent="0.25">
      <c r="A37" t="s">
        <v>16</v>
      </c>
      <c r="B37" s="43">
        <v>1000</v>
      </c>
      <c r="E37" s="110"/>
      <c r="F37" s="110"/>
      <c r="G37" s="110"/>
      <c r="H37" s="110"/>
      <c r="I37" s="110"/>
      <c r="J37" s="110"/>
      <c r="K37" s="110"/>
    </row>
    <row r="38" spans="1:23" x14ac:dyDescent="0.25">
      <c r="A38" t="s">
        <v>19</v>
      </c>
      <c r="B38" s="43">
        <v>20000</v>
      </c>
      <c r="E38" s="110" t="s">
        <v>142</v>
      </c>
      <c r="F38" s="110"/>
      <c r="G38" s="110"/>
      <c r="H38" s="110"/>
      <c r="I38" s="110"/>
      <c r="J38" s="110"/>
      <c r="K38" s="110"/>
    </row>
    <row r="39" spans="1:23" ht="14.45" customHeight="1" x14ac:dyDescent="0.25">
      <c r="A39" t="s">
        <v>19</v>
      </c>
      <c r="B39" s="43">
        <v>1000</v>
      </c>
      <c r="E39" s="110"/>
      <c r="F39" s="110"/>
      <c r="G39" s="110"/>
      <c r="H39" s="110"/>
      <c r="I39" s="110"/>
      <c r="J39" s="110"/>
      <c r="K39" s="110"/>
    </row>
    <row r="40" spans="1:23" x14ac:dyDescent="0.25">
      <c r="A40" t="s">
        <v>20</v>
      </c>
      <c r="B40" s="43">
        <v>4000</v>
      </c>
      <c r="E40" s="110" t="s">
        <v>141</v>
      </c>
      <c r="F40" s="110"/>
      <c r="G40" s="110"/>
      <c r="H40" s="110"/>
      <c r="I40" s="110"/>
      <c r="J40" s="110"/>
      <c r="K40" s="110"/>
    </row>
    <row r="41" spans="1:23" x14ac:dyDescent="0.25">
      <c r="A41" s="45" t="s">
        <v>8</v>
      </c>
      <c r="B41">
        <f>SUMIF(B37:B40,1000)</f>
        <v>2000</v>
      </c>
      <c r="E41" s="110"/>
      <c r="F41" s="110"/>
      <c r="G41" s="110"/>
      <c r="H41" s="110"/>
      <c r="I41" s="110"/>
      <c r="J41" s="110"/>
      <c r="K41" s="110"/>
    </row>
    <row r="42" spans="1:23" x14ac:dyDescent="0.25">
      <c r="A42" s="45" t="s">
        <v>8</v>
      </c>
      <c r="B42">
        <f>SUMIF(A37:A40,"cipő",B37:B40)</f>
        <v>21000</v>
      </c>
      <c r="E42" s="119" t="s">
        <v>305</v>
      </c>
      <c r="F42" s="119"/>
      <c r="G42" s="119"/>
      <c r="H42" s="119"/>
      <c r="I42" s="119"/>
      <c r="J42" s="119"/>
      <c r="K42" s="119"/>
    </row>
    <row r="43" spans="1:23" x14ac:dyDescent="0.25">
      <c r="A43" s="45" t="s">
        <v>8</v>
      </c>
      <c r="B43">
        <f>SUMIF(B37:B40,"&gt;1000")</f>
        <v>24000</v>
      </c>
      <c r="E43" s="119" t="s">
        <v>304</v>
      </c>
      <c r="F43" s="119"/>
      <c r="G43" s="119"/>
      <c r="H43" s="119"/>
      <c r="I43" s="119"/>
      <c r="J43" s="119"/>
      <c r="K43" s="119"/>
    </row>
    <row r="45" spans="1:23" ht="35.1" customHeight="1" x14ac:dyDescent="0.25">
      <c r="A45" s="105" t="s">
        <v>143</v>
      </c>
      <c r="B45" s="105"/>
      <c r="C45" s="105"/>
      <c r="D45" s="105"/>
      <c r="E45" s="105"/>
      <c r="F45" s="105"/>
      <c r="G45" s="105"/>
      <c r="H45" s="105"/>
      <c r="I45" s="105"/>
      <c r="J45" s="105"/>
      <c r="K45" s="105"/>
      <c r="L45" s="105"/>
      <c r="M45" s="105"/>
      <c r="N45" s="105"/>
      <c r="O45" s="105"/>
      <c r="P45" s="105"/>
      <c r="Q45" s="105"/>
      <c r="R45" s="105"/>
      <c r="S45" s="105"/>
      <c r="T45" s="105"/>
      <c r="U45" s="105"/>
      <c r="V45" s="105"/>
      <c r="W45" s="105"/>
    </row>
    <row r="46" spans="1:23" x14ac:dyDescent="0.25">
      <c r="A46" s="120" t="s">
        <v>144</v>
      </c>
      <c r="B46" s="120"/>
      <c r="C46" s="120"/>
      <c r="E46" s="117" t="s">
        <v>145</v>
      </c>
      <c r="F46" s="118"/>
      <c r="G46" s="118"/>
      <c r="I46" s="118" t="s">
        <v>146</v>
      </c>
      <c r="J46" s="118"/>
      <c r="K46" s="118"/>
      <c r="M46" s="118" t="s">
        <v>147</v>
      </c>
      <c r="N46" s="118"/>
      <c r="O46" s="118"/>
      <c r="Q46" s="118" t="s">
        <v>148</v>
      </c>
      <c r="R46" s="118"/>
      <c r="S46" s="118"/>
      <c r="U46" s="118" t="s">
        <v>149</v>
      </c>
      <c r="V46" s="118"/>
      <c r="W46" s="118"/>
    </row>
    <row r="47" spans="1:23" ht="30" customHeight="1" x14ac:dyDescent="0.25">
      <c r="A47" s="110" t="s">
        <v>239</v>
      </c>
      <c r="B47" s="110"/>
      <c r="C47" s="110"/>
      <c r="E47" s="110" t="s">
        <v>240</v>
      </c>
      <c r="F47" s="110"/>
      <c r="G47" s="110"/>
      <c r="I47" s="110" t="s">
        <v>241</v>
      </c>
      <c r="J47" s="110"/>
      <c r="K47" s="110"/>
      <c r="M47" s="110" t="s">
        <v>242</v>
      </c>
      <c r="N47" s="110"/>
      <c r="O47" s="110"/>
      <c r="Q47" s="110" t="s">
        <v>243</v>
      </c>
      <c r="R47" s="110"/>
      <c r="S47" s="110"/>
      <c r="U47" s="110" t="s">
        <v>244</v>
      </c>
      <c r="V47" s="110"/>
      <c r="W47" s="110"/>
    </row>
    <row r="48" spans="1:23" x14ac:dyDescent="0.25">
      <c r="A48" s="45" t="s">
        <v>8</v>
      </c>
      <c r="B48" s="115">
        <f ca="1">NOW()</f>
        <v>45781.005282754631</v>
      </c>
      <c r="C48" s="115"/>
      <c r="F48">
        <v>2000</v>
      </c>
      <c r="G48">
        <v>10</v>
      </c>
      <c r="J48" s="23">
        <v>36535</v>
      </c>
      <c r="N48" s="22">
        <v>0.41689814814814818</v>
      </c>
      <c r="R48" s="23">
        <v>45301</v>
      </c>
      <c r="V48" s="23">
        <v>45301</v>
      </c>
    </row>
    <row r="49" spans="1:22" x14ac:dyDescent="0.25">
      <c r="A49" s="45" t="s">
        <v>8</v>
      </c>
      <c r="B49" s="114">
        <f ca="1">TODAY()</f>
        <v>45781</v>
      </c>
      <c r="C49" s="114"/>
      <c r="F49">
        <v>1</v>
      </c>
      <c r="G49">
        <v>0</v>
      </c>
      <c r="I49" s="45" t="s">
        <v>8</v>
      </c>
      <c r="J49">
        <f>YEAR(J48)</f>
        <v>2000</v>
      </c>
      <c r="M49" s="45" t="s">
        <v>8</v>
      </c>
      <c r="N49">
        <f>HOUR(N48)</f>
        <v>10</v>
      </c>
      <c r="Q49" s="45" t="s">
        <v>8</v>
      </c>
      <c r="R49">
        <f>WEEKDAY(R48)</f>
        <v>4</v>
      </c>
      <c r="U49" s="45" t="s">
        <v>8</v>
      </c>
      <c r="V49">
        <f>WEEKNUM(V48)</f>
        <v>2</v>
      </c>
    </row>
    <row r="50" spans="1:22" ht="15" customHeight="1" x14ac:dyDescent="0.25">
      <c r="F50">
        <v>10</v>
      </c>
      <c r="G50">
        <v>20</v>
      </c>
      <c r="I50" s="45" t="s">
        <v>8</v>
      </c>
      <c r="J50">
        <f>MONTH(J48)</f>
        <v>1</v>
      </c>
      <c r="M50" s="45" t="s">
        <v>8</v>
      </c>
      <c r="N50">
        <f>MINUTE(N48)</f>
        <v>0</v>
      </c>
    </row>
    <row r="51" spans="1:22" ht="15" customHeight="1" x14ac:dyDescent="0.25">
      <c r="A51" s="110" t="s">
        <v>151</v>
      </c>
      <c r="B51" s="110"/>
      <c r="C51" s="110"/>
      <c r="E51" s="45" t="s">
        <v>8</v>
      </c>
      <c r="F51" s="23">
        <f>DATE(F48,F49,F50)</f>
        <v>36535</v>
      </c>
      <c r="G51" s="46">
        <f>TIME(G48,G49,G50)</f>
        <v>0.41689814814814818</v>
      </c>
      <c r="I51" s="45" t="s">
        <v>8</v>
      </c>
      <c r="J51">
        <f>DAY(J48)</f>
        <v>10</v>
      </c>
      <c r="M51" s="45" t="s">
        <v>8</v>
      </c>
      <c r="N51">
        <f>SECOND(N48)</f>
        <v>20</v>
      </c>
      <c r="Q51" s="110" t="s">
        <v>150</v>
      </c>
      <c r="R51" s="110"/>
      <c r="S51" s="110"/>
    </row>
    <row r="52" spans="1:22" x14ac:dyDescent="0.25">
      <c r="A52" s="110"/>
      <c r="B52" s="110"/>
      <c r="C52" s="110"/>
      <c r="Q52" s="110"/>
      <c r="R52" s="110"/>
      <c r="S52" s="110"/>
    </row>
    <row r="53" spans="1:22" x14ac:dyDescent="0.25">
      <c r="A53" s="110"/>
      <c r="B53" s="110"/>
      <c r="C53" s="110"/>
    </row>
    <row r="57" spans="1:22" ht="35.1" customHeight="1" x14ac:dyDescent="0.25">
      <c r="A57" s="105" t="s">
        <v>39</v>
      </c>
      <c r="B57" s="105"/>
      <c r="C57" s="105"/>
      <c r="D57" s="105"/>
      <c r="E57" s="105"/>
      <c r="F57" s="105"/>
      <c r="G57" s="105"/>
    </row>
    <row r="58" spans="1:22" ht="15" customHeight="1" x14ac:dyDescent="0.25">
      <c r="A58" s="110" t="s">
        <v>245</v>
      </c>
      <c r="B58" s="110"/>
      <c r="C58" s="110"/>
      <c r="D58" s="110"/>
      <c r="E58" s="110"/>
      <c r="F58" s="110"/>
      <c r="G58" s="110"/>
    </row>
    <row r="59" spans="1:22" x14ac:dyDescent="0.25">
      <c r="A59" s="110"/>
      <c r="B59" s="110"/>
      <c r="C59" s="110"/>
      <c r="D59" s="110"/>
      <c r="E59" s="110"/>
      <c r="F59" s="110"/>
      <c r="G59" s="110"/>
    </row>
    <row r="60" spans="1:22" ht="15" customHeight="1" x14ac:dyDescent="0.25"/>
    <row r="61" spans="1:22" ht="15" customHeight="1" x14ac:dyDescent="0.25">
      <c r="A61" s="110" t="s">
        <v>254</v>
      </c>
      <c r="B61" s="110"/>
      <c r="C61" s="110"/>
      <c r="D61" s="110"/>
      <c r="E61" s="110"/>
      <c r="F61" s="110"/>
      <c r="G61" s="110"/>
    </row>
    <row r="62" spans="1:22" x14ac:dyDescent="0.25">
      <c r="A62" s="110"/>
      <c r="B62" s="110"/>
      <c r="C62" s="110"/>
      <c r="D62" s="110"/>
      <c r="E62" s="110"/>
      <c r="F62" s="110"/>
      <c r="G62" s="110"/>
    </row>
    <row r="63" spans="1:22" x14ac:dyDescent="0.25">
      <c r="A63" s="110"/>
      <c r="B63" s="110"/>
      <c r="C63" s="110"/>
      <c r="D63" s="110"/>
      <c r="E63" s="110"/>
      <c r="F63" s="110"/>
      <c r="G63" s="110"/>
    </row>
    <row r="64" spans="1:22" x14ac:dyDescent="0.25">
      <c r="A64" s="110"/>
      <c r="B64" s="110"/>
      <c r="C64" s="110"/>
      <c r="D64" s="110"/>
      <c r="E64" s="110"/>
      <c r="F64" s="110"/>
      <c r="G64" s="110"/>
    </row>
    <row r="65" spans="1:7" x14ac:dyDescent="0.25">
      <c r="A65" s="110"/>
      <c r="B65" s="110"/>
      <c r="C65" s="110"/>
      <c r="D65" s="110"/>
      <c r="E65" s="110"/>
      <c r="F65" s="110"/>
      <c r="G65" s="110"/>
    </row>
    <row r="66" spans="1:7" ht="15.75" thickBot="1" x14ac:dyDescent="0.3"/>
    <row r="67" spans="1:7" x14ac:dyDescent="0.25">
      <c r="A67" s="86" t="s">
        <v>165</v>
      </c>
      <c r="B67" s="87" t="s">
        <v>250</v>
      </c>
      <c r="C67" s="87" t="s">
        <v>18</v>
      </c>
      <c r="D67" s="87" t="s">
        <v>251</v>
      </c>
      <c r="E67" s="87" t="s">
        <v>17</v>
      </c>
      <c r="F67" s="88" t="s">
        <v>253</v>
      </c>
      <c r="G67" s="101" t="s">
        <v>307</v>
      </c>
    </row>
    <row r="68" spans="1:7" x14ac:dyDescent="0.25">
      <c r="A68" s="56" t="s">
        <v>246</v>
      </c>
      <c r="B68" s="80">
        <v>44929.447916666664</v>
      </c>
      <c r="C68" s="28" t="s">
        <v>247</v>
      </c>
      <c r="D68" s="89" t="s">
        <v>252</v>
      </c>
      <c r="E68" s="51">
        <v>13782</v>
      </c>
      <c r="F68" s="81"/>
      <c r="G68">
        <f>WEEKNUM(B68)</f>
        <v>1</v>
      </c>
    </row>
    <row r="69" spans="1:7" x14ac:dyDescent="0.25">
      <c r="A69" s="56" t="s">
        <v>169</v>
      </c>
      <c r="B69" s="80">
        <v>44931.638888888891</v>
      </c>
      <c r="C69" s="28" t="s">
        <v>16</v>
      </c>
      <c r="D69" s="6"/>
      <c r="E69" s="51">
        <v>27563</v>
      </c>
      <c r="F69" s="62"/>
      <c r="G69">
        <f t="shared" ref="G69:G87" si="0">WEEKNUM(B69)</f>
        <v>1</v>
      </c>
    </row>
    <row r="70" spans="1:7" x14ac:dyDescent="0.25">
      <c r="A70" s="56" t="s">
        <v>248</v>
      </c>
      <c r="B70" s="80">
        <v>44933.341666666667</v>
      </c>
      <c r="C70" s="28" t="s">
        <v>20</v>
      </c>
      <c r="D70" s="6"/>
      <c r="E70" s="51">
        <v>32471</v>
      </c>
      <c r="F70" s="81">
        <v>44933.341666666667</v>
      </c>
      <c r="G70">
        <f t="shared" si="0"/>
        <v>1</v>
      </c>
    </row>
    <row r="71" spans="1:7" x14ac:dyDescent="0.25">
      <c r="A71" s="56" t="s">
        <v>246</v>
      </c>
      <c r="B71" s="80">
        <v>44935.734722222223</v>
      </c>
      <c r="C71" s="28" t="s">
        <v>247</v>
      </c>
      <c r="D71" s="6"/>
      <c r="E71" s="51">
        <v>16432</v>
      </c>
      <c r="F71" s="62"/>
      <c r="G71">
        <f t="shared" si="0"/>
        <v>2</v>
      </c>
    </row>
    <row r="72" spans="1:7" x14ac:dyDescent="0.25">
      <c r="A72" s="56" t="s">
        <v>169</v>
      </c>
      <c r="B72" s="80">
        <v>44928.954861111109</v>
      </c>
      <c r="C72" s="28" t="s">
        <v>19</v>
      </c>
      <c r="D72" s="89" t="s">
        <v>252</v>
      </c>
      <c r="E72" s="51">
        <v>38974</v>
      </c>
      <c r="F72" s="62"/>
      <c r="G72">
        <f t="shared" si="0"/>
        <v>1</v>
      </c>
    </row>
    <row r="73" spans="1:7" x14ac:dyDescent="0.25">
      <c r="A73" s="56" t="s">
        <v>248</v>
      </c>
      <c r="B73" s="80">
        <v>44932.502083333333</v>
      </c>
      <c r="C73" s="28" t="s">
        <v>19</v>
      </c>
      <c r="D73" s="6"/>
      <c r="E73" s="51">
        <v>13456</v>
      </c>
      <c r="F73" s="81">
        <v>44932.502083333333</v>
      </c>
      <c r="G73">
        <f t="shared" si="0"/>
        <v>1</v>
      </c>
    </row>
    <row r="74" spans="1:7" x14ac:dyDescent="0.25">
      <c r="A74" s="56" t="s">
        <v>173</v>
      </c>
      <c r="B74" s="80">
        <v>44930.270138888889</v>
      </c>
      <c r="C74" s="28" t="s">
        <v>247</v>
      </c>
      <c r="D74" s="6"/>
      <c r="E74" s="51">
        <v>18975</v>
      </c>
      <c r="F74" s="62"/>
      <c r="G74">
        <f t="shared" si="0"/>
        <v>1</v>
      </c>
    </row>
    <row r="75" spans="1:7" x14ac:dyDescent="0.25">
      <c r="A75" s="56" t="s">
        <v>249</v>
      </c>
      <c r="B75" s="80">
        <v>44927.595833333333</v>
      </c>
      <c r="C75" s="28" t="s">
        <v>20</v>
      </c>
      <c r="D75" s="6"/>
      <c r="E75" s="51">
        <v>24897</v>
      </c>
      <c r="F75" s="81">
        <v>44927.477777777778</v>
      </c>
      <c r="G75">
        <f t="shared" si="0"/>
        <v>1</v>
      </c>
    </row>
    <row r="76" spans="1:7" x14ac:dyDescent="0.25">
      <c r="A76" s="56" t="s">
        <v>246</v>
      </c>
      <c r="B76" s="80">
        <v>44934.827777777777</v>
      </c>
      <c r="C76" s="28" t="s">
        <v>16</v>
      </c>
      <c r="D76" s="6"/>
      <c r="E76" s="51">
        <v>33781</v>
      </c>
      <c r="F76" s="81">
        <v>44934.827777777777</v>
      </c>
      <c r="G76">
        <f t="shared" si="0"/>
        <v>2</v>
      </c>
    </row>
    <row r="77" spans="1:7" x14ac:dyDescent="0.25">
      <c r="A77" s="56" t="s">
        <v>169</v>
      </c>
      <c r="B77" s="80">
        <v>44929.407638888886</v>
      </c>
      <c r="C77" s="28" t="s">
        <v>19</v>
      </c>
      <c r="D77" s="89" t="s">
        <v>252</v>
      </c>
      <c r="E77" s="51">
        <v>14567</v>
      </c>
      <c r="F77" s="62"/>
      <c r="G77">
        <f t="shared" si="0"/>
        <v>1</v>
      </c>
    </row>
    <row r="78" spans="1:7" x14ac:dyDescent="0.25">
      <c r="A78" s="56" t="s">
        <v>248</v>
      </c>
      <c r="B78" s="80">
        <v>44932.729166666664</v>
      </c>
      <c r="C78" s="28" t="s">
        <v>20</v>
      </c>
      <c r="D78" s="6"/>
      <c r="E78" s="51">
        <v>28340</v>
      </c>
      <c r="F78" s="62"/>
      <c r="G78">
        <f t="shared" si="0"/>
        <v>1</v>
      </c>
    </row>
    <row r="79" spans="1:7" x14ac:dyDescent="0.25">
      <c r="A79" s="56" t="s">
        <v>173</v>
      </c>
      <c r="B79" s="80">
        <v>44930.966666666667</v>
      </c>
      <c r="C79" s="28" t="s">
        <v>247</v>
      </c>
      <c r="D79" s="6"/>
      <c r="E79" s="51">
        <v>32049</v>
      </c>
      <c r="F79" s="62"/>
      <c r="G79">
        <f t="shared" si="0"/>
        <v>1</v>
      </c>
    </row>
    <row r="80" spans="1:7" x14ac:dyDescent="0.25">
      <c r="A80" s="56" t="s">
        <v>249</v>
      </c>
      <c r="B80" s="80">
        <v>44928.294444444444</v>
      </c>
      <c r="C80" s="28" t="s">
        <v>16</v>
      </c>
      <c r="D80" s="6"/>
      <c r="E80" s="51">
        <v>13248</v>
      </c>
      <c r="F80" s="81">
        <v>44930.37222222222</v>
      </c>
      <c r="G80">
        <f t="shared" si="0"/>
        <v>1</v>
      </c>
    </row>
    <row r="81" spans="1:7" x14ac:dyDescent="0.25">
      <c r="A81" s="56" t="s">
        <v>246</v>
      </c>
      <c r="B81" s="80">
        <v>44934.552083333336</v>
      </c>
      <c r="C81" s="28" t="s">
        <v>19</v>
      </c>
      <c r="D81" s="6"/>
      <c r="E81" s="51">
        <v>25893</v>
      </c>
      <c r="F81" s="62"/>
      <c r="G81">
        <f t="shared" si="0"/>
        <v>2</v>
      </c>
    </row>
    <row r="82" spans="1:7" x14ac:dyDescent="0.25">
      <c r="A82" s="56" t="s">
        <v>169</v>
      </c>
      <c r="B82" s="80">
        <v>44931.859027777777</v>
      </c>
      <c r="C82" s="28" t="s">
        <v>16</v>
      </c>
      <c r="D82" s="6"/>
      <c r="E82" s="51">
        <v>29075</v>
      </c>
      <c r="F82" s="62"/>
      <c r="G82">
        <f t="shared" si="0"/>
        <v>1</v>
      </c>
    </row>
    <row r="83" spans="1:7" x14ac:dyDescent="0.25">
      <c r="A83" s="56" t="s">
        <v>248</v>
      </c>
      <c r="B83" s="80">
        <v>44933.249305555553</v>
      </c>
      <c r="C83" s="28" t="s">
        <v>247</v>
      </c>
      <c r="D83" s="89" t="s">
        <v>252</v>
      </c>
      <c r="E83" s="51">
        <v>17964</v>
      </c>
      <c r="F83" s="81">
        <v>44932.502083333333</v>
      </c>
      <c r="G83">
        <f t="shared" si="0"/>
        <v>1</v>
      </c>
    </row>
    <row r="84" spans="1:7" x14ac:dyDescent="0.25">
      <c r="A84" s="56" t="s">
        <v>173</v>
      </c>
      <c r="B84" s="80">
        <v>44929.695833333331</v>
      </c>
      <c r="C84" s="28" t="s">
        <v>20</v>
      </c>
      <c r="D84" s="89" t="s">
        <v>252</v>
      </c>
      <c r="E84" s="51">
        <v>32768</v>
      </c>
      <c r="F84" s="81">
        <v>44929.695833333331</v>
      </c>
      <c r="G84">
        <f t="shared" si="0"/>
        <v>1</v>
      </c>
    </row>
    <row r="85" spans="1:7" x14ac:dyDescent="0.25">
      <c r="A85" s="56" t="s">
        <v>249</v>
      </c>
      <c r="B85" s="80">
        <v>44927.477777777778</v>
      </c>
      <c r="C85" s="28" t="s">
        <v>19</v>
      </c>
      <c r="D85" s="6"/>
      <c r="E85" s="51">
        <v>39675</v>
      </c>
      <c r="F85" s="81">
        <v>44927.477777777778</v>
      </c>
      <c r="G85">
        <f t="shared" si="0"/>
        <v>1</v>
      </c>
    </row>
    <row r="86" spans="1:7" x14ac:dyDescent="0.25">
      <c r="A86" s="56" t="s">
        <v>246</v>
      </c>
      <c r="B86" s="80">
        <v>44935.129861111112</v>
      </c>
      <c r="C86" s="28" t="s">
        <v>20</v>
      </c>
      <c r="D86" s="6"/>
      <c r="E86" s="51">
        <v>11345</v>
      </c>
      <c r="F86" s="81">
        <v>44934.827777777777</v>
      </c>
      <c r="G86">
        <f t="shared" si="0"/>
        <v>2</v>
      </c>
    </row>
    <row r="87" spans="1:7" ht="15.75" thickBot="1" x14ac:dyDescent="0.3">
      <c r="A87" s="58" t="s">
        <v>169</v>
      </c>
      <c r="B87" s="82">
        <v>44928.788888888892</v>
      </c>
      <c r="C87" s="60" t="s">
        <v>19</v>
      </c>
      <c r="D87" s="92" t="s">
        <v>252</v>
      </c>
      <c r="E87" s="59">
        <v>26379</v>
      </c>
      <c r="F87" s="83"/>
      <c r="G87">
        <f t="shared" si="0"/>
        <v>1</v>
      </c>
    </row>
    <row r="89" spans="1:7" ht="24.95" customHeight="1" x14ac:dyDescent="0.25">
      <c r="A89" s="48" t="s">
        <v>41</v>
      </c>
      <c r="B89" s="48"/>
      <c r="C89" s="48"/>
      <c r="D89" s="48"/>
      <c r="E89" s="48"/>
      <c r="F89" s="48"/>
      <c r="G89" s="48"/>
    </row>
    <row r="90" spans="1:7" x14ac:dyDescent="0.25">
      <c r="A90" s="113" t="s">
        <v>255</v>
      </c>
      <c r="B90" s="113"/>
      <c r="C90" s="113"/>
      <c r="D90" s="113"/>
      <c r="E90" s="113"/>
      <c r="F90" s="113"/>
      <c r="G90" s="113"/>
    </row>
    <row r="92" spans="1:7" x14ac:dyDescent="0.25">
      <c r="A92" s="3" t="s">
        <v>8</v>
      </c>
      <c r="B92">
        <f>COUNT(F68:F87)</f>
        <v>9</v>
      </c>
    </row>
    <row r="94" spans="1:7" ht="24.95" customHeight="1" x14ac:dyDescent="0.25">
      <c r="A94" s="90" t="s">
        <v>44</v>
      </c>
      <c r="B94" s="48"/>
      <c r="C94" s="48"/>
      <c r="D94" s="48"/>
      <c r="E94" s="48"/>
      <c r="F94" s="48"/>
      <c r="G94" s="48"/>
    </row>
    <row r="95" spans="1:7" x14ac:dyDescent="0.25">
      <c r="A95" s="110" t="s">
        <v>257</v>
      </c>
      <c r="B95" s="110"/>
      <c r="C95" s="110"/>
      <c r="D95" s="110"/>
      <c r="E95" s="110"/>
      <c r="F95" s="110"/>
      <c r="G95" s="110"/>
    </row>
    <row r="96" spans="1:7" x14ac:dyDescent="0.25">
      <c r="A96" s="110"/>
      <c r="B96" s="110"/>
      <c r="C96" s="110"/>
      <c r="D96" s="110"/>
      <c r="E96" s="110"/>
      <c r="F96" s="110"/>
      <c r="G96" s="110"/>
    </row>
    <row r="98" spans="1:7" x14ac:dyDescent="0.25">
      <c r="A98" s="3" t="s">
        <v>8</v>
      </c>
      <c r="B98">
        <f>COUNTBLANK(D68:D87)</f>
        <v>14</v>
      </c>
      <c r="E98" s="91"/>
    </row>
    <row r="99" spans="1:7" x14ac:dyDescent="0.25">
      <c r="A99" s="3" t="s">
        <v>256</v>
      </c>
      <c r="B99" s="94">
        <f>ROUND(B98/COUNT(B68:B87),2)</f>
        <v>0.7</v>
      </c>
    </row>
    <row r="101" spans="1:7" ht="24.95" customHeight="1" x14ac:dyDescent="0.25">
      <c r="A101" s="90" t="s">
        <v>45</v>
      </c>
      <c r="B101" s="48"/>
      <c r="C101" s="48"/>
      <c r="D101" s="48"/>
      <c r="E101" s="48"/>
      <c r="F101" s="48"/>
      <c r="G101" s="48"/>
    </row>
    <row r="102" spans="1:7" x14ac:dyDescent="0.25">
      <c r="A102" s="110" t="s">
        <v>258</v>
      </c>
      <c r="B102" s="110"/>
      <c r="C102" s="110"/>
      <c r="D102" s="110"/>
      <c r="E102" s="110"/>
      <c r="F102" s="110"/>
      <c r="G102" s="110"/>
    </row>
    <row r="104" spans="1:7" x14ac:dyDescent="0.25">
      <c r="A104" s="3" t="s">
        <v>8</v>
      </c>
      <c r="B104" s="91">
        <f>AVERAGE(E68:E87)</f>
        <v>24581.7</v>
      </c>
    </row>
    <row r="106" spans="1:7" ht="24.95" customHeight="1" x14ac:dyDescent="0.25">
      <c r="A106" s="90" t="s">
        <v>47</v>
      </c>
      <c r="B106" s="48"/>
      <c r="C106" s="48"/>
      <c r="D106" s="48"/>
      <c r="E106" s="48"/>
      <c r="F106" s="48"/>
      <c r="G106" s="48"/>
    </row>
    <row r="107" spans="1:7" x14ac:dyDescent="0.25">
      <c r="A107" s="110" t="s">
        <v>259</v>
      </c>
      <c r="B107" s="110"/>
      <c r="C107" s="110"/>
      <c r="D107" s="110"/>
      <c r="E107" s="110"/>
      <c r="F107" s="110"/>
      <c r="G107" s="110"/>
    </row>
    <row r="108" spans="1:7" x14ac:dyDescent="0.25">
      <c r="A108" s="110"/>
      <c r="B108" s="110"/>
      <c r="C108" s="110"/>
      <c r="D108" s="110"/>
      <c r="E108" s="110"/>
      <c r="F108" s="110"/>
      <c r="G108" s="110"/>
    </row>
    <row r="110" spans="1:7" x14ac:dyDescent="0.25">
      <c r="A110" s="28" t="s">
        <v>16</v>
      </c>
      <c r="B110">
        <f>COUNTIF($C$68:$C$87,A110)</f>
        <v>4</v>
      </c>
    </row>
    <row r="111" spans="1:7" x14ac:dyDescent="0.25">
      <c r="A111" s="28" t="s">
        <v>247</v>
      </c>
      <c r="B111">
        <f t="shared" ref="B111:B113" si="1">COUNTIF($C$68:$C$87,A111)</f>
        <v>5</v>
      </c>
    </row>
    <row r="112" spans="1:7" x14ac:dyDescent="0.25">
      <c r="A112" s="28" t="s">
        <v>20</v>
      </c>
      <c r="B112">
        <f t="shared" si="1"/>
        <v>5</v>
      </c>
    </row>
    <row r="113" spans="1:7" x14ac:dyDescent="0.25">
      <c r="A113" s="28" t="s">
        <v>19</v>
      </c>
      <c r="B113">
        <f t="shared" si="1"/>
        <v>6</v>
      </c>
    </row>
    <row r="115" spans="1:7" ht="24.95" customHeight="1" x14ac:dyDescent="0.25">
      <c r="A115" s="90" t="s">
        <v>55</v>
      </c>
      <c r="B115" s="48"/>
      <c r="C115" s="48"/>
      <c r="D115" s="48"/>
      <c r="E115" s="48"/>
      <c r="F115" s="48"/>
      <c r="G115" s="48"/>
    </row>
    <row r="116" spans="1:7" x14ac:dyDescent="0.25">
      <c r="A116" s="110" t="s">
        <v>260</v>
      </c>
      <c r="B116" s="110"/>
      <c r="C116" s="110"/>
      <c r="D116" s="110"/>
      <c r="E116" s="110"/>
      <c r="F116" s="110"/>
      <c r="G116" s="110"/>
    </row>
    <row r="118" spans="1:7" x14ac:dyDescent="0.25">
      <c r="A118" s="3" t="s">
        <v>8</v>
      </c>
      <c r="B118">
        <f>COUNTIF(E68:E87,"&gt;20000")</f>
        <v>12</v>
      </c>
    </row>
    <row r="120" spans="1:7" ht="24.95" customHeight="1" x14ac:dyDescent="0.25">
      <c r="A120" s="90" t="s">
        <v>77</v>
      </c>
      <c r="B120" s="48"/>
      <c r="C120" s="48"/>
      <c r="D120" s="48"/>
      <c r="E120" s="48"/>
      <c r="F120" s="48"/>
      <c r="G120" s="48"/>
    </row>
    <row r="121" spans="1:7" x14ac:dyDescent="0.25">
      <c r="A121" s="113" t="s">
        <v>261</v>
      </c>
      <c r="B121" s="113"/>
      <c r="C121" s="113"/>
      <c r="D121" s="113"/>
      <c r="E121" s="113"/>
      <c r="F121" s="113"/>
      <c r="G121" s="113"/>
    </row>
    <row r="123" spans="1:7" x14ac:dyDescent="0.25">
      <c r="A123" s="3" t="s">
        <v>8</v>
      </c>
      <c r="B123" s="43">
        <f>SUMIF(E68:E87,"&gt;20000")</f>
        <v>371865</v>
      </c>
    </row>
    <row r="125" spans="1:7" ht="24.95" customHeight="1" x14ac:dyDescent="0.25">
      <c r="A125" s="90" t="s">
        <v>229</v>
      </c>
      <c r="B125" s="48"/>
      <c r="C125" s="48"/>
      <c r="D125" s="48"/>
      <c r="E125" s="48"/>
      <c r="F125" s="48"/>
      <c r="G125" s="48"/>
    </row>
    <row r="126" spans="1:7" x14ac:dyDescent="0.25">
      <c r="A126" s="110" t="s">
        <v>263</v>
      </c>
      <c r="B126" s="110"/>
      <c r="C126" s="110"/>
      <c r="D126" s="110"/>
      <c r="E126" s="110"/>
      <c r="F126" s="110"/>
      <c r="G126" s="110"/>
    </row>
    <row r="128" spans="1:7" x14ac:dyDescent="0.25">
      <c r="A128" s="3" t="s">
        <v>262</v>
      </c>
      <c r="B128" s="43">
        <f>SUMIF(D68:D87,"&lt;&gt;",E68:E87)</f>
        <v>144434</v>
      </c>
    </row>
    <row r="130" spans="1:7" ht="24.95" customHeight="1" x14ac:dyDescent="0.25">
      <c r="A130" s="90" t="s">
        <v>231</v>
      </c>
      <c r="B130" s="48"/>
      <c r="C130" s="48"/>
      <c r="D130" s="48"/>
      <c r="E130" s="48"/>
      <c r="F130" s="48"/>
      <c r="G130" s="48"/>
    </row>
    <row r="131" spans="1:7" ht="15" customHeight="1" x14ac:dyDescent="0.25">
      <c r="A131" s="110" t="s">
        <v>264</v>
      </c>
      <c r="B131" s="110"/>
      <c r="C131" s="110"/>
      <c r="D131" s="110"/>
      <c r="E131" s="110"/>
      <c r="F131" s="110"/>
      <c r="G131" s="110"/>
    </row>
    <row r="132" spans="1:7" x14ac:dyDescent="0.25">
      <c r="A132" s="110"/>
      <c r="B132" s="110"/>
      <c r="C132" s="110"/>
      <c r="D132" s="110"/>
      <c r="E132" s="110"/>
      <c r="F132" s="110"/>
      <c r="G132" s="110"/>
    </row>
    <row r="133" spans="1:7" x14ac:dyDescent="0.25">
      <c r="A133" s="110"/>
      <c r="B133" s="110"/>
      <c r="C133" s="110"/>
      <c r="D133" s="110"/>
      <c r="E133" s="110"/>
      <c r="F133" s="110"/>
      <c r="G133" s="110"/>
    </row>
    <row r="135" spans="1:7" x14ac:dyDescent="0.25">
      <c r="A135" s="3" t="s">
        <v>8</v>
      </c>
      <c r="B135" s="43">
        <f>SUMIF(F68:F87,"",E68:E87)</f>
        <v>272029</v>
      </c>
    </row>
    <row r="136" spans="1:7" x14ac:dyDescent="0.25">
      <c r="A136" s="3" t="s">
        <v>265</v>
      </c>
      <c r="B136" t="str">
        <f>IF(B135&gt;SUMIF(F68:F87,"&lt;&gt;",E68:E87),"Több, mint törzskártyával","Kevesebb, mint törzskártyával")</f>
        <v>Több, mint törzskártyával</v>
      </c>
    </row>
    <row r="138" spans="1:7" ht="24.95" customHeight="1" x14ac:dyDescent="0.25">
      <c r="A138" s="90" t="s">
        <v>235</v>
      </c>
      <c r="B138" s="48"/>
      <c r="C138" s="48"/>
      <c r="D138" s="48"/>
      <c r="E138" s="48"/>
      <c r="F138" s="48"/>
      <c r="G138" s="48"/>
    </row>
    <row r="139" spans="1:7" x14ac:dyDescent="0.25">
      <c r="A139" s="110" t="s">
        <v>266</v>
      </c>
      <c r="B139" s="110"/>
      <c r="C139" s="110"/>
      <c r="D139" s="110"/>
      <c r="E139" s="110"/>
      <c r="F139" s="110"/>
      <c r="G139" s="110"/>
    </row>
    <row r="140" spans="1:7" x14ac:dyDescent="0.25">
      <c r="A140" s="110"/>
      <c r="B140" s="110"/>
      <c r="C140" s="110"/>
      <c r="D140" s="110"/>
      <c r="E140" s="110"/>
      <c r="F140" s="110"/>
      <c r="G140" s="110"/>
    </row>
    <row r="142" spans="1:7" x14ac:dyDescent="0.25">
      <c r="A142" s="56" t="s">
        <v>246</v>
      </c>
      <c r="B142" s="43">
        <f>SUMIF($A$68:$A$87,A142, $E$68:$E$87)</f>
        <v>101233</v>
      </c>
    </row>
    <row r="143" spans="1:7" x14ac:dyDescent="0.25">
      <c r="A143" s="56" t="s">
        <v>169</v>
      </c>
      <c r="B143" s="43">
        <f t="shared" ref="B143:B146" si="2">SUMIF($A$68:$A$87,A143, $E$68:$E$87)</f>
        <v>136558</v>
      </c>
    </row>
    <row r="144" spans="1:7" x14ac:dyDescent="0.25">
      <c r="A144" s="56" t="s">
        <v>248</v>
      </c>
      <c r="B144" s="43">
        <f t="shared" si="2"/>
        <v>92231</v>
      </c>
    </row>
    <row r="145" spans="1:7" ht="15" customHeight="1" x14ac:dyDescent="0.25">
      <c r="A145" s="56" t="s">
        <v>173</v>
      </c>
      <c r="B145" s="43">
        <f t="shared" si="2"/>
        <v>83792</v>
      </c>
    </row>
    <row r="146" spans="1:7" x14ac:dyDescent="0.25">
      <c r="A146" s="56" t="s">
        <v>249</v>
      </c>
      <c r="B146" s="43">
        <f t="shared" si="2"/>
        <v>77820</v>
      </c>
    </row>
    <row r="148" spans="1:7" ht="24.95" customHeight="1" x14ac:dyDescent="0.25">
      <c r="A148" s="90" t="s">
        <v>237</v>
      </c>
      <c r="B148" s="48"/>
      <c r="C148" s="48"/>
      <c r="D148" s="48"/>
      <c r="E148" s="48"/>
      <c r="F148" s="48"/>
      <c r="G148" s="48"/>
    </row>
    <row r="149" spans="1:7" x14ac:dyDescent="0.25">
      <c r="A149" s="110" t="s">
        <v>269</v>
      </c>
      <c r="B149" s="110"/>
      <c r="C149" s="110"/>
      <c r="D149" s="110"/>
      <c r="E149" s="110"/>
      <c r="F149" s="110"/>
      <c r="G149" s="110"/>
    </row>
    <row r="150" spans="1:7" x14ac:dyDescent="0.25">
      <c r="A150" s="110"/>
      <c r="B150" s="110"/>
      <c r="C150" s="110"/>
      <c r="D150" s="110"/>
      <c r="E150" s="110"/>
      <c r="F150" s="110"/>
      <c r="G150" s="110"/>
    </row>
    <row r="152" spans="1:7" x14ac:dyDescent="0.25">
      <c r="A152" s="3" t="s">
        <v>267</v>
      </c>
      <c r="B152" s="91">
        <f>MAX(E68:E87)</f>
        <v>39675</v>
      </c>
    </row>
    <row r="153" spans="1:7" ht="15" customHeight="1" x14ac:dyDescent="0.25">
      <c r="A153" s="3" t="s">
        <v>268</v>
      </c>
      <c r="B153" s="91">
        <f>MIN(E68:E87)</f>
        <v>11345</v>
      </c>
    </row>
    <row r="154" spans="1:7" x14ac:dyDescent="0.25">
      <c r="A154" s="3" t="s">
        <v>270</v>
      </c>
      <c r="B154" s="79">
        <f>SMALL(B68:B87,2)</f>
        <v>44927.595833333333</v>
      </c>
    </row>
    <row r="156" spans="1:7" ht="24.95" customHeight="1" x14ac:dyDescent="0.25">
      <c r="A156" s="90" t="s">
        <v>275</v>
      </c>
      <c r="B156" s="48"/>
      <c r="C156" s="48"/>
      <c r="D156" s="48"/>
      <c r="E156" s="48"/>
      <c r="F156" s="48"/>
      <c r="G156" s="48"/>
    </row>
    <row r="157" spans="1:7" x14ac:dyDescent="0.25">
      <c r="A157" s="110" t="s">
        <v>271</v>
      </c>
      <c r="B157" s="110"/>
      <c r="C157" s="110"/>
      <c r="D157" s="110"/>
      <c r="E157" s="110"/>
      <c r="F157" s="110"/>
      <c r="G157" s="110"/>
    </row>
    <row r="158" spans="1:7" x14ac:dyDescent="0.25">
      <c r="A158" s="110"/>
      <c r="B158" s="110"/>
      <c r="C158" s="110"/>
      <c r="D158" s="110"/>
      <c r="E158" s="110"/>
      <c r="F158" s="110"/>
      <c r="G158" s="110"/>
    </row>
    <row r="159" spans="1:7" ht="15" customHeight="1" x14ac:dyDescent="0.25"/>
    <row r="160" spans="1:7" x14ac:dyDescent="0.25">
      <c r="A160" s="3" t="s">
        <v>8</v>
      </c>
      <c r="B160" s="2">
        <f ca="1">ROUNDDOWN(TODAY()-MIN(B68:B87),0)</f>
        <v>853</v>
      </c>
    </row>
    <row r="162" spans="1:7" ht="24.95" customHeight="1" x14ac:dyDescent="0.25">
      <c r="A162" s="90" t="s">
        <v>276</v>
      </c>
      <c r="B162" s="48"/>
      <c r="C162" s="48"/>
      <c r="D162" s="48"/>
      <c r="E162" s="48"/>
      <c r="F162" s="48"/>
      <c r="G162" s="48"/>
    </row>
    <row r="163" spans="1:7" ht="15" customHeight="1" x14ac:dyDescent="0.25">
      <c r="A163" s="110" t="s">
        <v>274</v>
      </c>
      <c r="B163" s="110"/>
      <c r="C163" s="110"/>
      <c r="D163" s="110"/>
      <c r="E163" s="110"/>
      <c r="F163" s="110"/>
      <c r="G163" s="110"/>
    </row>
    <row r="164" spans="1:7" x14ac:dyDescent="0.25">
      <c r="A164" s="110"/>
      <c r="B164" s="110"/>
      <c r="C164" s="110"/>
      <c r="D164" s="110"/>
      <c r="E164" s="110"/>
      <c r="F164" s="110"/>
      <c r="G164" s="110"/>
    </row>
    <row r="165" spans="1:7" x14ac:dyDescent="0.25">
      <c r="A165" s="110"/>
      <c r="B165" s="110"/>
      <c r="C165" s="110"/>
      <c r="D165" s="110"/>
      <c r="E165" s="110"/>
      <c r="F165" s="110"/>
      <c r="G165" s="110"/>
    </row>
    <row r="167" spans="1:7" x14ac:dyDescent="0.25">
      <c r="A167" s="3" t="s">
        <v>272</v>
      </c>
      <c r="B167" s="43">
        <f>SUMIF(G68:G87,1,E68:E87)</f>
        <v>404183</v>
      </c>
    </row>
    <row r="168" spans="1:7" x14ac:dyDescent="0.25">
      <c r="A168" s="3" t="s">
        <v>273</v>
      </c>
      <c r="B168" s="43">
        <f>SUMIF(G68:G87,2,E68:E87)</f>
        <v>87451</v>
      </c>
    </row>
    <row r="169" spans="1:7" x14ac:dyDescent="0.25">
      <c r="A169" s="3" t="s">
        <v>8</v>
      </c>
      <c r="B169" t="str">
        <f>IF(B167&gt;B168,"Első héten","Második héten")</f>
        <v>Első héten</v>
      </c>
    </row>
  </sheetData>
  <mergeCells count="68">
    <mergeCell ref="A45:W45"/>
    <mergeCell ref="A46:C46"/>
    <mergeCell ref="E46:G46"/>
    <mergeCell ref="I46:K46"/>
    <mergeCell ref="M46:O46"/>
    <mergeCell ref="Q46:S46"/>
    <mergeCell ref="U46:W46"/>
    <mergeCell ref="E42:K42"/>
    <mergeCell ref="E36:K37"/>
    <mergeCell ref="E38:K39"/>
    <mergeCell ref="E40:K41"/>
    <mergeCell ref="E43:K43"/>
    <mergeCell ref="U17:W17"/>
    <mergeCell ref="A35:C35"/>
    <mergeCell ref="A28:C28"/>
    <mergeCell ref="E28:G28"/>
    <mergeCell ref="I28:K28"/>
    <mergeCell ref="M28:O28"/>
    <mergeCell ref="A29:C29"/>
    <mergeCell ref="E29:G29"/>
    <mergeCell ref="Q18:S18"/>
    <mergeCell ref="U18:W18"/>
    <mergeCell ref="A18:C18"/>
    <mergeCell ref="E18:G18"/>
    <mergeCell ref="I18:K18"/>
    <mergeCell ref="M18:O18"/>
    <mergeCell ref="I29:K29"/>
    <mergeCell ref="M29:O29"/>
    <mergeCell ref="A17:C17"/>
    <mergeCell ref="E17:G17"/>
    <mergeCell ref="I17:K17"/>
    <mergeCell ref="M17:O17"/>
    <mergeCell ref="Q17:S17"/>
    <mergeCell ref="A1:C1"/>
    <mergeCell ref="A8:C8"/>
    <mergeCell ref="E8:G8"/>
    <mergeCell ref="I8:K8"/>
    <mergeCell ref="M8:O8"/>
    <mergeCell ref="A6:W6"/>
    <mergeCell ref="A7:C7"/>
    <mergeCell ref="E7:G7"/>
    <mergeCell ref="I7:K7"/>
    <mergeCell ref="M7:O7"/>
    <mergeCell ref="U47:W47"/>
    <mergeCell ref="A61:G65"/>
    <mergeCell ref="A51:C53"/>
    <mergeCell ref="Q51:S52"/>
    <mergeCell ref="A47:C47"/>
    <mergeCell ref="E47:G47"/>
    <mergeCell ref="I47:K47"/>
    <mergeCell ref="M47:O47"/>
    <mergeCell ref="B49:C49"/>
    <mergeCell ref="Q47:S47"/>
    <mergeCell ref="B48:C48"/>
    <mergeCell ref="A57:G57"/>
    <mergeCell ref="A58:G59"/>
    <mergeCell ref="A163:G165"/>
    <mergeCell ref="A90:G90"/>
    <mergeCell ref="A95:G96"/>
    <mergeCell ref="A102:G102"/>
    <mergeCell ref="A107:G108"/>
    <mergeCell ref="A116:G116"/>
    <mergeCell ref="A121:G121"/>
    <mergeCell ref="A126:G126"/>
    <mergeCell ref="A131:G133"/>
    <mergeCell ref="A139:G140"/>
    <mergeCell ref="A149:G150"/>
    <mergeCell ref="A157:G1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08B78-09BD-40EF-B7EC-AB3CAD788887}">
  <dimension ref="A1:S73"/>
  <sheetViews>
    <sheetView topLeftCell="A64" zoomScale="130" zoomScaleNormal="130" workbookViewId="0">
      <selection activeCell="B73" sqref="B73"/>
    </sheetView>
  </sheetViews>
  <sheetFormatPr defaultRowHeight="15" x14ac:dyDescent="0.25"/>
  <cols>
    <col min="1" max="3" width="13.28515625" customWidth="1"/>
    <col min="4" max="4" width="2.7109375" customWidth="1"/>
    <col min="5" max="7" width="13.28515625" customWidth="1"/>
    <col min="8" max="8" width="2.7109375" customWidth="1"/>
    <col min="9" max="11" width="13.28515625" customWidth="1"/>
    <col min="12" max="12" width="2.7109375" customWidth="1"/>
    <col min="13" max="15" width="13.28515625" customWidth="1"/>
    <col min="16" max="16" width="2.7109375" customWidth="1"/>
    <col min="17" max="19" width="13.28515625" customWidth="1"/>
  </cols>
  <sheetData>
    <row r="1" spans="1:19" ht="35.1" customHeight="1" x14ac:dyDescent="0.25">
      <c r="A1" s="105" t="s">
        <v>157</v>
      </c>
      <c r="B1" s="105"/>
      <c r="C1" s="105"/>
    </row>
    <row r="2" spans="1:19" x14ac:dyDescent="0.25">
      <c r="A2" t="s">
        <v>158</v>
      </c>
      <c r="B2" t="str">
        <f>A2&amp;" - "&amp;J8</f>
        <v>almafa - körtefa</v>
      </c>
      <c r="E2" t="s">
        <v>159</v>
      </c>
    </row>
    <row r="4" spans="1:19" ht="35.1" customHeight="1" x14ac:dyDescent="0.25">
      <c r="A4" s="105" t="s">
        <v>152</v>
      </c>
      <c r="B4" s="105"/>
      <c r="C4" s="105"/>
      <c r="D4" s="105"/>
      <c r="E4" s="105"/>
      <c r="F4" s="105"/>
      <c r="G4" s="105"/>
      <c r="H4" s="105"/>
      <c r="I4" s="105"/>
      <c r="J4" s="105"/>
      <c r="K4" s="105"/>
      <c r="L4" s="105"/>
      <c r="M4" s="105"/>
      <c r="N4" s="105"/>
      <c r="O4" s="105"/>
      <c r="P4" s="97"/>
      <c r="Q4" s="97"/>
      <c r="R4" s="97"/>
      <c r="S4" s="97"/>
    </row>
    <row r="5" spans="1:19" x14ac:dyDescent="0.25">
      <c r="A5" s="118" t="s">
        <v>153</v>
      </c>
      <c r="B5" s="118"/>
      <c r="C5" s="118"/>
      <c r="E5" s="118" t="s">
        <v>154</v>
      </c>
      <c r="F5" s="118"/>
      <c r="G5" s="118"/>
      <c r="I5" s="118" t="s">
        <v>155</v>
      </c>
      <c r="J5" s="118"/>
      <c r="K5" s="118"/>
      <c r="M5" s="118" t="s">
        <v>156</v>
      </c>
      <c r="N5" s="118"/>
      <c r="O5" s="118"/>
      <c r="Q5" s="117" t="s">
        <v>277</v>
      </c>
      <c r="R5" s="118"/>
      <c r="S5" s="118"/>
    </row>
    <row r="6" spans="1:19" ht="45" customHeight="1" x14ac:dyDescent="0.25">
      <c r="A6" s="116" t="s">
        <v>161</v>
      </c>
      <c r="B6" s="116"/>
      <c r="C6" s="116"/>
      <c r="E6" s="116" t="s">
        <v>163</v>
      </c>
      <c r="F6" s="116"/>
      <c r="G6" s="116"/>
      <c r="I6" s="116" t="s">
        <v>162</v>
      </c>
      <c r="J6" s="116"/>
      <c r="K6" s="116"/>
      <c r="M6" s="116" t="s">
        <v>164</v>
      </c>
      <c r="N6" s="116"/>
      <c r="O6" s="116"/>
      <c r="Q6" s="116" t="s">
        <v>278</v>
      </c>
      <c r="R6" s="116"/>
      <c r="S6" s="116"/>
    </row>
    <row r="7" spans="1:19" x14ac:dyDescent="0.25">
      <c r="B7" t="s">
        <v>158</v>
      </c>
      <c r="C7" t="s">
        <v>158</v>
      </c>
      <c r="F7" t="s">
        <v>160</v>
      </c>
      <c r="J7" t="s">
        <v>158</v>
      </c>
      <c r="N7" t="s">
        <v>158</v>
      </c>
      <c r="R7" t="s">
        <v>158</v>
      </c>
    </row>
    <row r="8" spans="1:19" x14ac:dyDescent="0.25">
      <c r="A8" s="47" t="s">
        <v>8</v>
      </c>
      <c r="B8" t="str">
        <f>LEFT(B7,4)</f>
        <v>alma</v>
      </c>
      <c r="C8" t="str">
        <f>RIGHT(C7,2)</f>
        <v>fa</v>
      </c>
      <c r="E8" s="47" t="s">
        <v>8</v>
      </c>
      <c r="F8" t="str">
        <f>MID(F7,4,2)</f>
        <v>lő</v>
      </c>
      <c r="I8" s="47" t="s">
        <v>8</v>
      </c>
      <c r="J8" t="str">
        <f>REPLACE(J7,1,4,"körte")</f>
        <v>körtefa</v>
      </c>
      <c r="K8" t="str">
        <f>REPLACE(J7,1,4,LEFT(F7,5))</f>
        <v>szőlőfa</v>
      </c>
      <c r="M8" s="47" t="s">
        <v>8</v>
      </c>
      <c r="N8">
        <f>SEARCH("fa",N7,1)</f>
        <v>5</v>
      </c>
      <c r="Q8" s="47" t="s">
        <v>8</v>
      </c>
      <c r="R8">
        <f>LEN(R7)</f>
        <v>6</v>
      </c>
    </row>
    <row r="13" spans="1:19" ht="32.1" customHeight="1" x14ac:dyDescent="0.25">
      <c r="A13" s="105" t="s">
        <v>39</v>
      </c>
      <c r="B13" s="105"/>
      <c r="C13" s="105"/>
      <c r="D13" s="105"/>
      <c r="E13" s="105"/>
      <c r="F13" s="105"/>
      <c r="G13" s="105"/>
    </row>
    <row r="14" spans="1:19" ht="45" customHeight="1" x14ac:dyDescent="0.25">
      <c r="A14" s="110" t="s">
        <v>279</v>
      </c>
      <c r="B14" s="110"/>
      <c r="C14" s="110"/>
      <c r="D14" s="110"/>
      <c r="E14" s="110"/>
      <c r="F14" s="110"/>
      <c r="G14" s="110"/>
    </row>
    <row r="16" spans="1:19" ht="24.95" customHeight="1" x14ac:dyDescent="0.25">
      <c r="A16" s="112" t="s">
        <v>41</v>
      </c>
      <c r="B16" s="112"/>
      <c r="C16" s="112"/>
      <c r="D16" s="112"/>
      <c r="E16" s="112"/>
      <c r="F16" s="112"/>
      <c r="G16" s="112"/>
    </row>
    <row r="17" spans="1:7" ht="15" customHeight="1" x14ac:dyDescent="0.25">
      <c r="A17" s="110" t="s">
        <v>280</v>
      </c>
      <c r="B17" s="110"/>
      <c r="C17" s="110"/>
      <c r="D17" s="110"/>
      <c r="E17" s="110"/>
      <c r="F17" s="110"/>
      <c r="G17" s="110"/>
    </row>
    <row r="18" spans="1:7" x14ac:dyDescent="0.25">
      <c r="A18" s="110"/>
      <c r="B18" s="110"/>
      <c r="C18" s="110"/>
      <c r="D18" s="110"/>
      <c r="E18" s="110"/>
      <c r="F18" s="110"/>
      <c r="G18" s="110"/>
    </row>
    <row r="19" spans="1:7" x14ac:dyDescent="0.25">
      <c r="A19" s="110"/>
      <c r="B19" s="110"/>
      <c r="C19" s="110"/>
      <c r="D19" s="110"/>
      <c r="E19" s="110"/>
      <c r="F19" s="110"/>
      <c r="G19" s="110"/>
    </row>
    <row r="20" spans="1:7" ht="15.75" thickBot="1" x14ac:dyDescent="0.3"/>
    <row r="21" spans="1:7" x14ac:dyDescent="0.25">
      <c r="B21" s="99" t="s">
        <v>281</v>
      </c>
    </row>
    <row r="22" spans="1:7" x14ac:dyDescent="0.25">
      <c r="B22" s="98" t="str">
        <f>LEFT('2. Szám - Statisztikai'!A68,5)&amp;"..."</f>
        <v>Kovác...</v>
      </c>
    </row>
    <row r="23" spans="1:7" x14ac:dyDescent="0.25">
      <c r="B23" s="98" t="str">
        <f>LEFT('2. Szám - Statisztikai'!A69,5)&amp;"…"</f>
        <v>Nagy …</v>
      </c>
    </row>
    <row r="24" spans="1:7" x14ac:dyDescent="0.25">
      <c r="B24" s="98" t="str">
        <f>LEFT('2. Szám - Statisztikai'!A70,5)&amp;"…"</f>
        <v>Szabó…</v>
      </c>
    </row>
    <row r="25" spans="1:7" x14ac:dyDescent="0.25">
      <c r="B25" s="98" t="str">
        <f>LEFT('2. Szám - Statisztikai'!A71,5)&amp;"…"</f>
        <v>Kovác…</v>
      </c>
    </row>
    <row r="26" spans="1:7" x14ac:dyDescent="0.25">
      <c r="B26" s="98" t="str">
        <f>LEFT('2. Szám - Statisztikai'!A72,5)&amp;"…"</f>
        <v>Nagy …</v>
      </c>
    </row>
    <row r="27" spans="1:7" x14ac:dyDescent="0.25">
      <c r="B27" s="98" t="str">
        <f>LEFT('2. Szám - Statisztikai'!A73,5)&amp;"…"</f>
        <v>Szabó…</v>
      </c>
    </row>
    <row r="28" spans="1:7" x14ac:dyDescent="0.25">
      <c r="B28" s="98" t="str">
        <f>LEFT('2. Szám - Statisztikai'!A74,5)&amp;"…"</f>
        <v>Tóth …</v>
      </c>
    </row>
    <row r="29" spans="1:7" x14ac:dyDescent="0.25">
      <c r="B29" s="98" t="str">
        <f>LEFT('2. Szám - Statisztikai'!A75,5)&amp;"…"</f>
        <v>Szilá…</v>
      </c>
    </row>
    <row r="30" spans="1:7" x14ac:dyDescent="0.25">
      <c r="B30" s="98" t="str">
        <f>LEFT('2. Szám - Statisztikai'!A76,5)&amp;"…"</f>
        <v>Kovác…</v>
      </c>
    </row>
    <row r="31" spans="1:7" x14ac:dyDescent="0.25">
      <c r="B31" s="98" t="str">
        <f>LEFT('2. Szám - Statisztikai'!A77,5)&amp;"…"</f>
        <v>Nagy …</v>
      </c>
    </row>
    <row r="32" spans="1:7" x14ac:dyDescent="0.25">
      <c r="B32" s="98" t="str">
        <f>LEFT('2. Szám - Statisztikai'!A78,5)&amp;"…"</f>
        <v>Szabó…</v>
      </c>
    </row>
    <row r="33" spans="1:7" x14ac:dyDescent="0.25">
      <c r="B33" s="98" t="str">
        <f>LEFT('2. Szám - Statisztikai'!A79,5)&amp;"…"</f>
        <v>Tóth …</v>
      </c>
    </row>
    <row r="34" spans="1:7" x14ac:dyDescent="0.25">
      <c r="B34" s="98" t="str">
        <f>LEFT('2. Szám - Statisztikai'!A80,5)&amp;"…"</f>
        <v>Szilá…</v>
      </c>
    </row>
    <row r="35" spans="1:7" x14ac:dyDescent="0.25">
      <c r="B35" s="98" t="str">
        <f>LEFT('2. Szám - Statisztikai'!A81,5)&amp;"…"</f>
        <v>Kovác…</v>
      </c>
    </row>
    <row r="36" spans="1:7" x14ac:dyDescent="0.25">
      <c r="B36" s="98" t="str">
        <f>LEFT('2. Szám - Statisztikai'!A82,5)&amp;"…"</f>
        <v>Nagy …</v>
      </c>
    </row>
    <row r="37" spans="1:7" x14ac:dyDescent="0.25">
      <c r="B37" s="98" t="str">
        <f>LEFT('2. Szám - Statisztikai'!A83,5)&amp;"…"</f>
        <v>Szabó…</v>
      </c>
    </row>
    <row r="38" spans="1:7" x14ac:dyDescent="0.25">
      <c r="B38" s="98" t="str">
        <f>LEFT('2. Szám - Statisztikai'!A84,5)&amp;"…"</f>
        <v>Tóth …</v>
      </c>
    </row>
    <row r="39" spans="1:7" x14ac:dyDescent="0.25">
      <c r="B39" s="98" t="str">
        <f>LEFT('2. Szám - Statisztikai'!A85,5)&amp;"…"</f>
        <v>Szilá…</v>
      </c>
    </row>
    <row r="40" spans="1:7" x14ac:dyDescent="0.25">
      <c r="B40" s="98" t="str">
        <f>LEFT('2. Szám - Statisztikai'!A86,5)&amp;"…"</f>
        <v>Kovác…</v>
      </c>
    </row>
    <row r="41" spans="1:7" x14ac:dyDescent="0.25">
      <c r="B41" s="98" t="str">
        <f>LEFT('2. Szám - Statisztikai'!A87,5)&amp;"…"</f>
        <v>Nagy …</v>
      </c>
    </row>
    <row r="43" spans="1:7" ht="24.95" customHeight="1" x14ac:dyDescent="0.25">
      <c r="A43" s="90" t="s">
        <v>44</v>
      </c>
      <c r="B43" s="48"/>
      <c r="C43" s="48"/>
      <c r="D43" s="48"/>
      <c r="E43" s="48"/>
      <c r="F43" s="48"/>
      <c r="G43" s="48"/>
    </row>
    <row r="44" spans="1:7" x14ac:dyDescent="0.25">
      <c r="A44" s="110" t="s">
        <v>282</v>
      </c>
      <c r="B44" s="110"/>
      <c r="C44" s="110"/>
      <c r="D44" s="110"/>
      <c r="E44" s="110"/>
      <c r="F44" s="110"/>
      <c r="G44" s="110"/>
    </row>
    <row r="45" spans="1:7" x14ac:dyDescent="0.25">
      <c r="A45" s="110"/>
      <c r="B45" s="110"/>
      <c r="C45" s="110"/>
      <c r="D45" s="110"/>
      <c r="E45" s="110"/>
      <c r="F45" s="110"/>
      <c r="G45" s="110"/>
    </row>
    <row r="46" spans="1:7" ht="15.75" thickBot="1" x14ac:dyDescent="0.3"/>
    <row r="47" spans="1:7" x14ac:dyDescent="0.25">
      <c r="B47" s="84" t="s">
        <v>283</v>
      </c>
      <c r="C47" s="85" t="s">
        <v>284</v>
      </c>
    </row>
    <row r="48" spans="1:7" x14ac:dyDescent="0.25">
      <c r="B48" s="56" t="str">
        <f>LEFT('2. Szám - Statisztikai'!A68,SEARCH(" ",'2. Szám - Statisztikai'!A68))</f>
        <v xml:space="preserve">Kovács </v>
      </c>
      <c r="C48" s="62" t="str">
        <f>MID('2. Szám - Statisztikai'!A68,SEARCH(" ",'2. Szám - Statisztikai'!A68)+1,100)</f>
        <v>János</v>
      </c>
      <c r="E48">
        <f>LEN(C48)</f>
        <v>5</v>
      </c>
    </row>
    <row r="49" spans="2:5" x14ac:dyDescent="0.25">
      <c r="B49" s="56" t="str">
        <f>LEFT('2. Szám - Statisztikai'!A69,SEARCH(" ",'2. Szám - Statisztikai'!A69))</f>
        <v xml:space="preserve">Nagy </v>
      </c>
      <c r="C49" s="62" t="str">
        <f>MID('2. Szám - Statisztikai'!A69,SEARCH(" ",'2. Szám - Statisztikai'!A69)+1,100)</f>
        <v>Andrea</v>
      </c>
      <c r="E49">
        <f>LEN(C49)</f>
        <v>6</v>
      </c>
    </row>
    <row r="50" spans="2:5" x14ac:dyDescent="0.25">
      <c r="B50" s="56" t="str">
        <f>LEFT('2. Szám - Statisztikai'!A70,SEARCH(" ",'2. Szám - Statisztikai'!A70))</f>
        <v xml:space="preserve">Szabó </v>
      </c>
      <c r="C50" s="62" t="str">
        <f>MID('2. Szám - Statisztikai'!A70,SEARCH(" ",'2. Szám - Statisztikai'!A70)+1,100)</f>
        <v>István</v>
      </c>
      <c r="E50">
        <f t="shared" ref="E50:E67" si="0">LEN(C50)</f>
        <v>6</v>
      </c>
    </row>
    <row r="51" spans="2:5" x14ac:dyDescent="0.25">
      <c r="B51" s="56" t="str">
        <f>LEFT('2. Szám - Statisztikai'!A71,SEARCH(" ",'2. Szám - Statisztikai'!A71))</f>
        <v xml:space="preserve">Kovács </v>
      </c>
      <c r="C51" s="62" t="str">
        <f>MID('2. Szám - Statisztikai'!A71,SEARCH(" ",'2. Szám - Statisztikai'!A71)+1,100)</f>
        <v>János</v>
      </c>
      <c r="E51">
        <f t="shared" si="0"/>
        <v>5</v>
      </c>
    </row>
    <row r="52" spans="2:5" x14ac:dyDescent="0.25">
      <c r="B52" s="56" t="str">
        <f>LEFT('2. Szám - Statisztikai'!A72,SEARCH(" ",'2. Szám - Statisztikai'!A72))</f>
        <v xml:space="preserve">Nagy </v>
      </c>
      <c r="C52" s="62" t="str">
        <f>MID('2. Szám - Statisztikai'!A72,SEARCH(" ",'2. Szám - Statisztikai'!A72)+1,100)</f>
        <v>Andrea</v>
      </c>
      <c r="E52">
        <f t="shared" si="0"/>
        <v>6</v>
      </c>
    </row>
    <row r="53" spans="2:5" x14ac:dyDescent="0.25">
      <c r="B53" s="56" t="str">
        <f>LEFT('2. Szám - Statisztikai'!A73,SEARCH(" ",'2. Szám - Statisztikai'!A73))</f>
        <v xml:space="preserve">Szabó </v>
      </c>
      <c r="C53" s="62" t="str">
        <f>MID('2. Szám - Statisztikai'!A73,SEARCH(" ",'2. Szám - Statisztikai'!A73)+1,100)</f>
        <v>István</v>
      </c>
      <c r="E53">
        <f t="shared" si="0"/>
        <v>6</v>
      </c>
    </row>
    <row r="54" spans="2:5" x14ac:dyDescent="0.25">
      <c r="B54" s="56" t="str">
        <f>LEFT('2. Szám - Statisztikai'!A74,SEARCH(" ",'2. Szám - Statisztikai'!A74))</f>
        <v xml:space="preserve">Tóth </v>
      </c>
      <c r="C54" s="62" t="str">
        <f>MID('2. Szám - Statisztikai'!A74,SEARCH(" ",'2. Szám - Statisztikai'!A74)+1,100)</f>
        <v>Éva</v>
      </c>
      <c r="E54">
        <f t="shared" si="0"/>
        <v>3</v>
      </c>
    </row>
    <row r="55" spans="2:5" x14ac:dyDescent="0.25">
      <c r="B55" s="56" t="str">
        <f>LEFT('2. Szám - Statisztikai'!A75,SEARCH(" ",'2. Szám - Statisztikai'!A75))</f>
        <v xml:space="preserve">Szilárd </v>
      </c>
      <c r="C55" s="62" t="str">
        <f>MID('2. Szám - Statisztikai'!A75,SEARCH(" ",'2. Szám - Statisztikai'!A75)+1,100)</f>
        <v>Gergely</v>
      </c>
      <c r="E55">
        <f t="shared" si="0"/>
        <v>7</v>
      </c>
    </row>
    <row r="56" spans="2:5" x14ac:dyDescent="0.25">
      <c r="B56" s="56" t="str">
        <f>LEFT('2. Szám - Statisztikai'!A76,SEARCH(" ",'2. Szám - Statisztikai'!A76))</f>
        <v xml:space="preserve">Kovács </v>
      </c>
      <c r="C56" s="62" t="str">
        <f>MID('2. Szám - Statisztikai'!A76,SEARCH(" ",'2. Szám - Statisztikai'!A76)+1,100)</f>
        <v>János</v>
      </c>
      <c r="E56">
        <f t="shared" si="0"/>
        <v>5</v>
      </c>
    </row>
    <row r="57" spans="2:5" x14ac:dyDescent="0.25">
      <c r="B57" s="56" t="str">
        <f>LEFT('2. Szám - Statisztikai'!A77,SEARCH(" ",'2. Szám - Statisztikai'!A77))</f>
        <v xml:space="preserve">Nagy </v>
      </c>
      <c r="C57" s="62" t="str">
        <f>MID('2. Szám - Statisztikai'!A77,SEARCH(" ",'2. Szám - Statisztikai'!A77)+1,100)</f>
        <v>Andrea</v>
      </c>
      <c r="E57">
        <f t="shared" si="0"/>
        <v>6</v>
      </c>
    </row>
    <row r="58" spans="2:5" x14ac:dyDescent="0.25">
      <c r="B58" s="56" t="str">
        <f>LEFT('2. Szám - Statisztikai'!A78,SEARCH(" ",'2. Szám - Statisztikai'!A78))</f>
        <v xml:space="preserve">Szabó </v>
      </c>
      <c r="C58" s="62" t="str">
        <f>MID('2. Szám - Statisztikai'!A78,SEARCH(" ",'2. Szám - Statisztikai'!A78)+1,100)</f>
        <v>István</v>
      </c>
      <c r="E58">
        <f t="shared" si="0"/>
        <v>6</v>
      </c>
    </row>
    <row r="59" spans="2:5" x14ac:dyDescent="0.25">
      <c r="B59" s="56" t="str">
        <f>LEFT('2. Szám - Statisztikai'!A79,SEARCH(" ",'2. Szám - Statisztikai'!A79))</f>
        <v xml:space="preserve">Tóth </v>
      </c>
      <c r="C59" s="62" t="str">
        <f>MID('2. Szám - Statisztikai'!A79,SEARCH(" ",'2. Szám - Statisztikai'!A79)+1,100)</f>
        <v>Éva</v>
      </c>
      <c r="E59">
        <f t="shared" si="0"/>
        <v>3</v>
      </c>
    </row>
    <row r="60" spans="2:5" x14ac:dyDescent="0.25">
      <c r="B60" s="56" t="str">
        <f>LEFT('2. Szám - Statisztikai'!A80,SEARCH(" ",'2. Szám - Statisztikai'!A80))</f>
        <v xml:space="preserve">Szilárd </v>
      </c>
      <c r="C60" s="62" t="str">
        <f>MID('2. Szám - Statisztikai'!A80,SEARCH(" ",'2. Szám - Statisztikai'!A80)+1,100)</f>
        <v>Gergely</v>
      </c>
      <c r="E60">
        <f t="shared" si="0"/>
        <v>7</v>
      </c>
    </row>
    <row r="61" spans="2:5" x14ac:dyDescent="0.25">
      <c r="B61" s="56" t="str">
        <f>LEFT('2. Szám - Statisztikai'!A81,SEARCH(" ",'2. Szám - Statisztikai'!A81))</f>
        <v xml:space="preserve">Kovács </v>
      </c>
      <c r="C61" s="62" t="str">
        <f>MID('2. Szám - Statisztikai'!A81,SEARCH(" ",'2. Szám - Statisztikai'!A81)+1,100)</f>
        <v>János</v>
      </c>
      <c r="E61">
        <f t="shared" si="0"/>
        <v>5</v>
      </c>
    </row>
    <row r="62" spans="2:5" x14ac:dyDescent="0.25">
      <c r="B62" s="56" t="str">
        <f>LEFT('2. Szám - Statisztikai'!A82,SEARCH(" ",'2. Szám - Statisztikai'!A82))</f>
        <v xml:space="preserve">Nagy </v>
      </c>
      <c r="C62" s="62" t="str">
        <f>MID('2. Szám - Statisztikai'!A82,SEARCH(" ",'2. Szám - Statisztikai'!A82)+1,100)</f>
        <v>Andrea</v>
      </c>
      <c r="E62">
        <f t="shared" si="0"/>
        <v>6</v>
      </c>
    </row>
    <row r="63" spans="2:5" x14ac:dyDescent="0.25">
      <c r="B63" s="56" t="str">
        <f>LEFT('2. Szám - Statisztikai'!A83,SEARCH(" ",'2. Szám - Statisztikai'!A83))</f>
        <v xml:space="preserve">Szabó </v>
      </c>
      <c r="C63" s="62" t="str">
        <f>MID('2. Szám - Statisztikai'!A83,SEARCH(" ",'2. Szám - Statisztikai'!A83)+1,100)</f>
        <v>István</v>
      </c>
      <c r="E63">
        <f t="shared" si="0"/>
        <v>6</v>
      </c>
    </row>
    <row r="64" spans="2:5" x14ac:dyDescent="0.25">
      <c r="B64" s="56" t="str">
        <f>LEFT('2. Szám - Statisztikai'!A84,SEARCH(" ",'2. Szám - Statisztikai'!A84))</f>
        <v xml:space="preserve">Tóth </v>
      </c>
      <c r="C64" s="62" t="str">
        <f>MID('2. Szám - Statisztikai'!A84,SEARCH(" ",'2. Szám - Statisztikai'!A84)+1,100)</f>
        <v>Éva</v>
      </c>
      <c r="E64">
        <f t="shared" si="0"/>
        <v>3</v>
      </c>
    </row>
    <row r="65" spans="1:7" x14ac:dyDescent="0.25">
      <c r="B65" s="56" t="str">
        <f>LEFT('2. Szám - Statisztikai'!A85,SEARCH(" ",'2. Szám - Statisztikai'!A85))</f>
        <v xml:space="preserve">Szilárd </v>
      </c>
      <c r="C65" s="62" t="str">
        <f>MID('2. Szám - Statisztikai'!A85,SEARCH(" ",'2. Szám - Statisztikai'!A85)+1,100)</f>
        <v>Gergely</v>
      </c>
      <c r="E65">
        <f t="shared" si="0"/>
        <v>7</v>
      </c>
    </row>
    <row r="66" spans="1:7" x14ac:dyDescent="0.25">
      <c r="B66" s="56" t="str">
        <f>LEFT('2. Szám - Statisztikai'!A86,SEARCH(" ",'2. Szám - Statisztikai'!A86))</f>
        <v xml:space="preserve">Kovács </v>
      </c>
      <c r="C66" s="62" t="str">
        <f>MID('2. Szám - Statisztikai'!A86,SEARCH(" ",'2. Szám - Statisztikai'!A86)+1,100)</f>
        <v>János</v>
      </c>
      <c r="E66">
        <f t="shared" si="0"/>
        <v>5</v>
      </c>
    </row>
    <row r="67" spans="1:7" x14ac:dyDescent="0.25">
      <c r="B67" s="56" t="str">
        <f>LEFT('2. Szám - Statisztikai'!A87,SEARCH(" ",'2. Szám - Statisztikai'!A87))</f>
        <v xml:space="preserve">Nagy </v>
      </c>
      <c r="C67" s="62" t="str">
        <f>MID('2. Szám - Statisztikai'!A87,SEARCH(" ",'2. Szám - Statisztikai'!A87)+1,100)</f>
        <v>Andrea</v>
      </c>
      <c r="E67">
        <f t="shared" si="0"/>
        <v>6</v>
      </c>
    </row>
    <row r="69" spans="1:7" ht="24.95" customHeight="1" x14ac:dyDescent="0.25">
      <c r="A69" s="90" t="s">
        <v>45</v>
      </c>
      <c r="B69" s="48"/>
      <c r="C69" s="48"/>
      <c r="D69" s="48"/>
      <c r="E69" s="48"/>
      <c r="F69" s="48"/>
      <c r="G69" s="48"/>
    </row>
    <row r="70" spans="1:7" ht="15" customHeight="1" x14ac:dyDescent="0.25">
      <c r="A70" s="110" t="s">
        <v>285</v>
      </c>
      <c r="B70" s="110"/>
      <c r="C70" s="110"/>
      <c r="D70" s="110"/>
      <c r="E70" s="110"/>
      <c r="F70" s="110"/>
      <c r="G70" s="110"/>
    </row>
    <row r="71" spans="1:7" x14ac:dyDescent="0.25">
      <c r="A71" s="110"/>
      <c r="B71" s="110"/>
      <c r="C71" s="110"/>
      <c r="D71" s="110"/>
      <c r="E71" s="110"/>
      <c r="F71" s="110"/>
      <c r="G71" s="110"/>
    </row>
    <row r="73" spans="1:7" x14ac:dyDescent="0.25">
      <c r="A73" s="3" t="s">
        <v>8</v>
      </c>
      <c r="B73">
        <f>MAX(E48:E67)</f>
        <v>7</v>
      </c>
    </row>
  </sheetData>
  <mergeCells count="18">
    <mergeCell ref="A4:O4"/>
    <mergeCell ref="A1:C1"/>
    <mergeCell ref="A5:C5"/>
    <mergeCell ref="E5:G5"/>
    <mergeCell ref="I5:K5"/>
    <mergeCell ref="M5:O5"/>
    <mergeCell ref="A44:G45"/>
    <mergeCell ref="A70:G71"/>
    <mergeCell ref="Q5:S5"/>
    <mergeCell ref="Q6:S6"/>
    <mergeCell ref="A17:G19"/>
    <mergeCell ref="I6:K6"/>
    <mergeCell ref="M6:O6"/>
    <mergeCell ref="A13:G13"/>
    <mergeCell ref="A14:G14"/>
    <mergeCell ref="A16:G16"/>
    <mergeCell ref="A6:C6"/>
    <mergeCell ref="E6:G6"/>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52"/>
  <sheetViews>
    <sheetView topLeftCell="D7" zoomScaleNormal="100" workbookViewId="0">
      <selection activeCell="Y6" sqref="Y6:AF8"/>
    </sheetView>
  </sheetViews>
  <sheetFormatPr defaultRowHeight="15" x14ac:dyDescent="0.25"/>
  <cols>
    <col min="1" max="3" width="20.7109375" customWidth="1"/>
    <col min="4" max="6" width="2.7109375" customWidth="1"/>
    <col min="7" max="7" width="20.7109375" customWidth="1"/>
    <col min="8" max="8" width="10.7109375" customWidth="1"/>
    <col min="9" max="9" width="11.85546875" customWidth="1"/>
    <col min="10" max="15" width="10.7109375" customWidth="1"/>
    <col min="16" max="18" width="2.7109375" customWidth="1"/>
    <col min="19" max="21" width="20.7109375" customWidth="1"/>
    <col min="22" max="24" width="2.7109375" customWidth="1"/>
    <col min="33" max="35" width="2.7109375" customWidth="1"/>
  </cols>
  <sheetData>
    <row r="1" spans="1:32" ht="30" customHeight="1" x14ac:dyDescent="0.25">
      <c r="A1" s="64" t="s">
        <v>18</v>
      </c>
      <c r="B1" s="65" t="s">
        <v>33</v>
      </c>
      <c r="C1" s="66" t="s">
        <v>30</v>
      </c>
      <c r="G1" s="52" t="s">
        <v>82</v>
      </c>
      <c r="H1" s="67">
        <v>1</v>
      </c>
      <c r="I1" s="65">
        <v>2</v>
      </c>
      <c r="J1" s="65">
        <v>3</v>
      </c>
      <c r="K1" s="65">
        <v>4</v>
      </c>
      <c r="L1" s="65">
        <v>5</v>
      </c>
      <c r="M1" s="65">
        <v>6</v>
      </c>
      <c r="N1" s="65">
        <v>7</v>
      </c>
      <c r="O1" s="66">
        <v>8</v>
      </c>
      <c r="S1" s="64" t="s">
        <v>18</v>
      </c>
      <c r="T1" s="65" t="s">
        <v>33</v>
      </c>
      <c r="U1" s="66" t="s">
        <v>30</v>
      </c>
      <c r="Y1" s="126" t="s">
        <v>97</v>
      </c>
      <c r="Z1" s="126"/>
      <c r="AA1" s="126"/>
      <c r="AB1" s="126"/>
      <c r="AC1" s="126"/>
      <c r="AD1" s="126"/>
      <c r="AE1" s="126"/>
      <c r="AF1" s="126"/>
    </row>
    <row r="2" spans="1:32" x14ac:dyDescent="0.25">
      <c r="A2" s="5" t="s">
        <v>22</v>
      </c>
      <c r="B2" s="34">
        <v>150</v>
      </c>
      <c r="C2" s="7">
        <v>200</v>
      </c>
      <c r="G2" s="40" t="s">
        <v>18</v>
      </c>
      <c r="H2" s="11" t="s">
        <v>22</v>
      </c>
      <c r="I2" s="11" t="s">
        <v>23</v>
      </c>
      <c r="J2" s="11" t="s">
        <v>24</v>
      </c>
      <c r="K2" s="11" t="s">
        <v>25</v>
      </c>
      <c r="L2" s="11" t="s">
        <v>26</v>
      </c>
      <c r="M2" s="11" t="s">
        <v>27</v>
      </c>
      <c r="N2" s="11" t="s">
        <v>28</v>
      </c>
      <c r="O2" s="12" t="s">
        <v>29</v>
      </c>
      <c r="S2" s="5" t="s">
        <v>22</v>
      </c>
      <c r="T2" s="6">
        <v>150</v>
      </c>
      <c r="U2" s="7">
        <v>200</v>
      </c>
    </row>
    <row r="3" spans="1:32" x14ac:dyDescent="0.25">
      <c r="A3" s="5" t="s">
        <v>23</v>
      </c>
      <c r="B3" s="34">
        <v>100</v>
      </c>
      <c r="C3" s="7">
        <v>500</v>
      </c>
      <c r="G3" s="40" t="s">
        <v>33</v>
      </c>
      <c r="H3" s="38">
        <v>150</v>
      </c>
      <c r="I3" s="38">
        <v>100</v>
      </c>
      <c r="J3" s="38">
        <v>0</v>
      </c>
      <c r="K3" s="38">
        <v>10</v>
      </c>
      <c r="L3" s="38">
        <v>0</v>
      </c>
      <c r="M3" s="38">
        <v>1000</v>
      </c>
      <c r="N3" s="38">
        <v>230</v>
      </c>
      <c r="O3" s="39">
        <v>135</v>
      </c>
      <c r="S3" s="5" t="s">
        <v>23</v>
      </c>
      <c r="T3" s="6">
        <v>100</v>
      </c>
      <c r="U3" s="7">
        <v>500</v>
      </c>
      <c r="Y3" s="124" t="s">
        <v>98</v>
      </c>
      <c r="Z3" s="124"/>
      <c r="AA3" s="124"/>
      <c r="AB3" s="124"/>
      <c r="AC3" s="124"/>
      <c r="AD3" s="124"/>
      <c r="AE3" s="124"/>
      <c r="AF3" s="124"/>
    </row>
    <row r="4" spans="1:32" ht="15.75" thickBot="1" x14ac:dyDescent="0.3">
      <c r="A4" s="5" t="s">
        <v>24</v>
      </c>
      <c r="B4" s="34">
        <v>0</v>
      </c>
      <c r="C4" s="7">
        <v>400</v>
      </c>
      <c r="G4" s="41" t="s">
        <v>30</v>
      </c>
      <c r="H4" s="13">
        <v>200</v>
      </c>
      <c r="I4" s="13">
        <v>500</v>
      </c>
      <c r="J4" s="13">
        <v>400</v>
      </c>
      <c r="K4" s="13">
        <v>420</v>
      </c>
      <c r="L4" s="13">
        <v>200</v>
      </c>
      <c r="M4" s="13">
        <v>600</v>
      </c>
      <c r="N4" s="13">
        <v>800</v>
      </c>
      <c r="O4" s="14">
        <v>250</v>
      </c>
      <c r="S4" s="5" t="s">
        <v>24</v>
      </c>
      <c r="T4" s="6">
        <v>0</v>
      </c>
      <c r="U4" s="7">
        <v>400</v>
      </c>
      <c r="Y4" s="110" t="s">
        <v>99</v>
      </c>
      <c r="Z4" s="110"/>
      <c r="AA4" s="110"/>
      <c r="AB4" s="110"/>
      <c r="AC4" s="110"/>
      <c r="AD4" s="110"/>
      <c r="AE4" s="110"/>
      <c r="AF4" s="110"/>
    </row>
    <row r="5" spans="1:32" ht="15" customHeight="1" x14ac:dyDescent="0.25">
      <c r="A5" s="5" t="s">
        <v>25</v>
      </c>
      <c r="B5" s="34">
        <v>10</v>
      </c>
      <c r="C5" s="7">
        <v>420</v>
      </c>
      <c r="S5" s="5" t="s">
        <v>25</v>
      </c>
      <c r="T5" s="6">
        <v>10</v>
      </c>
      <c r="U5" s="7">
        <v>420</v>
      </c>
      <c r="Y5" s="110"/>
      <c r="Z5" s="110"/>
      <c r="AA5" s="110"/>
      <c r="AB5" s="110"/>
      <c r="AC5" s="110"/>
      <c r="AD5" s="110"/>
      <c r="AE5" s="110"/>
      <c r="AF5" s="110"/>
    </row>
    <row r="6" spans="1:32" x14ac:dyDescent="0.25">
      <c r="A6" s="5" t="s">
        <v>26</v>
      </c>
      <c r="B6" s="34">
        <v>0</v>
      </c>
      <c r="C6" s="7">
        <v>200</v>
      </c>
      <c r="S6" s="5" t="s">
        <v>26</v>
      </c>
      <c r="T6" s="6">
        <v>0</v>
      </c>
      <c r="U6" s="7">
        <v>200</v>
      </c>
      <c r="Y6" s="110" t="s">
        <v>100</v>
      </c>
      <c r="Z6" s="110"/>
      <c r="AA6" s="110"/>
      <c r="AB6" s="110"/>
      <c r="AC6" s="110"/>
      <c r="AD6" s="110"/>
      <c r="AE6" s="110"/>
      <c r="AF6" s="110"/>
    </row>
    <row r="7" spans="1:32" x14ac:dyDescent="0.25">
      <c r="A7" s="5" t="s">
        <v>27</v>
      </c>
      <c r="B7" s="34">
        <v>1000</v>
      </c>
      <c r="C7" s="7">
        <v>600</v>
      </c>
      <c r="S7" s="5" t="s">
        <v>27</v>
      </c>
      <c r="T7" s="6">
        <v>1000</v>
      </c>
      <c r="U7" s="7">
        <v>600</v>
      </c>
      <c r="Y7" s="110"/>
      <c r="Z7" s="110"/>
      <c r="AA7" s="110"/>
      <c r="AB7" s="110"/>
      <c r="AC7" s="110"/>
      <c r="AD7" s="110"/>
      <c r="AE7" s="110"/>
      <c r="AF7" s="110"/>
    </row>
    <row r="8" spans="1:32" x14ac:dyDescent="0.25">
      <c r="A8" s="5" t="s">
        <v>28</v>
      </c>
      <c r="B8" s="34">
        <v>230</v>
      </c>
      <c r="C8" s="7">
        <v>800</v>
      </c>
      <c r="S8" s="5" t="s">
        <v>28</v>
      </c>
      <c r="T8" s="6">
        <v>230</v>
      </c>
      <c r="U8" s="7">
        <v>800</v>
      </c>
      <c r="Y8" s="110"/>
      <c r="Z8" s="110"/>
      <c r="AA8" s="110"/>
      <c r="AB8" s="110"/>
      <c r="AC8" s="110"/>
      <c r="AD8" s="110"/>
      <c r="AE8" s="110"/>
      <c r="AF8" s="110"/>
    </row>
    <row r="9" spans="1:32" ht="15.75" thickBot="1" x14ac:dyDescent="0.3">
      <c r="A9" s="8" t="s">
        <v>29</v>
      </c>
      <c r="B9" s="35">
        <v>135</v>
      </c>
      <c r="C9" s="10">
        <v>250</v>
      </c>
      <c r="S9" s="8" t="s">
        <v>29</v>
      </c>
      <c r="T9" s="9">
        <v>135</v>
      </c>
      <c r="U9" s="10">
        <v>250</v>
      </c>
      <c r="Y9" s="110" t="s">
        <v>101</v>
      </c>
      <c r="Z9" s="110"/>
      <c r="AA9" s="110"/>
      <c r="AB9" s="110"/>
      <c r="AC9" s="110"/>
      <c r="AD9" s="110"/>
      <c r="AE9" s="110"/>
      <c r="AF9" s="110"/>
    </row>
    <row r="10" spans="1:32" x14ac:dyDescent="0.25">
      <c r="A10" s="15"/>
      <c r="B10" s="16"/>
      <c r="Y10" s="110"/>
      <c r="Z10" s="110"/>
      <c r="AA10" s="110"/>
      <c r="AB10" s="110"/>
      <c r="AC10" s="110"/>
      <c r="AD10" s="110"/>
      <c r="AE10" s="110"/>
      <c r="AF10" s="110"/>
    </row>
    <row r="11" spans="1:32" x14ac:dyDescent="0.25">
      <c r="Y11" s="110" t="s">
        <v>114</v>
      </c>
      <c r="Z11" s="110"/>
      <c r="AA11" s="110"/>
      <c r="AB11" s="110"/>
      <c r="AC11" s="110"/>
      <c r="AD11" s="110"/>
      <c r="AE11" s="110"/>
      <c r="AF11" s="110"/>
    </row>
    <row r="12" spans="1:32" x14ac:dyDescent="0.25">
      <c r="A12" s="121" t="s">
        <v>41</v>
      </c>
      <c r="B12" s="121"/>
      <c r="C12" s="121"/>
      <c r="G12" s="121" t="s">
        <v>41</v>
      </c>
      <c r="H12" s="121"/>
      <c r="I12" s="121"/>
      <c r="J12" s="121"/>
      <c r="K12" s="121"/>
      <c r="L12" s="121"/>
      <c r="M12" s="121"/>
      <c r="N12" s="121"/>
      <c r="O12" s="121"/>
      <c r="S12" s="121" t="s">
        <v>41</v>
      </c>
      <c r="T12" s="121"/>
      <c r="U12" s="121"/>
      <c r="Y12" s="110"/>
      <c r="Z12" s="110"/>
      <c r="AA12" s="110"/>
      <c r="AB12" s="110"/>
      <c r="AC12" s="110"/>
      <c r="AD12" s="110"/>
      <c r="AE12" s="110"/>
      <c r="AF12" s="110"/>
    </row>
    <row r="13" spans="1:32" x14ac:dyDescent="0.25">
      <c r="A13" s="113" t="s">
        <v>83</v>
      </c>
      <c r="B13" s="113"/>
      <c r="C13" s="113"/>
      <c r="G13" s="113" t="s">
        <v>87</v>
      </c>
      <c r="H13" s="113"/>
      <c r="I13" s="113"/>
      <c r="J13" s="113"/>
      <c r="K13" s="113"/>
      <c r="L13" s="113"/>
      <c r="M13" s="113"/>
      <c r="N13" s="113"/>
      <c r="O13" s="113"/>
      <c r="S13" s="113" t="s">
        <v>91</v>
      </c>
      <c r="T13" s="113"/>
      <c r="U13" s="113"/>
    </row>
    <row r="14" spans="1:32" x14ac:dyDescent="0.25">
      <c r="Y14" s="123" t="s">
        <v>102</v>
      </c>
      <c r="Z14" s="123"/>
      <c r="AA14" s="123"/>
      <c r="AB14" s="123"/>
      <c r="AC14" s="123"/>
      <c r="AD14" s="123"/>
      <c r="AE14" s="123"/>
      <c r="AF14" s="123"/>
    </row>
    <row r="15" spans="1:32" x14ac:dyDescent="0.25">
      <c r="A15" s="3" t="str">
        <f>A5</f>
        <v xml:space="preserve">Alma </v>
      </c>
      <c r="B15" s="96">
        <f>VLOOKUP(A15,$A$2:$C$9,2,FALSE)</f>
        <v>10</v>
      </c>
      <c r="G15" s="3" t="str">
        <f>H2</f>
        <v>Banán</v>
      </c>
      <c r="H15" s="96">
        <f>HLOOKUP(G15,$H$2:$O$4,2,FALSE)</f>
        <v>150</v>
      </c>
      <c r="S15" s="3" t="str">
        <f>S6</f>
        <v>Meggy</v>
      </c>
      <c r="T15">
        <f>MATCH(S15,$S$2:$S$9,0)</f>
        <v>5</v>
      </c>
      <c r="Y15" s="123"/>
      <c r="Z15" s="123"/>
      <c r="AA15" s="123"/>
      <c r="AB15" s="123"/>
      <c r="AC15" s="123"/>
      <c r="AD15" s="123"/>
      <c r="AE15" s="123"/>
      <c r="AF15" s="123"/>
    </row>
    <row r="16" spans="1:32" x14ac:dyDescent="0.25">
      <c r="A16" s="5" t="str">
        <f>A4</f>
        <v xml:space="preserve">Barack </v>
      </c>
      <c r="B16" s="96">
        <f>VLOOKUP(A16,$A$2:$C$9,2,FALSE)</f>
        <v>0</v>
      </c>
      <c r="G16" s="37" t="s">
        <v>27</v>
      </c>
      <c r="H16" s="96">
        <f>HLOOKUP(G16,$H$2:$O$4,2,FALSE)</f>
        <v>1000</v>
      </c>
      <c r="S16" s="3" t="s">
        <v>28</v>
      </c>
      <c r="T16">
        <f>MATCH(S16,$S$2:$S$9,0)</f>
        <v>7</v>
      </c>
    </row>
    <row r="17" spans="1:32" x14ac:dyDescent="0.25">
      <c r="Y17" s="125" t="s">
        <v>103</v>
      </c>
      <c r="Z17" s="125"/>
      <c r="AA17" s="125"/>
      <c r="AB17" s="125"/>
      <c r="AC17" s="125"/>
      <c r="AD17" s="125"/>
      <c r="AE17" s="125"/>
      <c r="AF17" s="125"/>
    </row>
    <row r="18" spans="1:32" x14ac:dyDescent="0.25">
      <c r="A18" s="122" t="s">
        <v>44</v>
      </c>
      <c r="B18" s="122"/>
      <c r="C18" s="122"/>
      <c r="G18" s="121" t="s">
        <v>44</v>
      </c>
      <c r="H18" s="121"/>
      <c r="I18" s="121"/>
      <c r="J18" s="121"/>
      <c r="K18" s="121"/>
      <c r="L18" s="121"/>
      <c r="M18" s="121"/>
      <c r="N18" s="121"/>
      <c r="O18" s="121"/>
      <c r="S18" s="121" t="s">
        <v>44</v>
      </c>
      <c r="T18" s="121"/>
      <c r="U18" s="121"/>
      <c r="Y18" s="110" t="s">
        <v>106</v>
      </c>
      <c r="Z18" s="110"/>
      <c r="AA18" s="110"/>
      <c r="AB18" s="110"/>
      <c r="AC18" s="110"/>
      <c r="AD18" s="110"/>
      <c r="AE18" s="110"/>
      <c r="AF18" s="110"/>
    </row>
    <row r="19" spans="1:32" x14ac:dyDescent="0.25">
      <c r="A19" s="113" t="s">
        <v>85</v>
      </c>
      <c r="B19" s="113"/>
      <c r="C19" s="113"/>
      <c r="G19" s="113" t="s">
        <v>88</v>
      </c>
      <c r="H19" s="113"/>
      <c r="I19" s="113"/>
      <c r="J19" s="113"/>
      <c r="K19" s="113"/>
      <c r="L19" s="113"/>
      <c r="M19" s="113"/>
      <c r="N19" s="113"/>
      <c r="O19" s="113"/>
      <c r="S19" s="113" t="s">
        <v>92</v>
      </c>
      <c r="T19" s="113"/>
      <c r="U19" s="113"/>
      <c r="Y19" s="110"/>
      <c r="Z19" s="110"/>
      <c r="AA19" s="110"/>
      <c r="AB19" s="110"/>
      <c r="AC19" s="110"/>
      <c r="AD19" s="110"/>
      <c r="AE19" s="110"/>
      <c r="AF19" s="110"/>
    </row>
    <row r="20" spans="1:32" x14ac:dyDescent="0.25">
      <c r="Y20" s="110" t="s">
        <v>104</v>
      </c>
      <c r="Z20" s="110"/>
      <c r="AA20" s="110"/>
      <c r="AB20" s="110"/>
      <c r="AC20" s="110"/>
      <c r="AD20" s="110"/>
      <c r="AE20" s="110"/>
      <c r="AF20" s="110"/>
    </row>
    <row r="21" spans="1:32" x14ac:dyDescent="0.25">
      <c r="A21" s="17" t="str">
        <f>A6</f>
        <v>Meggy</v>
      </c>
      <c r="B21" s="43">
        <f>VLOOKUP(A21,$A$2:$C$9,3,FALSE)</f>
        <v>200</v>
      </c>
      <c r="G21" s="3" t="str">
        <f>N2</f>
        <v>Körte</v>
      </c>
      <c r="H21" s="43">
        <f>HLOOKUP(G21,$H$2:$O$4,3,FALSE)</f>
        <v>800</v>
      </c>
      <c r="S21" s="3" t="s">
        <v>31</v>
      </c>
      <c r="T21" t="str">
        <f>INDEX(S2:U9,MATCH(135,T2:T9,0),1)</f>
        <v>Szőlő</v>
      </c>
      <c r="Y21" s="110"/>
      <c r="Z21" s="110"/>
      <c r="AA21" s="110"/>
      <c r="AB21" s="110"/>
      <c r="AC21" s="110"/>
      <c r="AD21" s="110"/>
      <c r="AE21" s="110"/>
      <c r="AF21" s="110"/>
    </row>
    <row r="22" spans="1:32" x14ac:dyDescent="0.25">
      <c r="A22" s="5"/>
      <c r="C22" s="4"/>
      <c r="S22" s="4"/>
      <c r="T22" s="4"/>
      <c r="U22" s="4"/>
      <c r="Y22" s="110"/>
      <c r="Z22" s="110"/>
      <c r="AA22" s="110"/>
      <c r="AB22" s="110"/>
      <c r="AC22" s="110"/>
      <c r="AD22" s="110"/>
      <c r="AE22" s="110"/>
      <c r="AF22" s="110"/>
    </row>
    <row r="23" spans="1:32" x14ac:dyDescent="0.25">
      <c r="A23" s="36" t="s">
        <v>45</v>
      </c>
      <c r="B23" s="36"/>
      <c r="C23" s="36"/>
      <c r="G23" s="121" t="s">
        <v>45</v>
      </c>
      <c r="H23" s="121"/>
      <c r="I23" s="121"/>
      <c r="J23" s="121"/>
      <c r="K23" s="121"/>
      <c r="L23" s="121"/>
      <c r="M23" s="121"/>
      <c r="N23" s="121"/>
      <c r="O23" s="121"/>
      <c r="S23" s="121" t="s">
        <v>45</v>
      </c>
      <c r="T23" s="121"/>
      <c r="U23" s="121"/>
      <c r="Y23" s="110" t="s">
        <v>101</v>
      </c>
      <c r="Z23" s="110"/>
      <c r="AA23" s="110"/>
      <c r="AB23" s="110"/>
      <c r="AC23" s="110"/>
      <c r="AD23" s="110"/>
      <c r="AE23" s="110"/>
      <c r="AF23" s="110"/>
    </row>
    <row r="24" spans="1:32" ht="15" customHeight="1" x14ac:dyDescent="0.25">
      <c r="A24" s="110" t="s">
        <v>86</v>
      </c>
      <c r="B24" s="110"/>
      <c r="C24" s="110"/>
      <c r="G24" s="113" t="s">
        <v>89</v>
      </c>
      <c r="H24" s="113"/>
      <c r="I24" s="113"/>
      <c r="J24" s="113"/>
      <c r="K24" s="113"/>
      <c r="L24" s="113"/>
      <c r="M24" s="113"/>
      <c r="N24" s="113"/>
      <c r="O24" s="113"/>
      <c r="S24" s="113" t="s">
        <v>93</v>
      </c>
      <c r="T24" s="113"/>
      <c r="U24" s="113"/>
      <c r="Y24" s="110"/>
      <c r="Z24" s="110"/>
      <c r="AA24" s="110"/>
      <c r="AB24" s="110"/>
      <c r="AC24" s="110"/>
      <c r="AD24" s="110"/>
      <c r="AE24" s="110"/>
      <c r="AF24" s="110"/>
    </row>
    <row r="25" spans="1:32" ht="15" customHeight="1" x14ac:dyDescent="0.25">
      <c r="A25" s="110"/>
      <c r="B25" s="110"/>
      <c r="C25" s="110"/>
      <c r="Y25" s="110" t="s">
        <v>115</v>
      </c>
      <c r="Z25" s="110"/>
      <c r="AA25" s="110"/>
      <c r="AB25" s="110"/>
      <c r="AC25" s="110"/>
      <c r="AD25" s="110"/>
      <c r="AE25" s="110"/>
      <c r="AF25" s="110"/>
    </row>
    <row r="26" spans="1:32" x14ac:dyDescent="0.25">
      <c r="G26" t="s">
        <v>34</v>
      </c>
      <c r="H26" s="43">
        <f>HLOOKUP(SMALL(H3:O3,3),H3:O4,2,FALSE)</f>
        <v>420</v>
      </c>
      <c r="S26" s="3" t="s">
        <v>31</v>
      </c>
      <c r="T26" t="str">
        <f>INDEX(S2:U9,MATCH(MIN(U2:U9),U2:U9,0),1)</f>
        <v>Banán</v>
      </c>
      <c r="Y26" s="110"/>
      <c r="Z26" s="110"/>
      <c r="AA26" s="110"/>
      <c r="AB26" s="110"/>
      <c r="AC26" s="110"/>
      <c r="AD26" s="110"/>
      <c r="AE26" s="110"/>
      <c r="AF26" s="110"/>
    </row>
    <row r="27" spans="1:32" x14ac:dyDescent="0.25">
      <c r="A27" t="s">
        <v>32</v>
      </c>
      <c r="B27" s="43">
        <f>VLOOKUP(MAX(B2:B9),B2:C9,2,FALSE)</f>
        <v>600</v>
      </c>
    </row>
    <row r="28" spans="1:32" x14ac:dyDescent="0.25">
      <c r="A28" s="4"/>
      <c r="B28" s="4"/>
      <c r="C28" s="4"/>
      <c r="G28" s="121" t="s">
        <v>47</v>
      </c>
      <c r="H28" s="121"/>
      <c r="I28" s="121"/>
      <c r="J28" s="121"/>
      <c r="K28" s="121"/>
      <c r="L28" s="121"/>
      <c r="M28" s="121"/>
      <c r="N28" s="121"/>
      <c r="O28" s="121"/>
      <c r="S28" s="121" t="s">
        <v>47</v>
      </c>
      <c r="T28" s="121"/>
      <c r="U28" s="121"/>
      <c r="Y28" s="123" t="s">
        <v>105</v>
      </c>
      <c r="Z28" s="123"/>
      <c r="AA28" s="123"/>
      <c r="AB28" s="123"/>
      <c r="AC28" s="123"/>
      <c r="AD28" s="123"/>
      <c r="AE28" s="123"/>
      <c r="AF28" s="123"/>
    </row>
    <row r="29" spans="1:32" x14ac:dyDescent="0.25">
      <c r="A29" s="36" t="s">
        <v>47</v>
      </c>
      <c r="B29" s="36"/>
      <c r="C29" s="36"/>
      <c r="G29" s="113" t="s">
        <v>96</v>
      </c>
      <c r="H29" s="113"/>
      <c r="I29" s="113"/>
      <c r="J29" s="113"/>
      <c r="K29" s="113"/>
      <c r="L29" s="113"/>
      <c r="M29" s="113"/>
      <c r="N29" s="113"/>
      <c r="O29" s="113"/>
      <c r="S29" s="110" t="s">
        <v>94</v>
      </c>
      <c r="T29" s="110"/>
      <c r="U29" s="110"/>
      <c r="Y29" s="123"/>
      <c r="Z29" s="123"/>
      <c r="AA29" s="123"/>
      <c r="AB29" s="123"/>
      <c r="AC29" s="123"/>
      <c r="AD29" s="123"/>
      <c r="AE29" s="123"/>
      <c r="AF29" s="123"/>
    </row>
    <row r="30" spans="1:32" ht="15" customHeight="1" x14ac:dyDescent="0.25">
      <c r="A30" s="110" t="s">
        <v>96</v>
      </c>
      <c r="B30" s="110"/>
      <c r="C30" s="110"/>
      <c r="S30" s="110"/>
      <c r="T30" s="110"/>
      <c r="U30" s="110"/>
    </row>
    <row r="31" spans="1:32" ht="15" customHeight="1" x14ac:dyDescent="0.25">
      <c r="A31" s="110"/>
      <c r="B31" s="110"/>
      <c r="C31" s="110"/>
      <c r="H31" s="19" t="str">
        <f>K2</f>
        <v xml:space="preserve">Alma </v>
      </c>
      <c r="I31" s="19" t="str">
        <f>M2</f>
        <v>Cseresznye</v>
      </c>
      <c r="J31" s="19" t="str">
        <f>O2</f>
        <v>Szőlő</v>
      </c>
      <c r="K31" s="19" t="str">
        <f>L2</f>
        <v>Meggy</v>
      </c>
      <c r="Y31" s="125" t="s">
        <v>107</v>
      </c>
      <c r="Z31" s="125"/>
      <c r="AA31" s="125"/>
      <c r="AB31" s="125"/>
      <c r="AC31" s="125"/>
      <c r="AD31" s="125"/>
      <c r="AE31" s="125"/>
      <c r="AF31" s="125"/>
    </row>
    <row r="32" spans="1:32" x14ac:dyDescent="0.25">
      <c r="G32" s="19" t="s">
        <v>90</v>
      </c>
      <c r="H32" s="43">
        <f>HLOOKUP(H31,$H$2:$O$4,2,FALSE)*HLOOKUP(H31,$H$2:$O$4,3,FALSE)</f>
        <v>4200</v>
      </c>
      <c r="I32" s="43">
        <f t="shared" ref="I32:K32" si="0">HLOOKUP(I31,$H$2:$O$4,2,FALSE)*HLOOKUP(I31,$H$2:$O$4,3,FALSE)</f>
        <v>600000</v>
      </c>
      <c r="J32" s="43">
        <f t="shared" si="0"/>
        <v>33750</v>
      </c>
      <c r="K32" s="43">
        <f t="shared" si="0"/>
        <v>0</v>
      </c>
      <c r="S32" s="3" t="s">
        <v>31</v>
      </c>
      <c r="T32" s="95">
        <f>INDEX(S2:U9,MATCH(LARGE(T2:T9,2),T2:T9,0),3)</f>
        <v>800</v>
      </c>
      <c r="U32" s="4"/>
      <c r="Y32" s="110" t="s">
        <v>108</v>
      </c>
      <c r="Z32" s="110"/>
      <c r="AA32" s="110"/>
      <c r="AB32" s="110"/>
      <c r="AC32" s="110"/>
      <c r="AD32" s="110"/>
      <c r="AE32" s="110"/>
      <c r="AF32" s="110"/>
    </row>
    <row r="33" spans="1:32" x14ac:dyDescent="0.25">
      <c r="B33" s="19" t="s">
        <v>84</v>
      </c>
      <c r="H33" s="4"/>
      <c r="I33" s="4"/>
      <c r="J33" s="4"/>
      <c r="K33" s="4"/>
      <c r="L33" s="4"/>
      <c r="M33" s="4"/>
      <c r="N33" s="4"/>
      <c r="O33" s="4"/>
      <c r="S33" s="4"/>
      <c r="T33" s="4"/>
      <c r="U33" s="4"/>
      <c r="Y33" s="110"/>
      <c r="Z33" s="110"/>
      <c r="AA33" s="110"/>
      <c r="AB33" s="110"/>
      <c r="AC33" s="110"/>
      <c r="AD33" s="110"/>
      <c r="AE33" s="110"/>
      <c r="AF33" s="110"/>
    </row>
    <row r="34" spans="1:32" x14ac:dyDescent="0.25">
      <c r="A34" s="20" t="str">
        <f>A2</f>
        <v>Banán</v>
      </c>
      <c r="B34" s="43">
        <f>VLOOKUP(A34,$A$2:$C$9,2,FALSE)*VLOOKUP(A34,$A$2:$C$9,3,FALSE)</f>
        <v>30000</v>
      </c>
      <c r="S34" s="3" t="s">
        <v>95</v>
      </c>
      <c r="T34" s="95">
        <f>VLOOKUP(LARGE(T2:T9,2),T2:U9,2,FALSE)</f>
        <v>800</v>
      </c>
      <c r="U34" s="4"/>
      <c r="Y34" s="113" t="s">
        <v>109</v>
      </c>
      <c r="Z34" s="113"/>
      <c r="AA34" s="113"/>
      <c r="AB34" s="113"/>
      <c r="AC34" s="113"/>
      <c r="AD34" s="113"/>
      <c r="AE34" s="113"/>
      <c r="AF34" s="113"/>
    </row>
    <row r="35" spans="1:32" x14ac:dyDescent="0.25">
      <c r="A35" s="20" t="str">
        <f>A6</f>
        <v>Meggy</v>
      </c>
      <c r="B35" s="43">
        <f t="shared" ref="B35:B37" si="1">VLOOKUP(A35,$A$2:$C$9,2,FALSE)*VLOOKUP(A35,$A$2:$C$9,3,FALSE)</f>
        <v>0</v>
      </c>
      <c r="Y35" s="110" t="s">
        <v>117</v>
      </c>
      <c r="Z35" s="110"/>
      <c r="AA35" s="110"/>
      <c r="AB35" s="110"/>
      <c r="AC35" s="110"/>
      <c r="AD35" s="110"/>
      <c r="AE35" s="110"/>
      <c r="AF35" s="110"/>
    </row>
    <row r="36" spans="1:32" x14ac:dyDescent="0.25">
      <c r="A36" s="20" t="str">
        <f>A8</f>
        <v>Körte</v>
      </c>
      <c r="B36" s="43">
        <f t="shared" si="1"/>
        <v>184000</v>
      </c>
      <c r="S36" s="128" t="s">
        <v>55</v>
      </c>
      <c r="T36" s="128"/>
      <c r="U36" s="128"/>
      <c r="Y36" s="110"/>
      <c r="Z36" s="110"/>
      <c r="AA36" s="110"/>
      <c r="AB36" s="110"/>
      <c r="AC36" s="110"/>
      <c r="AD36" s="110"/>
      <c r="AE36" s="110"/>
      <c r="AF36" s="110"/>
    </row>
    <row r="37" spans="1:32" ht="15" customHeight="1" x14ac:dyDescent="0.25">
      <c r="A37" s="20" t="str">
        <f>A3</f>
        <v>Dió</v>
      </c>
      <c r="B37" s="43">
        <f t="shared" si="1"/>
        <v>50000</v>
      </c>
      <c r="S37" s="116" t="s">
        <v>177</v>
      </c>
      <c r="T37" s="116"/>
      <c r="U37" s="116"/>
      <c r="Y37" s="110" t="s">
        <v>118</v>
      </c>
      <c r="Z37" s="110"/>
      <c r="AA37" s="110"/>
      <c r="AB37" s="110"/>
      <c r="AC37" s="110"/>
      <c r="AD37" s="110"/>
      <c r="AE37" s="110"/>
      <c r="AF37" s="110"/>
    </row>
    <row r="38" spans="1:32" x14ac:dyDescent="0.25">
      <c r="S38" s="50"/>
      <c r="T38" s="50"/>
      <c r="U38" s="50"/>
      <c r="Y38" s="110"/>
      <c r="Z38" s="110"/>
      <c r="AA38" s="110"/>
      <c r="AB38" s="110"/>
      <c r="AC38" s="110"/>
      <c r="AD38" s="110"/>
      <c r="AE38" s="110"/>
      <c r="AF38" s="110"/>
    </row>
    <row r="39" spans="1:32" x14ac:dyDescent="0.25">
      <c r="A39" s="127" t="s">
        <v>55</v>
      </c>
      <c r="B39" s="127"/>
      <c r="C39" s="127"/>
      <c r="H39" s="4"/>
      <c r="I39" s="4"/>
      <c r="J39" s="4"/>
      <c r="K39" s="4"/>
      <c r="L39" s="4"/>
      <c r="M39" s="4"/>
      <c r="N39" s="4"/>
      <c r="O39" s="4"/>
      <c r="S39" s="3" t="s">
        <v>178</v>
      </c>
      <c r="T39" t="str">
        <f>INDEX(S2:U9,MATCH(0,T2:T9,0),1,1)</f>
        <v xml:space="preserve">Barack </v>
      </c>
    </row>
    <row r="40" spans="1:32" x14ac:dyDescent="0.25">
      <c r="A40" s="113" t="s">
        <v>308</v>
      </c>
      <c r="B40" s="113"/>
      <c r="C40" s="113"/>
      <c r="Y40" s="125" t="s">
        <v>110</v>
      </c>
      <c r="Z40" s="125"/>
      <c r="AA40" s="125"/>
      <c r="AB40" s="125"/>
      <c r="AC40" s="125"/>
      <c r="AD40" s="125"/>
      <c r="AE40" s="125"/>
      <c r="AF40" s="125"/>
    </row>
    <row r="41" spans="1:32" x14ac:dyDescent="0.25">
      <c r="Y41" s="110" t="s">
        <v>111</v>
      </c>
      <c r="Z41" s="110"/>
      <c r="AA41" s="110"/>
      <c r="AB41" s="110"/>
      <c r="AC41" s="110"/>
      <c r="AD41" s="110"/>
      <c r="AE41" s="110"/>
      <c r="AF41" s="110"/>
    </row>
    <row r="42" spans="1:32" x14ac:dyDescent="0.25">
      <c r="A42" s="3" t="s">
        <v>176</v>
      </c>
      <c r="B42" s="43">
        <f>SUMPRODUCT(B2:B9,C2:C9)</f>
        <v>901950</v>
      </c>
      <c r="Y42" s="110"/>
      <c r="Z42" s="110"/>
      <c r="AA42" s="110"/>
      <c r="AB42" s="110"/>
      <c r="AC42" s="110"/>
      <c r="AD42" s="110"/>
      <c r="AE42" s="110"/>
      <c r="AF42" s="110"/>
    </row>
    <row r="43" spans="1:32" x14ac:dyDescent="0.25">
      <c r="Y43" s="110" t="s">
        <v>112</v>
      </c>
      <c r="Z43" s="110"/>
      <c r="AA43" s="110"/>
      <c r="AB43" s="110"/>
      <c r="AC43" s="110"/>
      <c r="AD43" s="110"/>
      <c r="AE43" s="110"/>
      <c r="AF43" s="110"/>
    </row>
    <row r="44" spans="1:32" x14ac:dyDescent="0.25">
      <c r="A44" s="127" t="s">
        <v>77</v>
      </c>
      <c r="B44" s="127"/>
      <c r="C44" s="127"/>
      <c r="Y44" s="110"/>
      <c r="Z44" s="110"/>
      <c r="AA44" s="110"/>
      <c r="AB44" s="110"/>
      <c r="AC44" s="110"/>
      <c r="AD44" s="110"/>
      <c r="AE44" s="110"/>
      <c r="AF44" s="110"/>
    </row>
    <row r="45" spans="1:32" x14ac:dyDescent="0.25">
      <c r="A45" s="110" t="s">
        <v>179</v>
      </c>
      <c r="B45" s="110"/>
      <c r="C45" s="110"/>
      <c r="Y45" s="110" t="s">
        <v>113</v>
      </c>
      <c r="Z45" s="110"/>
      <c r="AA45" s="110"/>
      <c r="AB45" s="110"/>
      <c r="AC45" s="110"/>
      <c r="AD45" s="110"/>
      <c r="AE45" s="110"/>
      <c r="AF45" s="110"/>
    </row>
    <row r="46" spans="1:32" x14ac:dyDescent="0.25">
      <c r="A46" s="110"/>
      <c r="B46" s="110"/>
      <c r="C46" s="110"/>
      <c r="Y46" s="110"/>
      <c r="Z46" s="110"/>
      <c r="AA46" s="110"/>
      <c r="AB46" s="110"/>
      <c r="AC46" s="110"/>
      <c r="AD46" s="110"/>
      <c r="AE46" s="110"/>
      <c r="AF46" s="110"/>
    </row>
    <row r="47" spans="1:32" x14ac:dyDescent="0.25">
      <c r="Y47" s="110" t="s">
        <v>306</v>
      </c>
      <c r="Z47" s="110"/>
      <c r="AA47" s="110"/>
      <c r="AB47" s="110"/>
      <c r="AC47" s="110"/>
      <c r="AD47" s="110"/>
      <c r="AE47" s="110"/>
      <c r="AF47" s="110"/>
    </row>
    <row r="48" spans="1:32" ht="15" customHeight="1" x14ac:dyDescent="0.25">
      <c r="A48" s="3" t="s">
        <v>180</v>
      </c>
      <c r="B48" s="96">
        <f>SUMIF(C2:C9,"&gt;200",B2:B9)</f>
        <v>1475</v>
      </c>
      <c r="Y48" s="110"/>
      <c r="Z48" s="110"/>
      <c r="AA48" s="110"/>
      <c r="AB48" s="110"/>
      <c r="AC48" s="110"/>
      <c r="AD48" s="110"/>
      <c r="AE48" s="110"/>
      <c r="AF48" s="110"/>
    </row>
    <row r="49" spans="8:32" x14ac:dyDescent="0.25">
      <c r="H49" s="4"/>
      <c r="I49" s="4"/>
      <c r="J49" s="4"/>
      <c r="K49" s="4"/>
      <c r="L49" s="4"/>
      <c r="M49" s="4"/>
      <c r="N49" s="4"/>
      <c r="O49" s="4"/>
    </row>
    <row r="50" spans="8:32" x14ac:dyDescent="0.25">
      <c r="Y50" s="110" t="s">
        <v>116</v>
      </c>
      <c r="Z50" s="110"/>
      <c r="AA50" s="110"/>
      <c r="AB50" s="110"/>
      <c r="AC50" s="110"/>
      <c r="AD50" s="110"/>
      <c r="AE50" s="110"/>
      <c r="AF50" s="110"/>
    </row>
    <row r="51" spans="8:32" x14ac:dyDescent="0.25">
      <c r="T51" s="4"/>
      <c r="U51" s="4"/>
      <c r="Y51" s="110"/>
      <c r="Z51" s="110"/>
      <c r="AA51" s="110"/>
      <c r="AB51" s="110"/>
      <c r="AC51" s="110"/>
      <c r="AD51" s="110"/>
      <c r="AE51" s="110"/>
      <c r="AF51" s="110"/>
    </row>
    <row r="52" spans="8:32" x14ac:dyDescent="0.25">
      <c r="S52" s="4"/>
      <c r="T52" s="4"/>
      <c r="U52" s="4"/>
    </row>
  </sheetData>
  <mergeCells count="52">
    <mergeCell ref="A44:C44"/>
    <mergeCell ref="A45:C46"/>
    <mergeCell ref="A40:C40"/>
    <mergeCell ref="A39:C39"/>
    <mergeCell ref="S36:U36"/>
    <mergeCell ref="S37:U37"/>
    <mergeCell ref="Y3:AF3"/>
    <mergeCell ref="Y17:AF17"/>
    <mergeCell ref="Y31:AF31"/>
    <mergeCell ref="Y40:AF40"/>
    <mergeCell ref="Y1:AF1"/>
    <mergeCell ref="Y28:AF29"/>
    <mergeCell ref="Y32:AF33"/>
    <mergeCell ref="Y34:AF34"/>
    <mergeCell ref="Y35:AF36"/>
    <mergeCell ref="Y37:AF38"/>
    <mergeCell ref="Y41:AF42"/>
    <mergeCell ref="Y43:AF44"/>
    <mergeCell ref="Y45:AF46"/>
    <mergeCell ref="Y47:AF48"/>
    <mergeCell ref="Y50:AF51"/>
    <mergeCell ref="S13:U13"/>
    <mergeCell ref="S19:U19"/>
    <mergeCell ref="S24:U24"/>
    <mergeCell ref="S29:U30"/>
    <mergeCell ref="Y4:AF5"/>
    <mergeCell ref="Y6:AF8"/>
    <mergeCell ref="Y9:AF10"/>
    <mergeCell ref="Y11:AF12"/>
    <mergeCell ref="Y14:AF15"/>
    <mergeCell ref="Y18:AF19"/>
    <mergeCell ref="Y20:AF22"/>
    <mergeCell ref="Y23:AF24"/>
    <mergeCell ref="Y25:AF26"/>
    <mergeCell ref="S12:U12"/>
    <mergeCell ref="A30:C31"/>
    <mergeCell ref="A24:C25"/>
    <mergeCell ref="S18:U18"/>
    <mergeCell ref="S23:U23"/>
    <mergeCell ref="S28:U28"/>
    <mergeCell ref="G23:O23"/>
    <mergeCell ref="G18:O18"/>
    <mergeCell ref="G28:O28"/>
    <mergeCell ref="G29:O29"/>
    <mergeCell ref="G19:O19"/>
    <mergeCell ref="A19:C19"/>
    <mergeCell ref="A13:C13"/>
    <mergeCell ref="G24:O24"/>
    <mergeCell ref="A12:C12"/>
    <mergeCell ref="A18:C18"/>
    <mergeCell ref="G13:O13"/>
    <mergeCell ref="G12:O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5A59-C0A1-4553-9698-169C0DD40DBC}">
  <dimension ref="A1:U121"/>
  <sheetViews>
    <sheetView tabSelected="1" topLeftCell="A130" zoomScale="120" zoomScaleNormal="120" workbookViewId="0">
      <selection activeCell="M12" sqref="M12"/>
    </sheetView>
  </sheetViews>
  <sheetFormatPr defaultRowHeight="15" x14ac:dyDescent="0.25"/>
  <cols>
    <col min="1" max="5" width="13.28515625" customWidth="1"/>
    <col min="6" max="6" width="9.7109375" customWidth="1"/>
    <col min="7" max="11" width="13.28515625" customWidth="1"/>
    <col min="12" max="12" width="5.7109375" customWidth="1"/>
    <col min="13" max="18" width="13.28515625" customWidth="1"/>
    <col min="19" max="19" width="5.7109375" customWidth="1"/>
    <col min="20" max="24" width="9.140625" customWidth="1"/>
  </cols>
  <sheetData>
    <row r="1" spans="1:21" ht="30" customHeight="1" x14ac:dyDescent="0.25">
      <c r="A1" s="52" t="s">
        <v>165</v>
      </c>
      <c r="B1" s="53" t="s">
        <v>181</v>
      </c>
      <c r="C1" s="54" t="s">
        <v>182</v>
      </c>
      <c r="D1" s="53" t="s">
        <v>166</v>
      </c>
      <c r="E1" s="55" t="s">
        <v>187</v>
      </c>
      <c r="G1" s="52" t="s">
        <v>165</v>
      </c>
      <c r="H1" s="53" t="s">
        <v>181</v>
      </c>
      <c r="I1" s="53" t="s">
        <v>182</v>
      </c>
      <c r="J1" s="53" t="s">
        <v>166</v>
      </c>
      <c r="K1" s="55" t="s">
        <v>187</v>
      </c>
      <c r="M1" s="140" t="s">
        <v>196</v>
      </c>
      <c r="N1" s="141"/>
      <c r="O1" s="141"/>
      <c r="P1" s="141"/>
      <c r="Q1" s="141"/>
      <c r="R1" s="142"/>
      <c r="S1" s="4"/>
      <c r="T1" s="4"/>
      <c r="U1" s="4"/>
    </row>
    <row r="2" spans="1:21" x14ac:dyDescent="0.25">
      <c r="A2" s="56" t="s">
        <v>167</v>
      </c>
      <c r="B2" s="51">
        <v>3000</v>
      </c>
      <c r="C2" s="75">
        <v>40</v>
      </c>
      <c r="D2" s="28">
        <v>22</v>
      </c>
      <c r="E2" s="57">
        <f>C2*B2</f>
        <v>120000</v>
      </c>
      <c r="F2" s="147" t="b">
        <f>AND(B2&gt;MIN(AVERAGE($B$2:$B$11), MEDIAN($B$2:$B$11)), B2&lt;MAX(AVERAGE($B$2:$B$11), MEDIAN($B$2:$B$11)))</f>
        <v>0</v>
      </c>
      <c r="G2" s="56"/>
      <c r="H2" s="28"/>
      <c r="I2" s="28">
        <v>40</v>
      </c>
      <c r="J2" s="28" t="s">
        <v>183</v>
      </c>
      <c r="K2" s="62"/>
      <c r="M2" s="143" t="s">
        <v>212</v>
      </c>
      <c r="N2" s="144"/>
      <c r="O2" s="144"/>
      <c r="P2" s="144"/>
      <c r="Q2" s="144"/>
      <c r="R2" s="145"/>
      <c r="S2" s="4"/>
      <c r="T2" s="4"/>
      <c r="U2" s="4"/>
    </row>
    <row r="3" spans="1:21" ht="15.75" thickBot="1" x14ac:dyDescent="0.3">
      <c r="A3" s="56" t="s">
        <v>168</v>
      </c>
      <c r="B3" s="51">
        <v>4800</v>
      </c>
      <c r="C3" s="75">
        <v>40</v>
      </c>
      <c r="D3" s="28">
        <v>25</v>
      </c>
      <c r="E3" s="57">
        <f t="shared" ref="E3:E11" si="0">C3*B3</f>
        <v>192000</v>
      </c>
      <c r="F3" s="147" t="b">
        <f t="shared" ref="F3:F11" si="1">AND(B3&gt;MIN(AVERAGE($B$2:$B$11), MEDIAN($B$2:$B$11)), B3&lt;MAX(AVERAGE($B$2:$B$11), MEDIAN($B$2:$B$11)))</f>
        <v>0</v>
      </c>
      <c r="G3" s="58"/>
      <c r="H3" s="60"/>
      <c r="I3" s="60"/>
      <c r="J3" s="60" t="s">
        <v>184</v>
      </c>
      <c r="K3" s="63"/>
      <c r="M3" s="143" t="s">
        <v>193</v>
      </c>
      <c r="N3" s="144"/>
      <c r="O3" s="144"/>
      <c r="P3" s="144"/>
      <c r="Q3" s="144"/>
      <c r="R3" s="145"/>
      <c r="S3" s="4"/>
      <c r="T3" s="4"/>
      <c r="U3" s="4"/>
    </row>
    <row r="4" spans="1:21" ht="15.75" thickBot="1" x14ac:dyDescent="0.3">
      <c r="A4" s="56" t="s">
        <v>169</v>
      </c>
      <c r="B4" s="51">
        <v>3600</v>
      </c>
      <c r="C4" s="75">
        <v>34</v>
      </c>
      <c r="D4" s="28">
        <v>20</v>
      </c>
      <c r="E4" s="57">
        <f t="shared" si="0"/>
        <v>122400</v>
      </c>
      <c r="F4" s="147" t="b">
        <f t="shared" si="1"/>
        <v>0</v>
      </c>
      <c r="M4" s="143" t="s">
        <v>194</v>
      </c>
      <c r="N4" s="144"/>
      <c r="O4" s="144"/>
      <c r="P4" s="144"/>
      <c r="Q4" s="144"/>
      <c r="R4" s="145"/>
      <c r="S4" s="4"/>
      <c r="T4" s="4"/>
      <c r="U4" s="4"/>
    </row>
    <row r="5" spans="1:21" x14ac:dyDescent="0.25">
      <c r="A5" s="56" t="s">
        <v>170</v>
      </c>
      <c r="B5" s="51">
        <v>5200</v>
      </c>
      <c r="C5" s="75">
        <v>20</v>
      </c>
      <c r="D5" s="28">
        <v>34</v>
      </c>
      <c r="E5" s="57">
        <f t="shared" si="0"/>
        <v>104000</v>
      </c>
      <c r="F5" s="147" t="b">
        <f t="shared" si="1"/>
        <v>0</v>
      </c>
      <c r="G5" s="52" t="s">
        <v>165</v>
      </c>
      <c r="H5" s="53" t="s">
        <v>181</v>
      </c>
      <c r="I5" s="53" t="s">
        <v>182</v>
      </c>
      <c r="J5" s="53" t="s">
        <v>166</v>
      </c>
      <c r="K5" s="55" t="s">
        <v>187</v>
      </c>
      <c r="M5" s="143" t="s">
        <v>195</v>
      </c>
      <c r="N5" s="144"/>
      <c r="O5" s="144"/>
      <c r="P5" s="144"/>
      <c r="Q5" s="144"/>
      <c r="R5" s="145"/>
      <c r="S5" s="4"/>
      <c r="T5" s="4"/>
      <c r="U5" s="4"/>
    </row>
    <row r="6" spans="1:21" ht="15.75" thickBot="1" x14ac:dyDescent="0.3">
      <c r="A6" s="56" t="s">
        <v>171</v>
      </c>
      <c r="B6" s="51">
        <v>2880</v>
      </c>
      <c r="C6" s="75">
        <v>40</v>
      </c>
      <c r="D6" s="28">
        <v>28</v>
      </c>
      <c r="E6" s="57">
        <f t="shared" si="0"/>
        <v>115200</v>
      </c>
      <c r="F6" s="147" t="b">
        <f t="shared" si="1"/>
        <v>0</v>
      </c>
      <c r="G6" s="58" t="s">
        <v>174</v>
      </c>
      <c r="H6" s="60"/>
      <c r="I6" s="60"/>
      <c r="J6" s="60"/>
      <c r="K6" s="63"/>
      <c r="M6" s="143" t="s">
        <v>197</v>
      </c>
      <c r="N6" s="144"/>
      <c r="O6" s="144"/>
      <c r="P6" s="144"/>
      <c r="Q6" s="144"/>
      <c r="R6" s="145"/>
      <c r="S6" s="4"/>
      <c r="T6" s="4"/>
      <c r="U6" s="4"/>
    </row>
    <row r="7" spans="1:21" x14ac:dyDescent="0.25">
      <c r="A7" s="56" t="s">
        <v>172</v>
      </c>
      <c r="B7" s="51">
        <v>8700</v>
      </c>
      <c r="C7" s="75">
        <v>10</v>
      </c>
      <c r="D7" s="28">
        <v>30</v>
      </c>
      <c r="E7" s="57">
        <f t="shared" si="0"/>
        <v>87000</v>
      </c>
      <c r="F7" s="147" t="b">
        <f t="shared" si="1"/>
        <v>0</v>
      </c>
      <c r="M7" s="130" t="s">
        <v>225</v>
      </c>
      <c r="N7" s="131"/>
      <c r="O7" s="131"/>
      <c r="P7" s="131"/>
      <c r="Q7" s="131"/>
      <c r="R7" s="132"/>
    </row>
    <row r="8" spans="1:21" x14ac:dyDescent="0.25">
      <c r="A8" s="56" t="s">
        <v>173</v>
      </c>
      <c r="B8" s="51">
        <v>6950</v>
      </c>
      <c r="C8" s="75">
        <v>20</v>
      </c>
      <c r="D8" s="28">
        <v>28</v>
      </c>
      <c r="E8" s="57">
        <f t="shared" si="0"/>
        <v>139000</v>
      </c>
      <c r="F8" s="147" t="b">
        <f t="shared" si="1"/>
        <v>0</v>
      </c>
      <c r="M8" s="130"/>
      <c r="N8" s="131"/>
      <c r="O8" s="131"/>
      <c r="P8" s="131"/>
      <c r="Q8" s="131"/>
      <c r="R8" s="132"/>
    </row>
    <row r="9" spans="1:21" ht="15.75" thickBot="1" x14ac:dyDescent="0.3">
      <c r="A9" s="56" t="s">
        <v>174</v>
      </c>
      <c r="B9" s="51">
        <v>3850</v>
      </c>
      <c r="C9" s="75">
        <v>20</v>
      </c>
      <c r="D9" s="28">
        <v>19</v>
      </c>
      <c r="E9" s="57">
        <f t="shared" si="0"/>
        <v>77000</v>
      </c>
      <c r="F9" s="147" t="b">
        <f t="shared" si="1"/>
        <v>0</v>
      </c>
      <c r="M9" s="133" t="s">
        <v>226</v>
      </c>
      <c r="N9" s="134"/>
      <c r="O9" s="134"/>
      <c r="P9" s="134"/>
      <c r="Q9" s="134"/>
      <c r="R9" s="135"/>
    </row>
    <row r="10" spans="1:21" x14ac:dyDescent="0.25">
      <c r="A10" s="56" t="s">
        <v>198</v>
      </c>
      <c r="B10" s="51">
        <v>4300</v>
      </c>
      <c r="C10" s="75">
        <v>32</v>
      </c>
      <c r="D10" s="28">
        <v>30</v>
      </c>
      <c r="E10" s="57">
        <f t="shared" si="0"/>
        <v>137600</v>
      </c>
      <c r="F10" s="147" t="b">
        <f t="shared" si="1"/>
        <v>0</v>
      </c>
      <c r="G10" s="136" t="s">
        <v>214</v>
      </c>
      <c r="H10" s="137"/>
    </row>
    <row r="11" spans="1:21" ht="15.75" thickBot="1" x14ac:dyDescent="0.3">
      <c r="A11" s="58" t="s">
        <v>175</v>
      </c>
      <c r="B11" s="59">
        <v>4500</v>
      </c>
      <c r="C11" s="76">
        <v>40</v>
      </c>
      <c r="D11" s="60">
        <v>28</v>
      </c>
      <c r="E11" s="61">
        <f t="shared" si="0"/>
        <v>180000</v>
      </c>
      <c r="F11" s="147" t="b">
        <f t="shared" si="1"/>
        <v>1</v>
      </c>
      <c r="G11" s="138" t="s">
        <v>213</v>
      </c>
      <c r="H11" s="139"/>
    </row>
    <row r="14" spans="1:21" x14ac:dyDescent="0.25">
      <c r="C14" s="4"/>
      <c r="D14" s="4"/>
      <c r="E14" s="4"/>
      <c r="F14" s="4"/>
      <c r="G14" s="4"/>
      <c r="H14" s="4"/>
      <c r="I14" s="4"/>
      <c r="J14" s="4"/>
      <c r="K14" s="4"/>
      <c r="L14" s="4"/>
      <c r="M14" s="4"/>
      <c r="N14" s="4"/>
      <c r="O14" s="4"/>
      <c r="P14" s="4"/>
      <c r="Q14" s="4"/>
      <c r="R14" s="4"/>
      <c r="S14" s="4"/>
      <c r="T14" s="4"/>
      <c r="U14" s="4"/>
    </row>
    <row r="15" spans="1:21" ht="20.100000000000001" customHeight="1" x14ac:dyDescent="0.25">
      <c r="A15" s="68" t="s">
        <v>186</v>
      </c>
      <c r="C15" s="4"/>
      <c r="D15" s="4"/>
      <c r="E15" s="4"/>
      <c r="F15" s="4"/>
      <c r="G15" s="4"/>
      <c r="H15" s="4"/>
      <c r="I15" s="4"/>
      <c r="J15" s="4"/>
      <c r="K15" s="4"/>
      <c r="L15" s="4"/>
      <c r="M15" s="4"/>
      <c r="N15" s="4"/>
      <c r="O15" s="4"/>
      <c r="P15" s="4"/>
      <c r="Q15" s="4"/>
      <c r="R15" s="4"/>
      <c r="S15" s="4"/>
      <c r="T15" s="4"/>
      <c r="U15" s="4"/>
    </row>
    <row r="16" spans="1:21" x14ac:dyDescent="0.25">
      <c r="A16">
        <f>DSUM($A$1:$E$11,"Hetibér",$G$1:$K$2)</f>
        <v>120000</v>
      </c>
      <c r="B16" s="113" t="s">
        <v>210</v>
      </c>
      <c r="C16" s="113"/>
      <c r="D16" s="113"/>
      <c r="E16" s="113"/>
      <c r="F16" s="113"/>
      <c r="G16" s="113"/>
      <c r="H16" s="113"/>
      <c r="I16" s="113"/>
      <c r="J16" s="113"/>
      <c r="K16" s="113"/>
      <c r="L16" s="113"/>
      <c r="M16" s="113"/>
      <c r="N16" s="113"/>
      <c r="O16" s="113"/>
      <c r="P16" s="113"/>
      <c r="Q16" s="113"/>
      <c r="R16" s="113"/>
    </row>
    <row r="17" spans="1:21" x14ac:dyDescent="0.25">
      <c r="A17">
        <f>DSUM($A$1:$E$11,"Hetibér",$G$1:$K$3)</f>
        <v>448600</v>
      </c>
      <c r="B17" s="113" t="s">
        <v>209</v>
      </c>
      <c r="C17" s="113"/>
      <c r="D17" s="113"/>
      <c r="E17" s="113"/>
      <c r="F17" s="113"/>
      <c r="G17" s="113"/>
      <c r="H17" s="113"/>
      <c r="I17" s="113"/>
      <c r="J17" s="113"/>
      <c r="K17" s="113"/>
      <c r="L17" s="113"/>
      <c r="M17" s="113"/>
      <c r="N17" s="113"/>
      <c r="O17" s="113"/>
      <c r="P17" s="113"/>
      <c r="Q17" s="113"/>
      <c r="R17" s="113"/>
    </row>
    <row r="18" spans="1:21" x14ac:dyDescent="0.25">
      <c r="C18" s="4"/>
      <c r="D18" s="4"/>
      <c r="E18" s="4"/>
      <c r="F18" s="4"/>
      <c r="G18" s="4"/>
      <c r="H18" s="4"/>
      <c r="I18" s="4"/>
      <c r="J18" s="4"/>
      <c r="K18" s="4"/>
      <c r="L18" s="4"/>
      <c r="M18" s="4"/>
      <c r="N18" s="4"/>
      <c r="O18" s="4"/>
      <c r="P18" s="4"/>
      <c r="Q18" s="4"/>
      <c r="R18" s="4"/>
      <c r="S18" s="4"/>
      <c r="T18" s="4"/>
    </row>
    <row r="19" spans="1:21" ht="20.100000000000001" customHeight="1" x14ac:dyDescent="0.25">
      <c r="A19" s="68" t="s">
        <v>185</v>
      </c>
      <c r="C19" s="4"/>
      <c r="D19" s="4"/>
      <c r="E19" s="4"/>
      <c r="F19" s="4"/>
      <c r="G19" s="4"/>
      <c r="H19" s="4"/>
      <c r="I19" s="4"/>
      <c r="J19" s="4"/>
      <c r="K19" s="4"/>
      <c r="L19" s="4"/>
      <c r="M19" s="4"/>
      <c r="N19" s="4"/>
      <c r="O19" s="4"/>
      <c r="P19" s="4"/>
      <c r="Q19" s="4"/>
      <c r="R19" s="4"/>
      <c r="S19" s="4"/>
      <c r="T19" s="4"/>
      <c r="U19" s="4"/>
    </row>
    <row r="20" spans="1:21" x14ac:dyDescent="0.25">
      <c r="A20">
        <f>DAVERAGE($A$1:$E$11,"Hetibér",$G$1:$K$2)</f>
        <v>120000</v>
      </c>
      <c r="B20" s="113" t="s">
        <v>208</v>
      </c>
      <c r="C20" s="113"/>
      <c r="D20" s="113"/>
      <c r="E20" s="113"/>
      <c r="F20" s="113"/>
      <c r="G20" s="113"/>
      <c r="H20" s="113"/>
      <c r="I20" s="113"/>
      <c r="J20" s="113"/>
      <c r="K20" s="113"/>
      <c r="L20" s="113"/>
      <c r="M20" s="113"/>
      <c r="N20" s="113"/>
      <c r="O20" s="113"/>
      <c r="P20" s="113"/>
      <c r="Q20" s="113"/>
      <c r="R20" s="113"/>
    </row>
    <row r="21" spans="1:21" x14ac:dyDescent="0.25">
      <c r="A21">
        <f>DAVERAGE($A$1:$E$11,"Hetibér",$G$1:$K$3)</f>
        <v>112150</v>
      </c>
      <c r="B21" s="113" t="s">
        <v>207</v>
      </c>
      <c r="C21" s="113"/>
      <c r="D21" s="113"/>
      <c r="E21" s="113"/>
      <c r="F21" s="113"/>
      <c r="G21" s="113"/>
      <c r="H21" s="113"/>
      <c r="I21" s="113"/>
      <c r="J21" s="113"/>
      <c r="K21" s="113"/>
      <c r="L21" s="113"/>
      <c r="M21" s="113"/>
      <c r="N21" s="113"/>
      <c r="O21" s="113"/>
      <c r="P21" s="113"/>
      <c r="Q21" s="113"/>
      <c r="R21" s="113"/>
    </row>
    <row r="22" spans="1:21" x14ac:dyDescent="0.25">
      <c r="C22" s="4"/>
      <c r="D22" s="4"/>
      <c r="E22" s="4"/>
      <c r="F22" s="4"/>
      <c r="G22" s="4"/>
      <c r="H22" s="4"/>
      <c r="I22" s="4"/>
      <c r="J22" s="4"/>
      <c r="K22" s="4"/>
      <c r="L22" s="4"/>
      <c r="M22" s="4"/>
      <c r="N22" s="4"/>
      <c r="O22" s="4"/>
      <c r="P22" s="4"/>
      <c r="Q22" s="4"/>
      <c r="R22" s="4"/>
      <c r="S22" s="4"/>
      <c r="T22" s="4"/>
      <c r="U22" s="4"/>
    </row>
    <row r="23" spans="1:21" ht="20.100000000000001" customHeight="1" x14ac:dyDescent="0.25">
      <c r="A23" s="68" t="s">
        <v>188</v>
      </c>
      <c r="C23" s="4"/>
      <c r="D23" s="4"/>
      <c r="E23" s="4"/>
      <c r="F23" s="4"/>
      <c r="G23" s="4"/>
      <c r="H23" s="4"/>
      <c r="I23" s="4"/>
      <c r="J23" s="4"/>
      <c r="K23" s="4"/>
      <c r="L23" s="4"/>
      <c r="M23" s="4"/>
      <c r="N23" s="4"/>
      <c r="O23" s="4"/>
      <c r="P23" s="4"/>
      <c r="Q23" s="4"/>
      <c r="R23" s="4"/>
      <c r="S23" s="4"/>
      <c r="T23" s="4"/>
      <c r="U23" s="4"/>
    </row>
    <row r="24" spans="1:21" x14ac:dyDescent="0.25">
      <c r="A24">
        <f>DMIN($A$1:$E$11,"Hetibér",$G$1:$K$2)</f>
        <v>120000</v>
      </c>
      <c r="B24" s="113" t="s">
        <v>206</v>
      </c>
      <c r="C24" s="113"/>
      <c r="D24" s="113"/>
      <c r="E24" s="113"/>
      <c r="F24" s="113"/>
      <c r="G24" s="113"/>
      <c r="H24" s="113"/>
      <c r="I24" s="113"/>
      <c r="J24" s="113"/>
      <c r="K24" s="113"/>
      <c r="L24" s="113"/>
      <c r="M24" s="113"/>
      <c r="N24" s="113"/>
      <c r="O24" s="113"/>
      <c r="P24" s="113"/>
      <c r="Q24" s="113"/>
      <c r="R24" s="113"/>
    </row>
    <row r="25" spans="1:21" x14ac:dyDescent="0.25">
      <c r="A25">
        <f>DMIN($A$1:$E$11,"Hetibér",$G$1:$K$3)</f>
        <v>87000</v>
      </c>
      <c r="B25" s="113" t="s">
        <v>205</v>
      </c>
      <c r="C25" s="113"/>
      <c r="D25" s="113"/>
      <c r="E25" s="113"/>
      <c r="F25" s="113"/>
      <c r="G25" s="113"/>
      <c r="H25" s="113"/>
      <c r="I25" s="113"/>
      <c r="J25" s="113"/>
      <c r="K25" s="113"/>
      <c r="L25" s="113"/>
      <c r="M25" s="113"/>
      <c r="N25" s="113"/>
      <c r="O25" s="113"/>
      <c r="P25" s="113"/>
      <c r="Q25" s="113"/>
      <c r="R25" s="113"/>
    </row>
    <row r="26" spans="1:21" x14ac:dyDescent="0.25">
      <c r="C26" s="4"/>
      <c r="D26" s="4"/>
      <c r="E26" s="4"/>
      <c r="F26" s="4"/>
      <c r="G26" s="4"/>
      <c r="H26" s="4"/>
      <c r="I26" s="4"/>
      <c r="J26" s="4"/>
      <c r="K26" s="4"/>
      <c r="L26" s="4"/>
      <c r="M26" s="4"/>
      <c r="N26" s="4"/>
      <c r="O26" s="4"/>
      <c r="P26" s="4"/>
      <c r="Q26" s="4"/>
      <c r="R26" s="4"/>
      <c r="S26" s="4"/>
      <c r="T26" s="4"/>
      <c r="U26" s="4"/>
    </row>
    <row r="27" spans="1:21" ht="20.100000000000001" customHeight="1" x14ac:dyDescent="0.25">
      <c r="A27" s="68" t="s">
        <v>189</v>
      </c>
    </row>
    <row r="28" spans="1:21" x14ac:dyDescent="0.25">
      <c r="A28">
        <f>DMAX($A$1:$E$11,"Hetibér",$G$1:$K$2)</f>
        <v>120000</v>
      </c>
      <c r="B28" s="113" t="s">
        <v>204</v>
      </c>
      <c r="C28" s="113"/>
      <c r="D28" s="113"/>
      <c r="E28" s="113"/>
      <c r="F28" s="113"/>
      <c r="G28" s="113"/>
      <c r="H28" s="113"/>
      <c r="I28" s="113"/>
      <c r="J28" s="113"/>
      <c r="K28" s="113"/>
      <c r="L28" s="113"/>
      <c r="M28" s="113"/>
      <c r="N28" s="113"/>
      <c r="O28" s="113"/>
      <c r="P28" s="113"/>
      <c r="Q28" s="113"/>
      <c r="R28" s="113"/>
    </row>
    <row r="29" spans="1:21" x14ac:dyDescent="0.25">
      <c r="A29">
        <f>DMAX($A$1:$E$11,"Hetibér",$G$1:$K$3)</f>
        <v>137600</v>
      </c>
      <c r="B29" s="113" t="s">
        <v>203</v>
      </c>
      <c r="C29" s="113"/>
      <c r="D29" s="113"/>
      <c r="E29" s="113"/>
      <c r="F29" s="113"/>
      <c r="G29" s="113"/>
      <c r="H29" s="113"/>
      <c r="I29" s="113"/>
      <c r="J29" s="113"/>
      <c r="K29" s="113"/>
      <c r="L29" s="113"/>
      <c r="M29" s="113"/>
      <c r="N29" s="113"/>
      <c r="O29" s="113"/>
      <c r="P29" s="113"/>
      <c r="Q29" s="113"/>
      <c r="R29" s="113"/>
    </row>
    <row r="31" spans="1:21" ht="20.100000000000001" customHeight="1" x14ac:dyDescent="0.25">
      <c r="A31" s="68" t="s">
        <v>190</v>
      </c>
    </row>
    <row r="32" spans="1:21" x14ac:dyDescent="0.25">
      <c r="A32">
        <f>DCOUNT($A$1:$E$11,"Hetibér",$G$1:$K$2)</f>
        <v>1</v>
      </c>
      <c r="B32" s="113" t="s">
        <v>202</v>
      </c>
      <c r="C32" s="113"/>
      <c r="D32" s="113"/>
      <c r="E32" s="113"/>
      <c r="F32" s="113"/>
      <c r="G32" s="113"/>
      <c r="H32" s="113"/>
      <c r="I32" s="113"/>
      <c r="J32" s="113"/>
      <c r="K32" s="113"/>
      <c r="L32" s="113"/>
      <c r="M32" s="113"/>
      <c r="N32" s="113"/>
      <c r="O32" s="113"/>
      <c r="P32" s="113"/>
      <c r="Q32" s="113"/>
      <c r="R32" s="113"/>
    </row>
    <row r="33" spans="1:18" x14ac:dyDescent="0.25">
      <c r="A33">
        <f>DCOUNT($A$1:$E$11,"Hetibér",$G$1:$K$3)</f>
        <v>4</v>
      </c>
      <c r="B33" s="113" t="s">
        <v>201</v>
      </c>
      <c r="C33" s="113"/>
      <c r="D33" s="113"/>
      <c r="E33" s="113"/>
      <c r="F33" s="113"/>
      <c r="G33" s="113"/>
      <c r="H33" s="113"/>
      <c r="I33" s="113"/>
      <c r="J33" s="113"/>
      <c r="K33" s="113"/>
      <c r="L33" s="113"/>
      <c r="M33" s="113"/>
      <c r="N33" s="113"/>
      <c r="O33" s="113"/>
      <c r="P33" s="113"/>
      <c r="Q33" s="113"/>
      <c r="R33" s="113"/>
    </row>
    <row r="35" spans="1:18" ht="20.100000000000001" customHeight="1" x14ac:dyDescent="0.25">
      <c r="A35" s="68" t="s">
        <v>191</v>
      </c>
    </row>
    <row r="36" spans="1:18" x14ac:dyDescent="0.25">
      <c r="A36">
        <f>DCOUNTA($A$1:$E$11,"Hetibér",$G$1:$K$2)</f>
        <v>1</v>
      </c>
      <c r="B36" s="113" t="s">
        <v>200</v>
      </c>
      <c r="C36" s="113"/>
      <c r="D36" s="113"/>
      <c r="E36" s="113"/>
      <c r="F36" s="113"/>
      <c r="G36" s="113"/>
      <c r="H36" s="113"/>
      <c r="I36" s="113"/>
      <c r="J36" s="113"/>
      <c r="K36" s="113"/>
      <c r="L36" s="113"/>
      <c r="M36" s="113"/>
      <c r="N36" s="113"/>
      <c r="O36" s="113"/>
      <c r="P36" s="113"/>
      <c r="Q36" s="113"/>
      <c r="R36" s="113"/>
    </row>
    <row r="37" spans="1:18" x14ac:dyDescent="0.25">
      <c r="A37">
        <f>DCOUNTA($A$1:$E$11,"Hetibér",$G$1:$K$3)</f>
        <v>4</v>
      </c>
      <c r="B37" s="113" t="s">
        <v>199</v>
      </c>
      <c r="C37" s="113"/>
      <c r="D37" s="113"/>
      <c r="E37" s="113"/>
      <c r="F37" s="113"/>
      <c r="G37" s="113"/>
      <c r="H37" s="113"/>
      <c r="I37" s="113"/>
      <c r="J37" s="113"/>
      <c r="K37" s="113"/>
      <c r="L37" s="113"/>
      <c r="M37" s="113"/>
      <c r="N37" s="113"/>
      <c r="O37" s="113"/>
      <c r="P37" s="113"/>
      <c r="Q37" s="113"/>
      <c r="R37" s="113"/>
    </row>
    <row r="39" spans="1:18" ht="20.100000000000001" customHeight="1" x14ac:dyDescent="0.25">
      <c r="A39" s="68" t="s">
        <v>192</v>
      </c>
    </row>
    <row r="40" spans="1:18" x14ac:dyDescent="0.25">
      <c r="A40">
        <f>DGET($A$1:$E$11,"Hetibér",G5:G6)</f>
        <v>77000</v>
      </c>
      <c r="B40" s="113" t="s">
        <v>211</v>
      </c>
      <c r="C40" s="113"/>
      <c r="D40" s="113"/>
      <c r="E40" s="113"/>
      <c r="F40" s="113"/>
      <c r="G40" s="113"/>
      <c r="H40" s="113"/>
      <c r="I40" s="113"/>
      <c r="J40" s="113"/>
      <c r="K40" s="113"/>
      <c r="L40" s="113"/>
      <c r="M40" s="113"/>
      <c r="N40" s="113"/>
      <c r="O40" s="113"/>
      <c r="P40" s="113"/>
      <c r="Q40" s="113"/>
      <c r="R40" s="113"/>
    </row>
    <row r="44" spans="1:18" ht="35.1" customHeight="1" x14ac:dyDescent="0.25">
      <c r="A44" s="105" t="s">
        <v>39</v>
      </c>
      <c r="B44" s="105"/>
      <c r="C44" s="105"/>
      <c r="D44" s="105"/>
      <c r="E44" s="105"/>
      <c r="F44" s="105"/>
      <c r="G44" s="105"/>
      <c r="H44" s="105"/>
      <c r="I44" s="105"/>
      <c r="J44" s="105"/>
      <c r="K44" s="105"/>
    </row>
    <row r="45" spans="1:18" ht="15" customHeight="1" x14ac:dyDescent="0.25">
      <c r="A45" s="110" t="s">
        <v>220</v>
      </c>
      <c r="B45" s="110"/>
      <c r="C45" s="110"/>
      <c r="D45" s="110"/>
      <c r="E45" s="110"/>
      <c r="F45" s="110"/>
      <c r="G45" s="110"/>
      <c r="H45" s="110"/>
      <c r="I45" s="110"/>
      <c r="J45" s="110"/>
      <c r="K45" s="110"/>
    </row>
    <row r="46" spans="1:18" x14ac:dyDescent="0.25">
      <c r="A46" s="110"/>
      <c r="B46" s="110"/>
      <c r="C46" s="110"/>
      <c r="D46" s="110"/>
      <c r="E46" s="110"/>
      <c r="F46" s="110"/>
      <c r="G46" s="110"/>
      <c r="H46" s="110"/>
      <c r="I46" s="110"/>
      <c r="J46" s="110"/>
      <c r="K46" s="110"/>
    </row>
    <row r="48" spans="1:18" ht="15.75" thickBot="1" x14ac:dyDescent="0.3">
      <c r="A48" s="122" t="s">
        <v>41</v>
      </c>
      <c r="B48" s="122"/>
      <c r="C48" s="122"/>
      <c r="D48" s="122"/>
      <c r="E48" s="122"/>
      <c r="F48" s="122"/>
      <c r="G48" s="122"/>
      <c r="H48" s="122"/>
      <c r="I48" s="122"/>
      <c r="J48" s="122"/>
      <c r="K48" s="122"/>
    </row>
    <row r="49" spans="1:11" x14ac:dyDescent="0.25">
      <c r="A49" s="113" t="s">
        <v>215</v>
      </c>
      <c r="B49" s="113"/>
      <c r="C49" s="113"/>
      <c r="D49" s="113"/>
      <c r="E49" s="113"/>
      <c r="G49" s="69" t="s">
        <v>165</v>
      </c>
      <c r="H49" s="70"/>
      <c r="I49" s="70"/>
      <c r="J49" s="70"/>
      <c r="K49" s="71"/>
    </row>
    <row r="50" spans="1:11" x14ac:dyDescent="0.25">
      <c r="G50" s="56" t="s">
        <v>168</v>
      </c>
      <c r="H50" s="28"/>
      <c r="I50" s="28"/>
      <c r="J50" s="28"/>
      <c r="K50" s="62"/>
    </row>
    <row r="51" spans="1:11" x14ac:dyDescent="0.25">
      <c r="A51" s="3" t="s">
        <v>216</v>
      </c>
      <c r="B51" s="43">
        <f>DGET($A$1:$E$11,"Hetibér",G49:G50)</f>
        <v>192000</v>
      </c>
      <c r="G51" s="56"/>
      <c r="H51" s="28"/>
      <c r="I51" s="28"/>
      <c r="J51" s="28"/>
      <c r="K51" s="62"/>
    </row>
    <row r="52" spans="1:11" x14ac:dyDescent="0.25">
      <c r="G52" s="56"/>
      <c r="H52" s="28"/>
      <c r="I52" s="28"/>
      <c r="J52" s="28"/>
      <c r="K52" s="62"/>
    </row>
    <row r="53" spans="1:11" ht="15.75" thickBot="1" x14ac:dyDescent="0.3">
      <c r="G53" s="58"/>
      <c r="H53" s="60"/>
      <c r="I53" s="60"/>
      <c r="J53" s="60"/>
      <c r="K53" s="63"/>
    </row>
    <row r="55" spans="1:11" ht="15.75" thickBot="1" x14ac:dyDescent="0.3">
      <c r="A55" s="127" t="s">
        <v>44</v>
      </c>
      <c r="B55" s="122"/>
      <c r="C55" s="122"/>
      <c r="D55" s="122"/>
      <c r="E55" s="122"/>
      <c r="F55" s="122"/>
      <c r="G55" s="122"/>
      <c r="H55" s="122"/>
      <c r="I55" s="122"/>
      <c r="J55" s="122"/>
      <c r="K55" s="122"/>
    </row>
    <row r="56" spans="1:11" x14ac:dyDescent="0.25">
      <c r="A56" s="113" t="s">
        <v>218</v>
      </c>
      <c r="B56" s="113"/>
      <c r="C56" s="113"/>
      <c r="D56" s="113"/>
      <c r="E56" s="113"/>
      <c r="G56" s="69" t="s">
        <v>181</v>
      </c>
      <c r="H56" s="70"/>
      <c r="I56" s="70"/>
      <c r="J56" s="70"/>
      <c r="K56" s="71"/>
    </row>
    <row r="57" spans="1:11" x14ac:dyDescent="0.25">
      <c r="G57" s="56" t="s">
        <v>309</v>
      </c>
      <c r="H57" s="28"/>
      <c r="I57" s="28"/>
      <c r="J57" s="28"/>
      <c r="K57" s="62"/>
    </row>
    <row r="58" spans="1:11" x14ac:dyDescent="0.25">
      <c r="A58" s="3" t="s">
        <v>217</v>
      </c>
      <c r="B58">
        <f>DCOUNT($A$1:$E$11,"Órabér",G56:G57)</f>
        <v>8</v>
      </c>
      <c r="G58" s="56"/>
      <c r="H58" s="28"/>
      <c r="I58" s="28"/>
      <c r="J58" s="28"/>
      <c r="K58" s="62"/>
    </row>
    <row r="59" spans="1:11" x14ac:dyDescent="0.25">
      <c r="G59" s="56"/>
      <c r="H59" s="28"/>
      <c r="I59" s="28"/>
      <c r="J59" s="28"/>
      <c r="K59" s="62"/>
    </row>
    <row r="60" spans="1:11" ht="15.75" thickBot="1" x14ac:dyDescent="0.3">
      <c r="G60" s="58"/>
      <c r="H60" s="60"/>
      <c r="I60" s="60"/>
      <c r="J60" s="60"/>
      <c r="K60" s="63"/>
    </row>
    <row r="62" spans="1:11" ht="15.75" thickBot="1" x14ac:dyDescent="0.3">
      <c r="A62" s="127" t="s">
        <v>45</v>
      </c>
      <c r="B62" s="122"/>
      <c r="C62" s="122"/>
      <c r="D62" s="122"/>
      <c r="E62" s="122"/>
      <c r="F62" s="122"/>
      <c r="G62" s="122"/>
      <c r="H62" s="122"/>
      <c r="I62" s="122"/>
      <c r="J62" s="122"/>
      <c r="K62" s="122"/>
    </row>
    <row r="63" spans="1:11" x14ac:dyDescent="0.25">
      <c r="A63" s="113" t="s">
        <v>219</v>
      </c>
      <c r="B63" s="113"/>
      <c r="C63" s="113"/>
      <c r="D63" s="113"/>
      <c r="E63" s="113"/>
      <c r="G63" s="69" t="s">
        <v>310</v>
      </c>
      <c r="H63" s="70"/>
      <c r="I63" s="70"/>
      <c r="J63" s="70"/>
      <c r="K63" s="71"/>
    </row>
    <row r="64" spans="1:11" x14ac:dyDescent="0.25">
      <c r="G64" s="146">
        <f>AVERAGE(B2:B11)</f>
        <v>4778</v>
      </c>
      <c r="H64" s="28"/>
      <c r="I64" s="28"/>
      <c r="J64" s="28"/>
      <c r="K64" s="62"/>
    </row>
    <row r="65" spans="1:11" x14ac:dyDescent="0.25">
      <c r="A65" s="3" t="s">
        <v>217</v>
      </c>
      <c r="B65">
        <f>COUNTIF(B2:B11,"&gt;" &amp; AVERAGE(B2:B11))</f>
        <v>4</v>
      </c>
      <c r="G65" s="56"/>
      <c r="H65" s="28"/>
      <c r="I65" s="28"/>
      <c r="J65" s="28"/>
      <c r="K65" s="62"/>
    </row>
    <row r="66" spans="1:11" x14ac:dyDescent="0.25">
      <c r="G66" s="56"/>
      <c r="H66" s="28"/>
      <c r="I66" s="28"/>
      <c r="J66" s="28"/>
      <c r="K66" s="62"/>
    </row>
    <row r="67" spans="1:11" ht="15.75" thickBot="1" x14ac:dyDescent="0.3">
      <c r="G67" s="58"/>
      <c r="H67" s="60"/>
      <c r="I67" s="60"/>
      <c r="J67" s="60"/>
      <c r="K67" s="63"/>
    </row>
    <row r="69" spans="1:11" ht="15.75" thickBot="1" x14ac:dyDescent="0.3">
      <c r="A69" s="127" t="s">
        <v>47</v>
      </c>
      <c r="B69" s="122"/>
      <c r="C69" s="122"/>
      <c r="D69" s="122"/>
      <c r="E69" s="122"/>
      <c r="F69" s="122"/>
      <c r="G69" s="122"/>
      <c r="H69" s="122"/>
      <c r="I69" s="122"/>
      <c r="J69" s="122"/>
      <c r="K69" s="122"/>
    </row>
    <row r="70" spans="1:11" x14ac:dyDescent="0.25">
      <c r="A70" s="110" t="s">
        <v>222</v>
      </c>
      <c r="B70" s="110"/>
      <c r="C70" s="110"/>
      <c r="D70" s="110"/>
      <c r="E70" s="110"/>
      <c r="G70" s="69" t="s">
        <v>187</v>
      </c>
      <c r="H70" s="70"/>
      <c r="I70" s="70"/>
      <c r="J70" s="70"/>
      <c r="K70" s="71"/>
    </row>
    <row r="71" spans="1:11" x14ac:dyDescent="0.25">
      <c r="A71" s="110"/>
      <c r="B71" s="110"/>
      <c r="C71" s="110"/>
      <c r="D71" s="110"/>
      <c r="E71" s="110"/>
      <c r="G71" s="146">
        <f>MAX(E2:E11)</f>
        <v>192000</v>
      </c>
      <c r="H71" s="28"/>
      <c r="I71" s="28"/>
      <c r="J71" s="28"/>
      <c r="K71" s="72"/>
    </row>
    <row r="72" spans="1:11" x14ac:dyDescent="0.25">
      <c r="G72" s="56"/>
      <c r="H72" s="28"/>
      <c r="I72" s="28"/>
      <c r="J72" s="28"/>
      <c r="K72" s="62"/>
    </row>
    <row r="73" spans="1:11" x14ac:dyDescent="0.25">
      <c r="A73" s="3" t="s">
        <v>221</v>
      </c>
      <c r="B73" t="str">
        <f>INDEX(A2:A11, MATCH(MAX(E2:E11),E2:E11,0))</f>
        <v>Horváth Gábor</v>
      </c>
      <c r="G73" s="56"/>
      <c r="H73" s="28"/>
      <c r="I73" s="28"/>
      <c r="J73" s="28"/>
      <c r="K73" s="62"/>
    </row>
    <row r="74" spans="1:11" ht="15.75" thickBot="1" x14ac:dyDescent="0.3">
      <c r="A74" s="3" t="s">
        <v>221</v>
      </c>
      <c r="B74" t="str">
        <f>DGET(A1:E11,"Név",G70:G71)</f>
        <v>Horváth Gábor</v>
      </c>
      <c r="G74" s="58"/>
      <c r="H74" s="60"/>
      <c r="I74" s="60"/>
      <c r="J74" s="60"/>
      <c r="K74" s="63"/>
    </row>
    <row r="75" spans="1:11" x14ac:dyDescent="0.25">
      <c r="A75" s="3"/>
    </row>
    <row r="76" spans="1:11" ht="15.75" thickBot="1" x14ac:dyDescent="0.3">
      <c r="A76" s="127" t="s">
        <v>55</v>
      </c>
      <c r="B76" s="122"/>
      <c r="C76" s="122"/>
      <c r="D76" s="122"/>
      <c r="E76" s="122"/>
      <c r="F76" s="122"/>
      <c r="G76" s="122"/>
      <c r="H76" s="122"/>
      <c r="I76" s="122"/>
      <c r="J76" s="122"/>
      <c r="K76" s="122"/>
    </row>
    <row r="77" spans="1:11" x14ac:dyDescent="0.25">
      <c r="A77" s="110" t="s">
        <v>224</v>
      </c>
      <c r="B77" s="110"/>
      <c r="C77" s="110"/>
      <c r="D77" s="110"/>
      <c r="E77" s="110"/>
      <c r="G77" s="69" t="s">
        <v>166</v>
      </c>
      <c r="H77" s="70" t="s">
        <v>182</v>
      </c>
      <c r="I77" s="70"/>
      <c r="J77" s="70"/>
      <c r="K77" s="71"/>
    </row>
    <row r="78" spans="1:11" x14ac:dyDescent="0.25">
      <c r="A78" s="110"/>
      <c r="B78" s="110"/>
      <c r="C78" s="110"/>
      <c r="D78" s="110"/>
      <c r="E78" s="110"/>
      <c r="G78" s="56" t="s">
        <v>311</v>
      </c>
      <c r="H78" s="28">
        <v>40</v>
      </c>
      <c r="I78" s="28"/>
      <c r="J78" s="28"/>
      <c r="K78" s="72"/>
    </row>
    <row r="79" spans="1:11" x14ac:dyDescent="0.25">
      <c r="G79" s="56"/>
      <c r="H79" s="28"/>
      <c r="I79" s="28"/>
      <c r="J79" s="28"/>
      <c r="K79" s="62"/>
    </row>
    <row r="80" spans="1:11" x14ac:dyDescent="0.25">
      <c r="A80" s="3" t="s">
        <v>223</v>
      </c>
      <c r="B80" s="43">
        <f>DAVERAGE(A1:E11,"Hetibér",G77:H78)*4</f>
        <v>590400</v>
      </c>
      <c r="G80" s="56"/>
      <c r="H80" s="28"/>
      <c r="I80" s="28"/>
      <c r="J80" s="28"/>
      <c r="K80" s="62"/>
    </row>
    <row r="81" spans="1:11" ht="15.75" thickBot="1" x14ac:dyDescent="0.3">
      <c r="G81" s="58"/>
      <c r="H81" s="60"/>
      <c r="I81" s="60"/>
      <c r="J81" s="60"/>
      <c r="K81" s="63"/>
    </row>
    <row r="83" spans="1:11" ht="15.75" thickBot="1" x14ac:dyDescent="0.3">
      <c r="A83" s="127" t="s">
        <v>77</v>
      </c>
      <c r="B83" s="122"/>
      <c r="C83" s="122"/>
      <c r="D83" s="122"/>
      <c r="E83" s="122"/>
      <c r="F83" s="122"/>
      <c r="G83" s="122"/>
      <c r="H83" s="122"/>
      <c r="I83" s="122"/>
      <c r="J83" s="122"/>
      <c r="K83" s="122"/>
    </row>
    <row r="84" spans="1:11" x14ac:dyDescent="0.25">
      <c r="A84" s="110" t="s">
        <v>228</v>
      </c>
      <c r="B84" s="110"/>
      <c r="C84" s="110"/>
      <c r="D84" s="110"/>
      <c r="E84" s="110"/>
      <c r="G84" s="74" t="s">
        <v>166</v>
      </c>
      <c r="H84" s="73" t="s">
        <v>166</v>
      </c>
      <c r="I84" s="73"/>
      <c r="J84" s="70"/>
      <c r="K84" s="71"/>
    </row>
    <row r="85" spans="1:11" x14ac:dyDescent="0.25">
      <c r="A85" s="110"/>
      <c r="B85" s="110"/>
      <c r="C85" s="110"/>
      <c r="D85" s="110"/>
      <c r="E85" s="110"/>
      <c r="G85" s="56" t="s">
        <v>312</v>
      </c>
      <c r="H85" s="28" t="s">
        <v>313</v>
      </c>
      <c r="I85" s="28"/>
      <c r="J85" s="28"/>
      <c r="K85" s="72"/>
    </row>
    <row r="86" spans="1:11" ht="15.75" thickBot="1" x14ac:dyDescent="0.3">
      <c r="G86" s="56"/>
      <c r="H86" s="28"/>
      <c r="I86" s="28"/>
      <c r="J86" s="28"/>
      <c r="K86" s="62"/>
    </row>
    <row r="87" spans="1:11" x14ac:dyDescent="0.25">
      <c r="A87" s="3" t="s">
        <v>227</v>
      </c>
      <c r="B87" s="43">
        <f>ABS(DAVERAGE(A1:E11, "Órabér",$G$84:$H$85) - DAVERAGE(A1:E11, "Órabér", $G$87:$H$88))</f>
        <v>1778.3333333333339</v>
      </c>
      <c r="G87" s="74" t="s">
        <v>166</v>
      </c>
      <c r="H87" s="74" t="s">
        <v>166</v>
      </c>
      <c r="I87" s="73"/>
      <c r="J87" s="70"/>
      <c r="K87" s="71"/>
    </row>
    <row r="88" spans="1:11" x14ac:dyDescent="0.25">
      <c r="G88" s="56" t="s">
        <v>184</v>
      </c>
      <c r="H88" s="28" t="s">
        <v>314</v>
      </c>
      <c r="I88" s="28"/>
      <c r="J88" s="28"/>
      <c r="K88" s="72"/>
    </row>
    <row r="89" spans="1:11" ht="15.75" thickBot="1" x14ac:dyDescent="0.3">
      <c r="G89" s="58"/>
      <c r="H89" s="60"/>
      <c r="I89" s="60"/>
      <c r="J89" s="60"/>
      <c r="K89" s="63"/>
    </row>
    <row r="91" spans="1:11" ht="15.75" thickBot="1" x14ac:dyDescent="0.3">
      <c r="A91" s="127" t="s">
        <v>229</v>
      </c>
      <c r="B91" s="122"/>
      <c r="C91" s="122"/>
      <c r="D91" s="122"/>
      <c r="E91" s="122"/>
      <c r="F91" s="122"/>
      <c r="G91" s="122"/>
      <c r="H91" s="122"/>
      <c r="I91" s="122"/>
      <c r="J91" s="122"/>
      <c r="K91" s="122"/>
    </row>
    <row r="92" spans="1:11" ht="15" customHeight="1" x14ac:dyDescent="0.25">
      <c r="A92" s="116" t="s">
        <v>230</v>
      </c>
      <c r="B92" s="116"/>
      <c r="C92" s="116"/>
      <c r="D92" s="116"/>
      <c r="E92" s="116"/>
      <c r="G92" s="74" t="s">
        <v>166</v>
      </c>
      <c r="H92" s="70" t="s">
        <v>182</v>
      </c>
      <c r="I92" s="70"/>
      <c r="J92" s="70"/>
      <c r="K92" s="71"/>
    </row>
    <row r="93" spans="1:11" x14ac:dyDescent="0.25">
      <c r="A93" s="116"/>
      <c r="B93" s="116"/>
      <c r="C93" s="116"/>
      <c r="D93" s="116"/>
      <c r="E93" s="116"/>
      <c r="G93" s="56">
        <v>20</v>
      </c>
      <c r="H93" s="28" t="s">
        <v>184</v>
      </c>
      <c r="I93" s="28"/>
      <c r="J93" s="28"/>
      <c r="K93" s="72"/>
    </row>
    <row r="94" spans="1:11" x14ac:dyDescent="0.25">
      <c r="A94" s="116"/>
      <c r="B94" s="116"/>
      <c r="C94" s="116"/>
      <c r="D94" s="116"/>
      <c r="E94" s="116"/>
      <c r="G94" s="56">
        <v>25</v>
      </c>
      <c r="H94" s="28" t="s">
        <v>184</v>
      </c>
      <c r="I94" s="28"/>
      <c r="J94" s="28"/>
      <c r="K94" s="62"/>
    </row>
    <row r="95" spans="1:11" x14ac:dyDescent="0.25">
      <c r="A95" s="116"/>
      <c r="B95" s="116"/>
      <c r="C95" s="116"/>
      <c r="D95" s="116"/>
      <c r="E95" s="116"/>
      <c r="G95" s="56">
        <v>30</v>
      </c>
      <c r="H95" s="28" t="s">
        <v>184</v>
      </c>
      <c r="I95" s="28"/>
      <c r="J95" s="28"/>
      <c r="K95" s="62"/>
    </row>
    <row r="96" spans="1:11" ht="15.75" thickBot="1" x14ac:dyDescent="0.3">
      <c r="G96" s="58"/>
      <c r="H96" s="60"/>
      <c r="I96" s="60"/>
      <c r="J96" s="60"/>
      <c r="K96" s="63"/>
    </row>
    <row r="97" spans="1:14" x14ac:dyDescent="0.25">
      <c r="A97" s="3" t="s">
        <v>223</v>
      </c>
      <c r="B97" s="93">
        <f>ROUND(DAVERAGE(A1:E11, "Hetibér", G92:H95), 1)</f>
        <v>150666.70000000001</v>
      </c>
    </row>
    <row r="99" spans="1:14" ht="15.75" thickBot="1" x14ac:dyDescent="0.3">
      <c r="A99" s="127" t="s">
        <v>231</v>
      </c>
      <c r="B99" s="122"/>
      <c r="C99" s="122"/>
      <c r="D99" s="122"/>
      <c r="E99" s="122"/>
      <c r="F99" s="122"/>
      <c r="G99" s="122"/>
      <c r="H99" s="122"/>
      <c r="I99" s="122"/>
      <c r="J99" s="122"/>
      <c r="K99" s="122"/>
    </row>
    <row r="100" spans="1:14" x14ac:dyDescent="0.25">
      <c r="A100" s="116" t="s">
        <v>234</v>
      </c>
      <c r="B100" s="116"/>
      <c r="C100" s="116"/>
      <c r="D100" s="116"/>
      <c r="E100" s="116"/>
      <c r="G100" s="69" t="s">
        <v>165</v>
      </c>
      <c r="H100" s="70"/>
      <c r="I100" s="70"/>
      <c r="J100" s="70"/>
      <c r="K100" s="71"/>
    </row>
    <row r="101" spans="1:14" x14ac:dyDescent="0.25">
      <c r="A101" s="116"/>
      <c r="B101" s="116"/>
      <c r="C101" s="116"/>
      <c r="D101" s="116"/>
      <c r="E101" s="116"/>
      <c r="G101" s="56" t="s">
        <v>172</v>
      </c>
      <c r="I101" s="28"/>
      <c r="J101" s="28"/>
      <c r="K101" s="72"/>
    </row>
    <row r="102" spans="1:14" x14ac:dyDescent="0.25">
      <c r="A102" s="116"/>
      <c r="B102" s="116"/>
      <c r="C102" s="116"/>
      <c r="D102" s="116"/>
      <c r="E102" s="116"/>
      <c r="G102" s="28" t="s">
        <v>198</v>
      </c>
      <c r="H102" s="28"/>
      <c r="I102" s="28"/>
      <c r="J102" s="28"/>
      <c r="K102" s="62"/>
    </row>
    <row r="103" spans="1:14" x14ac:dyDescent="0.25">
      <c r="A103" s="116"/>
      <c r="B103" s="116"/>
      <c r="C103" s="116"/>
      <c r="D103" s="116"/>
      <c r="E103" s="116"/>
      <c r="G103" s="56"/>
      <c r="H103" s="28"/>
      <c r="I103" s="28"/>
      <c r="J103" s="28"/>
      <c r="K103" s="62"/>
    </row>
    <row r="104" spans="1:14" ht="15.75" thickBot="1" x14ac:dyDescent="0.3">
      <c r="A104" s="77"/>
      <c r="B104" s="77"/>
      <c r="C104" s="77"/>
      <c r="D104" s="77"/>
      <c r="E104" s="77"/>
      <c r="G104" s="58"/>
      <c r="H104" s="60"/>
      <c r="I104" s="60"/>
      <c r="J104" s="60"/>
      <c r="K104" s="63"/>
    </row>
    <row r="105" spans="1:14" x14ac:dyDescent="0.25">
      <c r="A105" s="129" t="s">
        <v>232</v>
      </c>
      <c r="B105" s="129"/>
      <c r="C105" s="43">
        <f>DSUM($A$1:$E$11,"Hetibér",$G$100:$G$102)*4</f>
        <v>898400</v>
      </c>
    </row>
    <row r="106" spans="1:14" x14ac:dyDescent="0.25">
      <c r="A106" s="129" t="s">
        <v>233</v>
      </c>
      <c r="B106" s="129"/>
      <c r="C106" s="43">
        <f>DSUM(A1:E11, "Órabér", G100:G102)*40*4</f>
        <v>2080000</v>
      </c>
    </row>
    <row r="107" spans="1:14" x14ac:dyDescent="0.25">
      <c r="A107" s="129" t="s">
        <v>227</v>
      </c>
      <c r="B107" s="129"/>
      <c r="C107" s="43">
        <f>DSUM(A1:E11, "Órabér", G100:G102)*160 - DSUM(A1:E11,"Hetibér",G100:G102)*4</f>
        <v>1181600</v>
      </c>
    </row>
    <row r="109" spans="1:14" ht="15.75" thickBot="1" x14ac:dyDescent="0.3">
      <c r="A109" s="127" t="s">
        <v>235</v>
      </c>
      <c r="B109" s="122"/>
      <c r="C109" s="122"/>
      <c r="D109" s="122"/>
      <c r="E109" s="122"/>
      <c r="F109" s="122"/>
      <c r="G109" s="122"/>
      <c r="H109" s="122"/>
      <c r="I109" s="122"/>
      <c r="J109" s="122"/>
      <c r="K109" s="122"/>
    </row>
    <row r="110" spans="1:14" ht="15" customHeight="1" x14ac:dyDescent="0.25">
      <c r="A110" s="110" t="s">
        <v>236</v>
      </c>
      <c r="B110" s="110"/>
      <c r="C110" s="110"/>
      <c r="D110" s="110"/>
      <c r="E110" s="110"/>
      <c r="G110" s="69" t="s">
        <v>315</v>
      </c>
      <c r="H110" s="70"/>
      <c r="I110" s="70"/>
      <c r="J110" s="70"/>
      <c r="K110" s="71"/>
    </row>
    <row r="111" spans="1:14" x14ac:dyDescent="0.25">
      <c r="A111" s="110"/>
      <c r="B111" s="110"/>
      <c r="C111" s="110"/>
      <c r="D111" s="110"/>
      <c r="E111" s="110"/>
      <c r="G111" s="56">
        <f>COUNTIF(F2:F11,TRUE)</f>
        <v>1</v>
      </c>
      <c r="H111" s="78"/>
      <c r="I111" s="78"/>
      <c r="J111" s="28"/>
      <c r="K111" s="72"/>
      <c r="M111" s="91"/>
      <c r="N111" s="91"/>
    </row>
    <row r="112" spans="1:14" x14ac:dyDescent="0.25">
      <c r="A112" s="110"/>
      <c r="B112" s="110"/>
      <c r="C112" s="110"/>
      <c r="D112" s="110"/>
      <c r="E112" s="110"/>
      <c r="G112" s="56"/>
      <c r="H112" s="28"/>
      <c r="I112" s="28"/>
      <c r="J112" s="28"/>
      <c r="K112" s="62"/>
    </row>
    <row r="113" spans="1:13" x14ac:dyDescent="0.25">
      <c r="G113" s="56"/>
      <c r="H113" s="28"/>
      <c r="I113" s="28"/>
      <c r="J113" s="28"/>
      <c r="K113" s="62"/>
    </row>
    <row r="114" spans="1:13" ht="15.75" thickBot="1" x14ac:dyDescent="0.3">
      <c r="A114" s="3" t="s">
        <v>8</v>
      </c>
      <c r="B114" t="str">
        <f>IF(COUNTIF(F2:F11,TRUE)=1, INDEX(A2:A11, MATCH(TRUE, F2:F11, 0)), COUNTIF(F2:F11, TRUE))</f>
        <v>Molnár Tamás</v>
      </c>
      <c r="G114" s="58"/>
      <c r="H114" s="60"/>
      <c r="I114" s="60"/>
      <c r="J114" s="60"/>
      <c r="K114" s="63"/>
    </row>
    <row r="116" spans="1:13" ht="15.75" thickBot="1" x14ac:dyDescent="0.3">
      <c r="A116" s="127" t="s">
        <v>237</v>
      </c>
      <c r="B116" s="122"/>
      <c r="C116" s="122"/>
      <c r="D116" s="122"/>
      <c r="E116" s="122"/>
      <c r="F116" s="122"/>
      <c r="G116" s="122"/>
      <c r="H116" s="122"/>
      <c r="I116" s="122"/>
      <c r="J116" s="122"/>
      <c r="K116" s="122"/>
    </row>
    <row r="117" spans="1:13" ht="15" customHeight="1" x14ac:dyDescent="0.25">
      <c r="A117" s="110" t="s">
        <v>238</v>
      </c>
      <c r="B117" s="110"/>
      <c r="C117" s="110"/>
      <c r="D117" s="110"/>
      <c r="E117" s="110"/>
      <c r="G117" s="69" t="s">
        <v>187</v>
      </c>
      <c r="H117" s="70"/>
      <c r="I117" s="70"/>
      <c r="J117" s="70"/>
      <c r="K117" s="71"/>
      <c r="M117" t="s">
        <v>317</v>
      </c>
    </row>
    <row r="118" spans="1:13" x14ac:dyDescent="0.25">
      <c r="A118" s="110"/>
      <c r="B118" s="110"/>
      <c r="C118" s="110"/>
      <c r="D118" s="110"/>
      <c r="E118" s="110"/>
      <c r="G118" s="56" t="s">
        <v>316</v>
      </c>
      <c r="H118" s="78"/>
      <c r="I118" s="78"/>
      <c r="J118" s="28"/>
      <c r="K118" s="72"/>
    </row>
    <row r="119" spans="1:13" x14ac:dyDescent="0.25">
      <c r="A119" s="110"/>
      <c r="B119" s="110"/>
      <c r="C119" s="110"/>
      <c r="D119" s="110"/>
      <c r="E119" s="110"/>
      <c r="G119" s="56"/>
      <c r="H119" s="28"/>
      <c r="I119" s="28"/>
      <c r="J119" s="28"/>
      <c r="K119" s="62"/>
    </row>
    <row r="120" spans="1:13" x14ac:dyDescent="0.25">
      <c r="G120" s="56"/>
      <c r="H120" s="28"/>
      <c r="I120" s="28"/>
      <c r="J120" s="28"/>
      <c r="K120" s="62"/>
    </row>
    <row r="121" spans="1:13" ht="15.75" thickBot="1" x14ac:dyDescent="0.3">
      <c r="A121" s="3" t="s">
        <v>8</v>
      </c>
      <c r="G121" s="58"/>
      <c r="H121" s="60"/>
      <c r="I121" s="60"/>
      <c r="J121" s="60"/>
      <c r="K121" s="63"/>
    </row>
  </sheetData>
  <mergeCells count="48">
    <mergeCell ref="B40:R40"/>
    <mergeCell ref="B25:R25"/>
    <mergeCell ref="B28:R28"/>
    <mergeCell ref="B29:R29"/>
    <mergeCell ref="B32:R32"/>
    <mergeCell ref="B33:R33"/>
    <mergeCell ref="B36:R36"/>
    <mergeCell ref="B16:R16"/>
    <mergeCell ref="B17:R17"/>
    <mergeCell ref="B20:R20"/>
    <mergeCell ref="B21:R21"/>
    <mergeCell ref="B37:R37"/>
    <mergeCell ref="G11:H11"/>
    <mergeCell ref="M1:R1"/>
    <mergeCell ref="M2:R2"/>
    <mergeCell ref="M3:R3"/>
    <mergeCell ref="M4:R4"/>
    <mergeCell ref="M5:R5"/>
    <mergeCell ref="M6:R6"/>
    <mergeCell ref="A70:E71"/>
    <mergeCell ref="A76:K76"/>
    <mergeCell ref="A77:E78"/>
    <mergeCell ref="M7:R8"/>
    <mergeCell ref="M9:R9"/>
    <mergeCell ref="A56:E56"/>
    <mergeCell ref="A62:K62"/>
    <mergeCell ref="A63:E63"/>
    <mergeCell ref="A45:K46"/>
    <mergeCell ref="A69:K69"/>
    <mergeCell ref="A44:K44"/>
    <mergeCell ref="A48:K48"/>
    <mergeCell ref="A49:E49"/>
    <mergeCell ref="A55:K55"/>
    <mergeCell ref="B24:R24"/>
    <mergeCell ref="G10:H10"/>
    <mergeCell ref="A99:K99"/>
    <mergeCell ref="A100:E103"/>
    <mergeCell ref="A105:B105"/>
    <mergeCell ref="A83:K83"/>
    <mergeCell ref="A84:E85"/>
    <mergeCell ref="A91:K91"/>
    <mergeCell ref="A92:E95"/>
    <mergeCell ref="A116:K116"/>
    <mergeCell ref="A117:E119"/>
    <mergeCell ref="A106:B106"/>
    <mergeCell ref="A107:B107"/>
    <mergeCell ref="A109:K109"/>
    <mergeCell ref="A110:E112"/>
  </mergeCells>
  <phoneticPr fontId="15"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5</vt:i4>
      </vt:variant>
    </vt:vector>
  </HeadingPairs>
  <TitlesOfParts>
    <vt:vector size="5" baseType="lpstr">
      <vt:lpstr>1. Logikai</vt:lpstr>
      <vt:lpstr>2. Szám - Statisztikai</vt:lpstr>
      <vt:lpstr>3. Szöveg</vt:lpstr>
      <vt:lpstr>4. Keresés</vt:lpstr>
      <vt:lpstr>5. Adatbázis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Áron</dc:creator>
  <cp:lastModifiedBy>Levi Vadász</cp:lastModifiedBy>
  <dcterms:created xsi:type="dcterms:W3CDTF">2017-11-22T21:04:12Z</dcterms:created>
  <dcterms:modified xsi:type="dcterms:W3CDTF">2025-05-03T22:07:40Z</dcterms:modified>
</cp:coreProperties>
</file>