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ca\Documents\MAE640\Homeworks\03BHW\"/>
    </mc:Choice>
  </mc:AlternateContent>
  <xr:revisionPtr revIDLastSave="0" documentId="13_ncr:1_{D1555CE8-626A-4061-BB5E-BB924FCA3936}" xr6:coauthVersionLast="47" xr6:coauthVersionMax="47" xr10:uidLastSave="{00000000-0000-0000-0000-000000000000}"/>
  <bookViews>
    <workbookView xWindow="-120" yWindow="-120" windowWidth="29040" windowHeight="15990" xr2:uid="{4E832563-B9C8-4301-94F3-F156644D1DE6}"/>
  </bookViews>
  <sheets>
    <sheet name="Sheet1" sheetId="1" r:id="rId1"/>
    <sheet name="Sheet2" sheetId="2" r:id="rId2"/>
  </sheets>
  <definedNames>
    <definedName name="solver_adj" localSheetId="0" hidden="1">Sheet1!$A$18,Sheet1!$A$15,Sheet1!$B$15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Sheet1!$E$15</definedName>
    <definedName name="solver_lhs2" localSheetId="0" hidden="1">Sheet1!$D$15</definedName>
    <definedName name="solver_lhs3" localSheetId="0" hidden="1">Sheet1!$D$15</definedName>
    <definedName name="solver_lhs4" localSheetId="0" hidden="1">Sheet1!$B$15</definedName>
    <definedName name="solver_lhs5" localSheetId="0" hidden="1">Sheet1!$A$15</definedName>
    <definedName name="solver_lhs6" localSheetId="0" hidden="1">Sheet1!$B$18</definedName>
    <definedName name="solver_lhs7" localSheetId="0" hidden="1">Sheet1!$C$15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Sheet1!$J$18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el6" localSheetId="0" hidden="1">2</definedName>
    <definedName name="solver_rel7" localSheetId="0" hidden="1">2</definedName>
    <definedName name="solver_rhs1" localSheetId="0" hidden="1">0.0001</definedName>
    <definedName name="solver_rhs2" localSheetId="0" hidden="1">Sheet1!$C$18</definedName>
    <definedName name="solver_rhs3" localSheetId="0" hidden="1">Sheet1!$C$18</definedName>
    <definedName name="solver_rhs4" localSheetId="0" hidden="1">0.001</definedName>
    <definedName name="solver_rhs5" localSheetId="0" hidden="1">0</definedName>
    <definedName name="solver_rhs6" localSheetId="0" hidden="1">Sheet1!$C$15</definedName>
    <definedName name="solver_rhs7" localSheetId="0" hidden="1">Sheet1!$B$18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1" i="1"/>
  <c r="B30" i="1"/>
  <c r="B29" i="1"/>
  <c r="B28" i="1"/>
  <c r="B27" i="1"/>
  <c r="B26" i="1"/>
  <c r="B23" i="1"/>
  <c r="D22" i="1"/>
  <c r="C22" i="1"/>
  <c r="B22" i="1"/>
  <c r="A22" i="1"/>
  <c r="B21" i="1"/>
  <c r="C15" i="1"/>
  <c r="D15" i="1"/>
  <c r="E15" i="1"/>
  <c r="B3" i="1"/>
  <c r="G18" i="1" s="1"/>
  <c r="B2" i="1"/>
  <c r="F18" i="1" s="1"/>
  <c r="E18" i="1"/>
  <c r="D18" i="1"/>
  <c r="C18" i="1"/>
  <c r="B18" i="1"/>
  <c r="B5" i="1" l="1"/>
  <c r="I18" i="1" s="1"/>
  <c r="B4" i="1"/>
  <c r="H18" i="1" s="1"/>
  <c r="J18" i="1" l="1"/>
</calcChain>
</file>

<file path=xl/sharedStrings.xml><?xml version="1.0" encoding="utf-8"?>
<sst xmlns="http://schemas.openxmlformats.org/spreadsheetml/2006/main" count="45" uniqueCount="40">
  <si>
    <t>Want:</t>
  </si>
  <si>
    <t>a</t>
  </si>
  <si>
    <t>b</t>
  </si>
  <si>
    <t>c</t>
  </si>
  <si>
    <t>d</t>
  </si>
  <si>
    <t>CpO2</t>
  </si>
  <si>
    <t>CpH2O</t>
  </si>
  <si>
    <t>CpH2</t>
  </si>
  <si>
    <t>CpOH</t>
  </si>
  <si>
    <t>(T/1000)</t>
  </si>
  <si>
    <t>(T/1000)^2</t>
  </si>
  <si>
    <t>T^(-0.75)</t>
  </si>
  <si>
    <t>T^(-0.25)</t>
  </si>
  <si>
    <t>T</t>
  </si>
  <si>
    <t>Tc</t>
  </si>
  <si>
    <t>Kp3</t>
  </si>
  <si>
    <t>Kp4</t>
  </si>
  <si>
    <t>to get a and b</t>
  </si>
  <si>
    <t>kp3</t>
  </si>
  <si>
    <t>kp4</t>
  </si>
  <si>
    <t>Given</t>
  </si>
  <si>
    <t>T0</t>
  </si>
  <si>
    <t>P</t>
  </si>
  <si>
    <t>atm</t>
  </si>
  <si>
    <t>K</t>
  </si>
  <si>
    <t>enthH2O</t>
  </si>
  <si>
    <t>enthO2</t>
  </si>
  <si>
    <t>enthH2</t>
  </si>
  <si>
    <t>enthOH</t>
  </si>
  <si>
    <t>enth_sum</t>
  </si>
  <si>
    <t>constraint</t>
  </si>
  <si>
    <t>molecular weight</t>
  </si>
  <si>
    <t>n</t>
  </si>
  <si>
    <t>all Cp</t>
  </si>
  <si>
    <t>h20</t>
  </si>
  <si>
    <t>o2</t>
  </si>
  <si>
    <t>oh</t>
  </si>
  <si>
    <t>c*</t>
  </si>
  <si>
    <t>gamma</t>
  </si>
  <si>
    <t>cp_total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</si>
</sst>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4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4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C65B-F52D-44BE-88F1-80E88E804019}">
  <dimension ref="A1:J33"/>
  <sheetViews>
    <sheetView tabSelected="1" workbookViewId="0">
      <selection activeCell="C33" sqref="C33"/>
    </sheetView>
  </sheetViews>
  <sheetFormatPr defaultRowHeight="15" x14ac:dyDescent="0.25"/>
  <cols>
    <col min="1" max="1" width="16.5703125" bestFit="1" customWidth="1"/>
    <col min="2" max="3" width="11.85546875" bestFit="1" customWidth="1"/>
    <col min="10" max="10" width="11.85546875" bestFit="1" customWidth="1"/>
  </cols>
  <sheetData>
    <row r="1" spans="1:7" x14ac:dyDescent="0.25">
      <c r="A1" t="s">
        <v>0</v>
      </c>
      <c r="D1" t="s">
        <v>20</v>
      </c>
      <c r="E1" t="s">
        <v>21</v>
      </c>
      <c r="F1">
        <v>298</v>
      </c>
      <c r="G1" t="s">
        <v>24</v>
      </c>
    </row>
    <row r="2" spans="1:7" x14ac:dyDescent="0.25">
      <c r="A2" s="1" t="s">
        <v>1</v>
      </c>
      <c r="B2" s="1">
        <f>A15</f>
        <v>1.4711627869941151</v>
      </c>
      <c r="E2" t="s">
        <v>22</v>
      </c>
      <c r="F2">
        <v>50</v>
      </c>
      <c r="G2" t="s">
        <v>23</v>
      </c>
    </row>
    <row r="3" spans="1:7" x14ac:dyDescent="0.25">
      <c r="A3" s="1" t="s">
        <v>2</v>
      </c>
      <c r="B3" s="1">
        <f>B15</f>
        <v>0.1149199897255043</v>
      </c>
    </row>
    <row r="4" spans="1:7" x14ac:dyDescent="0.25">
      <c r="A4" s="1" t="s">
        <v>3</v>
      </c>
      <c r="B4" s="1">
        <f>1-0.5*B2+B3</f>
        <v>0.37933859622844679</v>
      </c>
    </row>
    <row r="5" spans="1:7" x14ac:dyDescent="0.25">
      <c r="A5" s="1" t="s">
        <v>4</v>
      </c>
      <c r="B5" s="1">
        <f>2-B2-2*B3</f>
        <v>0.29899723355487634</v>
      </c>
    </row>
    <row r="6" spans="1:7" x14ac:dyDescent="0.25">
      <c r="C6" t="s">
        <v>9</v>
      </c>
      <c r="D6" t="s">
        <v>10</v>
      </c>
    </row>
    <row r="7" spans="1:7" x14ac:dyDescent="0.25">
      <c r="A7" t="s">
        <v>6</v>
      </c>
      <c r="B7">
        <v>29.181999999999999</v>
      </c>
      <c r="C7">
        <v>14.503</v>
      </c>
      <c r="D7">
        <v>-2.0234999999999999</v>
      </c>
    </row>
    <row r="8" spans="1:7" x14ac:dyDescent="0.25">
      <c r="A8" t="s">
        <v>5</v>
      </c>
      <c r="B8">
        <v>28.186</v>
      </c>
      <c r="C8">
        <v>6.3010999999999999</v>
      </c>
      <c r="D8">
        <v>-0.74985999999999997</v>
      </c>
    </row>
    <row r="9" spans="1:7" x14ac:dyDescent="0.25">
      <c r="A9" t="s">
        <v>7</v>
      </c>
      <c r="B9">
        <v>26.896000000000001</v>
      </c>
      <c r="C9">
        <v>4.3501000000000003</v>
      </c>
      <c r="D9">
        <v>-0.32673999999999997</v>
      </c>
    </row>
    <row r="10" spans="1:7" x14ac:dyDescent="0.25">
      <c r="C10" t="s">
        <v>12</v>
      </c>
      <c r="D10" t="s">
        <v>11</v>
      </c>
      <c r="E10" t="s">
        <v>13</v>
      </c>
    </row>
    <row r="11" spans="1:7" x14ac:dyDescent="0.25">
      <c r="A11" t="s">
        <v>8</v>
      </c>
      <c r="B11">
        <v>81.55</v>
      </c>
      <c r="C11">
        <v>-15.01</v>
      </c>
      <c r="D11">
        <v>0.313</v>
      </c>
      <c r="E11">
        <v>-0.02</v>
      </c>
    </row>
    <row r="13" spans="1:7" x14ac:dyDescent="0.25">
      <c r="A13" t="s">
        <v>17</v>
      </c>
    </row>
    <row r="14" spans="1:7" x14ac:dyDescent="0.25">
      <c r="A14" t="s">
        <v>1</v>
      </c>
      <c r="B14" t="s">
        <v>2</v>
      </c>
      <c r="C14" t="s">
        <v>18</v>
      </c>
      <c r="D14" t="s">
        <v>19</v>
      </c>
      <c r="E14" t="s">
        <v>30</v>
      </c>
    </row>
    <row r="15" spans="1:7" x14ac:dyDescent="0.25">
      <c r="A15">
        <v>1.4711627869941151</v>
      </c>
      <c r="B15">
        <v>0.1149199897255043</v>
      </c>
      <c r="C15">
        <f>(2-A15-2*B15)/(B15+B15^2-0.5*A15*B15)^0.5</f>
        <v>1.4320423593851024</v>
      </c>
      <c r="D15">
        <f>F2^(-0.5)*A15*(-0.5*A15+3)/(B15^0.5 * (1-0.5*A15+B15))</f>
        <v>3.6635963827636262</v>
      </c>
      <c r="E15">
        <f>B15+B15^2-0.5*A15*B15</f>
        <v>4.3593587581060328E-2</v>
      </c>
    </row>
    <row r="17" spans="1:10" x14ac:dyDescent="0.25">
      <c r="A17" s="1" t="s">
        <v>14</v>
      </c>
      <c r="B17" t="s">
        <v>15</v>
      </c>
      <c r="C17" t="s">
        <v>16</v>
      </c>
      <c r="D17" t="s">
        <v>1</v>
      </c>
      <c r="E17" t="s">
        <v>2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</row>
    <row r="18" spans="1:10" x14ac:dyDescent="0.25">
      <c r="A18" s="1">
        <v>3584.5167609445325</v>
      </c>
      <c r="B18">
        <f>IF(A18&lt;1500,10^(-0.0000000000089733*A18^4 + 0.000000039265*A18^3 - 0.000064595*A18^2 + 0.0493*A18 - 16.451), 10^(0.000000000030374*A18^3 - 0.00000038141*A18^2 + 0.0017*A18 - 2.436))</f>
        <v>1.4320423594143752</v>
      </c>
      <c r="C18">
        <f>IF(A18&lt;1500, 10^(0.000000000051208*A18^4 - 0.00000022402*A18^3 + 0.00036861*A18^2 - 0.2823*A18 + 96.794), 10^(-0.00000000018559*A18^3 + 0.0000023375*A18^2 - 0.0105*A18 + 16.715))</f>
        <v>3.6635963836657206</v>
      </c>
      <c r="D18">
        <f>A15</f>
        <v>1.4711627869941151</v>
      </c>
      <c r="E18">
        <f>B15</f>
        <v>0.1149199897255043</v>
      </c>
      <c r="F18">
        <f>B2*((-57800*4.184)+A18*(B7+C7*(A18/1000)+D7*(A18/1000)^2) - 298*(B7+C7*(298/1000)+D7*(298/1000)^2))</f>
        <v>-79461.025733687537</v>
      </c>
      <c r="G18">
        <f>B3*((A18*(B8+C8*(A18/1000)+D8*(A18/1000)^2)-298*(B8+C8*(298/1000)+D8*(298/1000)^2)))</f>
        <v>15918.644219164886</v>
      </c>
      <c r="H18">
        <f>B4*(A18*(B9+C9*(A18/1000)+D9*(A18/1000)^2) - 298*(B9+C9*(298/1000)+D9*(298/1000)^2))</f>
        <v>48882.085655972674</v>
      </c>
      <c r="I18">
        <f>B5*((10060*4.184)+A18*(B11+C11*(A18)^(-0.25)+D11*(A18)^(-0.75)+E11*A18) - 298*(B11+C11*(298)^(-0.25)+D11*(298)^(-0.75)+E11*298))</f>
        <v>14660.295859481492</v>
      </c>
      <c r="J18">
        <f>SUM(F18:I18)</f>
        <v>9.3151174951344728E-7</v>
      </c>
    </row>
    <row r="21" spans="1:10" x14ac:dyDescent="0.25">
      <c r="A21" t="s">
        <v>32</v>
      </c>
      <c r="B21">
        <f>-0.5*B2+3</f>
        <v>2.2644186065029426</v>
      </c>
    </row>
    <row r="22" spans="1:10" x14ac:dyDescent="0.25">
      <c r="A22">
        <f>1.471/B21</f>
        <v>0.64961487057896095</v>
      </c>
      <c r="B22">
        <f>0.115/B21</f>
        <v>5.078566289366452E-2</v>
      </c>
      <c r="C22">
        <f>0.379/B21</f>
        <v>0.16737188031912045</v>
      </c>
      <c r="D22">
        <f>0.299/B21</f>
        <v>0.13204272352352772</v>
      </c>
    </row>
    <row r="23" spans="1:10" x14ac:dyDescent="0.25">
      <c r="A23" s="1" t="s">
        <v>31</v>
      </c>
      <c r="B23" s="1">
        <f>A22*18+B22*32+C22*2+D22*17</f>
        <v>15.897678943556775</v>
      </c>
    </row>
    <row r="25" spans="1:10" x14ac:dyDescent="0.25">
      <c r="A25" t="s">
        <v>33</v>
      </c>
    </row>
    <row r="26" spans="1:10" x14ac:dyDescent="0.25">
      <c r="A26" t="s">
        <v>34</v>
      </c>
      <c r="B26">
        <f>B7+C7*(A18/1000)+D7*(A18/1000)^2</f>
        <v>55.168779895370932</v>
      </c>
    </row>
    <row r="27" spans="1:10" x14ac:dyDescent="0.25">
      <c r="A27" t="s">
        <v>35</v>
      </c>
      <c r="B27">
        <f>B8+C8*(A18/1000)+D8*(A18/1000)^2</f>
        <v>41.137627081725711</v>
      </c>
    </row>
    <row r="28" spans="1:10" x14ac:dyDescent="0.25">
      <c r="A28" t="s">
        <v>34</v>
      </c>
      <c r="B28">
        <f>B9+C9*(A18/1000)+D9*(A18/1000)^2</f>
        <v>38.290802385587313</v>
      </c>
    </row>
    <row r="29" spans="1:10" x14ac:dyDescent="0.25">
      <c r="A29" t="s">
        <v>36</v>
      </c>
      <c r="B29">
        <f>B11+C11*A18^(-0.25)+D11*A18^(-0.75)+E11*A18</f>
        <v>7.9204685918372206</v>
      </c>
    </row>
    <row r="30" spans="1:10" x14ac:dyDescent="0.25">
      <c r="A30" t="s">
        <v>39</v>
      </c>
      <c r="B30">
        <f>SUM(B26:B29)</f>
        <v>142.51767795452116</v>
      </c>
    </row>
    <row r="31" spans="1:10" x14ac:dyDescent="0.25">
      <c r="A31" s="1" t="s">
        <v>38</v>
      </c>
      <c r="B31" s="1">
        <f>B30/(B30-8.314)</f>
        <v>1.0619506121346201</v>
      </c>
    </row>
    <row r="33" spans="1:2" x14ac:dyDescent="0.25">
      <c r="A33" s="1" t="s">
        <v>37</v>
      </c>
      <c r="B33" s="1">
        <f>SQRT(8.314*3584.5*1000/(1.06195*15.898))</f>
        <v>1328.6054251898699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3746-08A3-415F-B84E-6270DC3A05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Loomis</dc:creator>
  <cp:lastModifiedBy>Veronica</cp:lastModifiedBy>
  <cp:lastPrinted>2023-02-15T00:37:50Z</cp:lastPrinted>
  <dcterms:created xsi:type="dcterms:W3CDTF">2023-02-13T22:43:08Z</dcterms:created>
  <dcterms:modified xsi:type="dcterms:W3CDTF">2023-02-15T00:37:52Z</dcterms:modified>
</cp:coreProperties>
</file>