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loom\Documents\Masters\Spring 2023\MAE640\Homeworks\06HW\"/>
    </mc:Choice>
  </mc:AlternateContent>
  <xr:revisionPtr revIDLastSave="0" documentId="8_{3ED4F61B-C53E-4D8E-80BD-D42FD9017BD6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P06A-CequelData" sheetId="1" r:id="rId1"/>
    <sheet name="SP06A-CequelCopied" sheetId="5" r:id="rId2"/>
    <sheet name="SP06A-mine" sheetId="2" r:id="rId3"/>
    <sheet name="SP06A-Original" sheetId="3" r:id="rId4"/>
    <sheet name="SP06A-Comparison" sheetId="4" r:id="rId5"/>
  </sheets>
  <externalReferences>
    <externalReference r:id="rId6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4" l="1"/>
  <c r="F22" i="4"/>
  <c r="G2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F31" i="4"/>
  <c r="G31" i="4"/>
  <c r="E32" i="4"/>
  <c r="F32" i="4"/>
  <c r="G32" i="4"/>
  <c r="E33" i="4"/>
  <c r="F33" i="4"/>
  <c r="G33" i="4"/>
  <c r="E34" i="4"/>
  <c r="G34" i="4"/>
  <c r="E35" i="4"/>
  <c r="G35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G15" i="4"/>
  <c r="E16" i="4"/>
  <c r="G16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3" i="4"/>
  <c r="M26" i="1"/>
  <c r="O58" i="1" a="1"/>
  <c r="N58" i="1" a="1"/>
  <c r="M58" i="1" a="1"/>
  <c r="L58" i="1" a="1"/>
  <c r="K58" i="1" a="1"/>
  <c r="J58" i="1" a="1"/>
  <c r="I58" i="1" a="1"/>
  <c r="H58" i="1" a="1"/>
  <c r="G58" i="1" a="1"/>
  <c r="F58" i="1" a="1"/>
  <c r="E58" i="1" a="1"/>
  <c r="D58" i="1" a="1"/>
  <c r="E90" i="1" a="1"/>
  <c r="D90" i="1" a="1"/>
  <c r="E80" i="1" a="1"/>
  <c r="D80" i="1" a="1"/>
  <c r="O68" i="1" a="1"/>
  <c r="N68" i="1" a="1"/>
  <c r="M68" i="1" a="1"/>
  <c r="L68" i="1" a="1"/>
  <c r="K68" i="1" a="1"/>
  <c r="J68" i="1" a="1"/>
  <c r="I68" i="1" a="1"/>
  <c r="H68" i="1" a="1"/>
  <c r="G68" i="1" a="1"/>
  <c r="F68" i="1" a="1"/>
  <c r="E68" i="1" a="1"/>
  <c r="D68" i="1" a="1"/>
  <c r="O58" i="1" l="1"/>
  <c r="O60" i="1"/>
  <c r="O62" i="1"/>
  <c r="O59" i="1"/>
  <c r="O61" i="1"/>
  <c r="N58" i="1"/>
  <c r="N60" i="1"/>
  <c r="N62" i="1"/>
  <c r="N59" i="1"/>
  <c r="N61" i="1"/>
  <c r="M59" i="1"/>
  <c r="M61" i="1"/>
  <c r="M58" i="1"/>
  <c r="M60" i="1"/>
  <c r="M62" i="1"/>
  <c r="L59" i="1"/>
  <c r="L61" i="1"/>
  <c r="L58" i="1"/>
  <c r="L60" i="1"/>
  <c r="L62" i="1"/>
  <c r="K59" i="1"/>
  <c r="K61" i="1"/>
  <c r="K58" i="1"/>
  <c r="K60" i="1"/>
  <c r="K62" i="1"/>
  <c r="J59" i="1"/>
  <c r="J61" i="1"/>
  <c r="J58" i="1"/>
  <c r="J60" i="1"/>
  <c r="J62" i="1"/>
  <c r="I59" i="1"/>
  <c r="I61" i="1"/>
  <c r="I58" i="1"/>
  <c r="I60" i="1"/>
  <c r="I62" i="1"/>
  <c r="H59" i="1"/>
  <c r="H61" i="1"/>
  <c r="H58" i="1"/>
  <c r="H60" i="1"/>
  <c r="H62" i="1"/>
  <c r="G59" i="1"/>
  <c r="G61" i="1"/>
  <c r="G58" i="1"/>
  <c r="G60" i="1"/>
  <c r="G62" i="1"/>
  <c r="F58" i="1"/>
  <c r="F60" i="1"/>
  <c r="F62" i="1"/>
  <c r="F59" i="1"/>
  <c r="F61" i="1"/>
  <c r="E58" i="1"/>
  <c r="E60" i="1"/>
  <c r="E62" i="1"/>
  <c r="E59" i="1"/>
  <c r="E61" i="1"/>
  <c r="D59" i="1"/>
  <c r="D61" i="1"/>
  <c r="D58" i="1"/>
  <c r="D60" i="1"/>
  <c r="D62" i="1"/>
  <c r="E91" i="1"/>
  <c r="E90" i="1"/>
  <c r="D91" i="1"/>
  <c r="D90" i="1"/>
  <c r="E80" i="1"/>
  <c r="E82" i="1"/>
  <c r="E84" i="1"/>
  <c r="E81" i="1"/>
  <c r="E83" i="1"/>
  <c r="D80" i="1"/>
  <c r="D82" i="1"/>
  <c r="D84" i="1"/>
  <c r="D81" i="1"/>
  <c r="D83" i="1"/>
  <c r="O69" i="1"/>
  <c r="O73" i="1" s="1"/>
  <c r="O68" i="1"/>
  <c r="N68" i="1"/>
  <c r="N69" i="1"/>
  <c r="N73" i="1" s="1"/>
  <c r="M68" i="1"/>
  <c r="M69" i="1"/>
  <c r="M73" i="1" s="1"/>
  <c r="L69" i="1"/>
  <c r="L73" i="1" s="1"/>
  <c r="L68" i="1"/>
  <c r="K69" i="1"/>
  <c r="K73" i="1" s="1"/>
  <c r="K68" i="1"/>
  <c r="J69" i="1"/>
  <c r="J73" i="1" s="1"/>
  <c r="J68" i="1"/>
  <c r="I68" i="1"/>
  <c r="I69" i="1"/>
  <c r="I73" i="1" s="1"/>
  <c r="H68" i="1"/>
  <c r="H69" i="1"/>
  <c r="H73" i="1" s="1"/>
  <c r="G68" i="1"/>
  <c r="G69" i="1"/>
  <c r="G73" i="1" s="1"/>
  <c r="F68" i="1"/>
  <c r="F69" i="1"/>
  <c r="F73" i="1" s="1"/>
  <c r="E68" i="1"/>
  <c r="E69" i="1"/>
  <c r="D68" i="1"/>
  <c r="D69" i="1"/>
  <c r="B5" i="1"/>
  <c r="E41" i="1" a="1"/>
  <c r="D41" i="1" a="1"/>
  <c r="O19" i="1" a="1"/>
  <c r="N19" i="1" a="1"/>
  <c r="M19" i="1" a="1"/>
  <c r="L19" i="1" a="1"/>
  <c r="K19" i="1" a="1"/>
  <c r="J19" i="1" a="1"/>
  <c r="I19" i="1" a="1"/>
  <c r="H19" i="1" a="1"/>
  <c r="G19" i="1" a="1"/>
  <c r="F19" i="1" a="1"/>
  <c r="E19" i="1" a="1"/>
  <c r="D19" i="1" a="1"/>
  <c r="D31" i="1" a="1"/>
  <c r="M9" i="1" a="1"/>
  <c r="L9" i="1" a="1"/>
  <c r="H9" i="1" a="1"/>
  <c r="E31" i="1" a="1"/>
  <c r="O9" i="1" a="1"/>
  <c r="K9" i="1" a="1"/>
  <c r="F9" i="1" a="1"/>
  <c r="I9" i="1" a="1"/>
  <c r="G9" i="1" a="1"/>
  <c r="N9" i="1" a="1"/>
  <c r="D9" i="1" a="1"/>
  <c r="J9" i="1" a="1"/>
  <c r="E9" i="1" a="1"/>
  <c r="E73" i="1" l="1"/>
  <c r="D73" i="1"/>
  <c r="E41" i="1"/>
  <c r="E43" i="1"/>
  <c r="E47" i="1" s="1"/>
  <c r="E42" i="1"/>
  <c r="E46" i="1" s="1"/>
  <c r="D42" i="1"/>
  <c r="D46" i="1" s="1"/>
  <c r="D41" i="1"/>
  <c r="D43" i="1"/>
  <c r="D47" i="1" s="1"/>
  <c r="O19" i="1"/>
  <c r="O27" i="1" s="1"/>
  <c r="O21" i="1"/>
  <c r="O25" i="1" s="1"/>
  <c r="O20" i="1"/>
  <c r="O24" i="1" s="1"/>
  <c r="N19" i="1"/>
  <c r="N27" i="1" s="1"/>
  <c r="N21" i="1"/>
  <c r="N25" i="1" s="1"/>
  <c r="N20" i="1"/>
  <c r="N24" i="1" s="1"/>
  <c r="M19" i="1"/>
  <c r="M27" i="1" s="1"/>
  <c r="M21" i="1"/>
  <c r="M25" i="1" s="1"/>
  <c r="M20" i="1"/>
  <c r="M24" i="1" s="1"/>
  <c r="L19" i="1"/>
  <c r="L27" i="1" s="1"/>
  <c r="L21" i="1"/>
  <c r="L25" i="1" s="1"/>
  <c r="L20" i="1"/>
  <c r="L24" i="1" s="1"/>
  <c r="K19" i="1"/>
  <c r="K27" i="1" s="1"/>
  <c r="K21" i="1"/>
  <c r="K25" i="1" s="1"/>
  <c r="K20" i="1"/>
  <c r="K24" i="1" s="1"/>
  <c r="J19" i="1"/>
  <c r="J27" i="1" s="1"/>
  <c r="J21" i="1"/>
  <c r="J25" i="1" s="1"/>
  <c r="J20" i="1"/>
  <c r="J24" i="1" s="1"/>
  <c r="I19" i="1"/>
  <c r="I27" i="1" s="1"/>
  <c r="I21" i="1"/>
  <c r="I25" i="1" s="1"/>
  <c r="I20" i="1"/>
  <c r="I24" i="1" s="1"/>
  <c r="H19" i="1"/>
  <c r="H27" i="1" s="1"/>
  <c r="H21" i="1"/>
  <c r="H25" i="1" s="1"/>
  <c r="H20" i="1"/>
  <c r="H24" i="1" s="1"/>
  <c r="G20" i="1"/>
  <c r="G24" i="1" s="1"/>
  <c r="G19" i="1"/>
  <c r="G27" i="1" s="1"/>
  <c r="G21" i="1"/>
  <c r="G25" i="1" s="1"/>
  <c r="F20" i="1"/>
  <c r="F24" i="1" s="1"/>
  <c r="F19" i="1"/>
  <c r="F27" i="1" s="1"/>
  <c r="F21" i="1"/>
  <c r="F25" i="1" s="1"/>
  <c r="E19" i="1"/>
  <c r="E21" i="1"/>
  <c r="E25" i="1" s="1"/>
  <c r="E20" i="1"/>
  <c r="E24" i="1" s="1"/>
  <c r="D19" i="1"/>
  <c r="D27" i="1" s="1"/>
  <c r="D21" i="1"/>
  <c r="D25" i="1" s="1"/>
  <c r="D20" i="1"/>
  <c r="D24" i="1" s="1"/>
  <c r="D86" i="1"/>
  <c r="D31" i="1"/>
  <c r="D33" i="1"/>
  <c r="D37" i="1" s="1"/>
  <c r="D35" i="1"/>
  <c r="D32" i="1"/>
  <c r="D36" i="1" s="1"/>
  <c r="D34" i="1"/>
  <c r="M64" i="1"/>
  <c r="M63" i="1"/>
  <c r="L63" i="1"/>
  <c r="H64" i="1"/>
  <c r="H63" i="1"/>
  <c r="M9" i="1"/>
  <c r="M11" i="1"/>
  <c r="M15" i="1" s="1"/>
  <c r="M13" i="1"/>
  <c r="M10" i="1"/>
  <c r="M14" i="1" s="1"/>
  <c r="M12" i="1"/>
  <c r="L10" i="1"/>
  <c r="L14" i="1" s="1"/>
  <c r="L12" i="1"/>
  <c r="L9" i="1"/>
  <c r="L11" i="1"/>
  <c r="L15" i="1" s="1"/>
  <c r="L13" i="1"/>
  <c r="H9" i="1"/>
  <c r="H11" i="1"/>
  <c r="H15" i="1" s="1"/>
  <c r="H13" i="1"/>
  <c r="H10" i="1"/>
  <c r="H14" i="1" s="1"/>
  <c r="H12" i="1"/>
  <c r="E86" i="1"/>
  <c r="E85" i="1"/>
  <c r="D85" i="1"/>
  <c r="O64" i="1"/>
  <c r="O63" i="1"/>
  <c r="N63" i="1"/>
  <c r="N64" i="1"/>
  <c r="L64" i="1"/>
  <c r="K63" i="1"/>
  <c r="K64" i="1"/>
  <c r="J63" i="1"/>
  <c r="J64" i="1"/>
  <c r="I64" i="1"/>
  <c r="I63" i="1"/>
  <c r="G64" i="1"/>
  <c r="G63" i="1"/>
  <c r="F63" i="1"/>
  <c r="F64" i="1"/>
  <c r="E63" i="1"/>
  <c r="E64" i="1"/>
  <c r="D64" i="1"/>
  <c r="D63" i="1"/>
  <c r="E31" i="1"/>
  <c r="E33" i="1"/>
  <c r="E37" i="1" s="1"/>
  <c r="E35" i="1"/>
  <c r="E32" i="1"/>
  <c r="E36" i="1" s="1"/>
  <c r="E34" i="1"/>
  <c r="O9" i="1"/>
  <c r="O11" i="1"/>
  <c r="O15" i="1" s="1"/>
  <c r="O13" i="1"/>
  <c r="O10" i="1"/>
  <c r="O14" i="1" s="1"/>
  <c r="O12" i="1"/>
  <c r="N9" i="1"/>
  <c r="N11" i="1"/>
  <c r="N15" i="1" s="1"/>
  <c r="N13" i="1"/>
  <c r="N10" i="1"/>
  <c r="N14" i="1" s="1"/>
  <c r="N12" i="1"/>
  <c r="K10" i="1"/>
  <c r="K14" i="1" s="1"/>
  <c r="K12" i="1"/>
  <c r="K9" i="1"/>
  <c r="K11" i="1"/>
  <c r="K15" i="1" s="1"/>
  <c r="K13" i="1"/>
  <c r="D10" i="1"/>
  <c r="D14" i="1" s="1"/>
  <c r="D12" i="1"/>
  <c r="D9" i="1"/>
  <c r="D11" i="1"/>
  <c r="D15" i="1" s="1"/>
  <c r="D13" i="1"/>
  <c r="F10" i="1"/>
  <c r="F14" i="1" s="1"/>
  <c r="F12" i="1"/>
  <c r="F9" i="1"/>
  <c r="F11" i="1"/>
  <c r="F15" i="1" s="1"/>
  <c r="F13" i="1"/>
  <c r="J9" i="1"/>
  <c r="J11" i="1"/>
  <c r="J15" i="1" s="1"/>
  <c r="J13" i="1"/>
  <c r="J10" i="1"/>
  <c r="J14" i="1" s="1"/>
  <c r="J12" i="1"/>
  <c r="I9" i="1"/>
  <c r="I11" i="1"/>
  <c r="I15" i="1" s="1"/>
  <c r="I13" i="1"/>
  <c r="I10" i="1"/>
  <c r="I14" i="1" s="1"/>
  <c r="I12" i="1"/>
  <c r="G10" i="1"/>
  <c r="G14" i="1" s="1"/>
  <c r="G12" i="1"/>
  <c r="G9" i="1"/>
  <c r="G11" i="1"/>
  <c r="G15" i="1" s="1"/>
  <c r="G13" i="1"/>
  <c r="E10" i="1"/>
  <c r="E14" i="1" s="1"/>
  <c r="E12" i="1"/>
  <c r="E9" i="1"/>
  <c r="E11" i="1"/>
  <c r="E15" i="1" s="1"/>
  <c r="E13" i="1"/>
  <c r="D49" i="1" l="1"/>
  <c r="E49" i="1"/>
  <c r="E27" i="1"/>
</calcChain>
</file>

<file path=xl/sharedStrings.xml><?xml version="1.0" encoding="utf-8"?>
<sst xmlns="http://schemas.openxmlformats.org/spreadsheetml/2006/main" count="696" uniqueCount="70">
  <si>
    <t>Pc</t>
  </si>
  <si>
    <t>psia</t>
  </si>
  <si>
    <t>bar</t>
  </si>
  <si>
    <t>Pe</t>
  </si>
  <si>
    <t>Pc/P</t>
  </si>
  <si>
    <t>r</t>
  </si>
  <si>
    <t>OF</t>
  </si>
  <si>
    <t>T</t>
  </si>
  <si>
    <t>RHO</t>
  </si>
  <si>
    <t>CSTAR</t>
  </si>
  <si>
    <t>ISP</t>
  </si>
  <si>
    <t>DIMENSIONLESS</t>
  </si>
  <si>
    <t>DEG R</t>
  </si>
  <si>
    <t>LBM/FT^3</t>
  </si>
  <si>
    <t>FT/S</t>
  </si>
  <si>
    <t>LBF S/LBM</t>
  </si>
  <si>
    <t>H2</t>
  </si>
  <si>
    <t>H2Be</t>
  </si>
  <si>
    <t>CH4</t>
  </si>
  <si>
    <t>C2H6</t>
  </si>
  <si>
    <t>C2H4</t>
  </si>
  <si>
    <t>RP-1</t>
  </si>
  <si>
    <t>N2H4</t>
  </si>
  <si>
    <t>LOX</t>
  </si>
  <si>
    <t>B5H9</t>
  </si>
  <si>
    <t>B2H6</t>
  </si>
  <si>
    <t>CH4&amp;H2</t>
  </si>
  <si>
    <t>CH3OH</t>
  </si>
  <si>
    <t>C2H5OH</t>
  </si>
  <si>
    <t>T_new</t>
  </si>
  <si>
    <t>DEG F</t>
  </si>
  <si>
    <t>rho_new</t>
  </si>
  <si>
    <t>G/CM^3</t>
  </si>
  <si>
    <t>GOX</t>
  </si>
  <si>
    <t>GH2</t>
  </si>
  <si>
    <t>exp</t>
  </si>
  <si>
    <t>ISPV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</si>
  <si>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</si>
  <si>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Be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</si>
  <si>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</si>
  <si>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</si>
  <si>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</si>
  <si>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</si>
  <si>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</si>
  <si>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</si>
  <si>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&amp;H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</si>
  <si>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</si>
  <si>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</si>
  <si>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r>
      <t>GH</t>
    </r>
    <r>
      <rPr>
        <vertAlign val="subscript"/>
        <sz val="11"/>
        <color theme="1"/>
        <rFont val="Calibri"/>
        <family val="2"/>
        <scheme val="minor"/>
      </rPr>
      <t>2</t>
    </r>
  </si>
  <si>
    <t>real_rho</t>
  </si>
  <si>
    <t>dens_fuel</t>
  </si>
  <si>
    <t>Fuel</t>
  </si>
  <si>
    <t>d</t>
  </si>
  <si>
    <t>C*</t>
  </si>
  <si>
    <r>
      <t>OPTIMUM EXPANSION, P</t>
    </r>
    <r>
      <rPr>
        <b/>
        <vertAlign val="subscript"/>
        <sz val="11"/>
        <color rgb="FFFF0000"/>
        <rFont val="Calibri"/>
        <family val="2"/>
        <scheme val="minor"/>
      </rPr>
      <t>c</t>
    </r>
    <r>
      <rPr>
        <b/>
        <sz val="11"/>
        <color rgb="FFFF0000"/>
        <rFont val="Calibri"/>
        <family val="2"/>
        <scheme val="minor"/>
      </rPr>
      <t xml:space="preserve"> = 1000 psia -&gt; P</t>
    </r>
    <r>
      <rPr>
        <b/>
        <vertAlign val="subscript"/>
        <sz val="11"/>
        <color rgb="FFFF0000"/>
        <rFont val="Calibri"/>
        <family val="2"/>
        <scheme val="minor"/>
      </rPr>
      <t>e</t>
    </r>
    <r>
      <rPr>
        <b/>
        <sz val="11"/>
        <color rgb="FFFF0000"/>
        <rFont val="Calibri"/>
        <family val="2"/>
        <scheme val="minor"/>
      </rPr>
      <t xml:space="preserve"> = 14.7 psia</t>
    </r>
  </si>
  <si>
    <t>Oxidizer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</si>
  <si>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opt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</si>
  <si>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</si>
  <si>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VACUUM EXPANSION, P</t>
    </r>
    <r>
      <rPr>
        <b/>
        <vertAlign val="subscript"/>
        <sz val="11"/>
        <color theme="4" tint="-0.249977111117893"/>
        <rFont val="Calibri"/>
        <family val="2"/>
        <scheme val="minor"/>
      </rPr>
      <t>c</t>
    </r>
    <r>
      <rPr>
        <b/>
        <sz val="11"/>
        <color theme="4" tint="-0.249977111117893"/>
        <rFont val="Calibri"/>
        <family val="2"/>
        <scheme val="minor"/>
      </rPr>
      <t xml:space="preserve"> = 1000 psia -&gt; ε = 40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</si>
  <si>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vac</t>
    </r>
  </si>
  <si>
    <t>optimum expansion, Pc = 1000 psia -&gt; Pe = 14.7 psia</t>
  </si>
  <si>
    <t>oxidizer</t>
  </si>
  <si>
    <t>fuel</t>
  </si>
  <si>
    <t>Iopt</t>
  </si>
  <si>
    <t>Tc</t>
  </si>
  <si>
    <t>CH4 H2</t>
  </si>
  <si>
    <t>-</t>
  </si>
  <si>
    <t>vacuum expansion, Pc = 1000 psia -&gt; e = 40</t>
  </si>
  <si>
    <t>Percent Differences - Optimum Expansion</t>
  </si>
  <si>
    <t>Percent Differences - Vacuum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</si>
</sst>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vertAlign val="subscript"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gradientFill degree="45">
        <stop position="0">
          <color theme="7" tint="0.59999389629810485"/>
        </stop>
        <stop position="1">
          <color theme="4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6" xfId="0" applyBorder="1"/>
    <xf numFmtId="0" fontId="1" fillId="0" borderId="0" xfId="0" applyFont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6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 w="57150">
              <a:solidFill>
                <a:srgbClr val="FF0000"/>
              </a:solidFill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FF0000"/>
              </a:solidFill>
              <a:ln w="571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881-4CCA-BBC4-45EBA65B1C37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 w="571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881-4CCA-BBC4-45EBA65B1C37}"/>
              </c:ext>
            </c:extLst>
          </c:dPt>
          <c:cat>
            <c:strRef>
              <c:f>'SP06A-mine'!$B$3:$B$16</c:f>
              <c:strCache>
                <c:ptCount val="14"/>
                <c:pt idx="0">
                  <c:v>H2</c:v>
                </c:pt>
                <c:pt idx="1">
                  <c:v>H2Be</c:v>
                </c:pt>
                <c:pt idx="2">
                  <c:v>CH4</c:v>
                </c:pt>
                <c:pt idx="3">
                  <c:v>C2H6</c:v>
                </c:pt>
                <c:pt idx="4">
                  <c:v>C2H4</c:v>
                </c:pt>
                <c:pt idx="5">
                  <c:v>RP-1</c:v>
                </c:pt>
                <c:pt idx="6">
                  <c:v>N2H4</c:v>
                </c:pt>
                <c:pt idx="7">
                  <c:v>B5H9</c:v>
                </c:pt>
                <c:pt idx="8">
                  <c:v>B2H6</c:v>
                </c:pt>
                <c:pt idx="9">
                  <c:v>CH4&amp;H2</c:v>
                </c:pt>
                <c:pt idx="10">
                  <c:v>CH3OH</c:v>
                </c:pt>
                <c:pt idx="11">
                  <c:v>C2H5OH</c:v>
                </c:pt>
                <c:pt idx="12">
                  <c:v>CH4</c:v>
                </c:pt>
                <c:pt idx="13">
                  <c:v>GH2</c:v>
                </c:pt>
              </c:strCache>
            </c:strRef>
          </c:cat>
          <c:val>
            <c:numRef>
              <c:f>'SP06A-mine'!$C$3:$C$16</c:f>
              <c:numCache>
                <c:formatCode>0.0</c:formatCode>
                <c:ptCount val="14"/>
                <c:pt idx="0">
                  <c:v>389.14453125</c:v>
                </c:pt>
                <c:pt idx="1">
                  <c:v>454.86404418945313</c:v>
                </c:pt>
                <c:pt idx="2">
                  <c:v>309.15103149414063</c:v>
                </c:pt>
                <c:pt idx="3">
                  <c:v>306.432861328125</c:v>
                </c:pt>
                <c:pt idx="4">
                  <c:v>300.78903198242188</c:v>
                </c:pt>
                <c:pt idx="5">
                  <c:v>299.61029052734375</c:v>
                </c:pt>
                <c:pt idx="6">
                  <c:v>312.41604614257813</c:v>
                </c:pt>
                <c:pt idx="7">
                  <c:v>317.65921020507813</c:v>
                </c:pt>
                <c:pt idx="8">
                  <c:v>343.15353393554688</c:v>
                </c:pt>
                <c:pt idx="9">
                  <c:v>321.88247680664063</c:v>
                </c:pt>
                <c:pt idx="10">
                  <c:v>283.86834716796875</c:v>
                </c:pt>
                <c:pt idx="11">
                  <c:v>289.29489135742188</c:v>
                </c:pt>
                <c:pt idx="12">
                  <c:v>315.75814819335938</c:v>
                </c:pt>
                <c:pt idx="13">
                  <c:v>407.69964599609375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1-4CCA-BBC4-45EBA65B1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1731504"/>
        <c:axId val="1531737328"/>
      </c:barChart>
      <c:catAx>
        <c:axId val="1531731504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531737328"/>
        <c:crosses val="autoZero"/>
        <c:auto val="1"/>
        <c:lblAlgn val="ctr"/>
        <c:lblOffset val="100"/>
        <c:noMultiLvlLbl val="0"/>
      </c:catAx>
      <c:valAx>
        <c:axId val="1531737328"/>
        <c:scaling>
          <c:orientation val="minMax"/>
          <c:max val="500"/>
          <c:min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1504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 w="57150">
              <a:solidFill>
                <a:srgbClr val="FF0000"/>
              </a:solidFill>
            </a:ln>
            <a:effectLst/>
          </c:spPr>
          <c:invertIfNegative val="0"/>
          <c:cat>
            <c:strRef>
              <c:f>'SP06A-mine'!$B$22:$B$35</c:f>
              <c:strCache>
                <c:ptCount val="14"/>
                <c:pt idx="0">
                  <c:v>H2</c:v>
                </c:pt>
                <c:pt idx="1">
                  <c:v>H2Be</c:v>
                </c:pt>
                <c:pt idx="2">
                  <c:v>CH4</c:v>
                </c:pt>
                <c:pt idx="3">
                  <c:v>C2H6</c:v>
                </c:pt>
                <c:pt idx="4">
                  <c:v>C2H4</c:v>
                </c:pt>
                <c:pt idx="5">
                  <c:v>RP-1</c:v>
                </c:pt>
                <c:pt idx="6">
                  <c:v>N2H4</c:v>
                </c:pt>
                <c:pt idx="7">
                  <c:v>B5H9</c:v>
                </c:pt>
                <c:pt idx="8">
                  <c:v>B2H6</c:v>
                </c:pt>
                <c:pt idx="9">
                  <c:v>CH4&amp;H2</c:v>
                </c:pt>
                <c:pt idx="10">
                  <c:v>CH3OH</c:v>
                </c:pt>
                <c:pt idx="11">
                  <c:v>C2H5OH</c:v>
                </c:pt>
                <c:pt idx="12">
                  <c:v>CH4</c:v>
                </c:pt>
                <c:pt idx="13">
                  <c:v>GH2</c:v>
                </c:pt>
              </c:strCache>
            </c:strRef>
          </c:cat>
          <c:val>
            <c:numRef>
              <c:f>'SP06A-mine'!$C$22:$C$35</c:f>
              <c:numCache>
                <c:formatCode>0.0</c:formatCode>
                <c:ptCount val="14"/>
                <c:pt idx="0">
                  <c:v>455.05740356445313</c:v>
                </c:pt>
                <c:pt idx="1">
                  <c:v>540.0958251953125</c:v>
                </c:pt>
                <c:pt idx="2">
                  <c:v>368.52752685546875</c:v>
                </c:pt>
                <c:pt idx="3">
                  <c:v>365.45938110351563</c:v>
                </c:pt>
                <c:pt idx="4">
                  <c:v>370.592041015625</c:v>
                </c:pt>
                <c:pt idx="5">
                  <c:v>357.68838500976563</c:v>
                </c:pt>
                <c:pt idx="6">
                  <c:v>369.91778564453125</c:v>
                </c:pt>
                <c:pt idx="7">
                  <c:v>382.26251220703125</c:v>
                </c:pt>
                <c:pt idx="8">
                  <c:v>407.468994140625</c:v>
                </c:pt>
                <c:pt idx="9">
                  <c:v>379.0687255859375</c:v>
                </c:pt>
                <c:pt idx="10">
                  <c:v>339.3087158203125</c:v>
                </c:pt>
                <c:pt idx="11">
                  <c:v>346.05084228515625</c:v>
                </c:pt>
                <c:pt idx="12">
                  <c:v>373.18914794921875</c:v>
                </c:pt>
                <c:pt idx="13">
                  <c:v>474.6004638671875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EC-4C30-A6B3-A987123BB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1731504"/>
        <c:axId val="1531737328"/>
      </c:barChart>
      <c:catAx>
        <c:axId val="1531731504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531737328"/>
        <c:crosses val="autoZero"/>
        <c:auto val="1"/>
        <c:lblAlgn val="ctr"/>
        <c:lblOffset val="100"/>
        <c:noMultiLvlLbl val="0"/>
      </c:catAx>
      <c:valAx>
        <c:axId val="1531737328"/>
        <c:scaling>
          <c:orientation val="minMax"/>
          <c:max val="550"/>
          <c:min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1504"/>
        <c:crosses val="autoZero"/>
        <c:crossBetween val="between"/>
        <c:majorUnit val="100"/>
        <c:minorUnit val="50"/>
      </c:valAx>
      <c:spPr>
        <a:noFill/>
        <a:ln w="57150">
          <a:noFill/>
        </a:ln>
        <a:effectLst/>
      </c:spPr>
    </c:plotArea>
    <c:plotVisOnly val="1"/>
    <c:dispBlanksAs val="gap"/>
    <c:showDLblsOverMax val="0"/>
  </c:chart>
  <c:spPr>
    <a:noFill/>
    <a:ln w="381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276226</xdr:colOff>
      <xdr:row>0</xdr:row>
      <xdr:rowOff>171450</xdr:rowOff>
    </xdr:from>
    <xdr:to>
      <xdr:col>9</xdr:col>
      <xdr:colOff>609599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276224</xdr:colOff>
      <xdr:row>19</xdr:row>
      <xdr:rowOff>171449</xdr:rowOff>
    </xdr:from>
    <xdr:to>
      <xdr:col>10</xdr:col>
      <xdr:colOff>323849</xdr:colOff>
      <xdr:row>35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qsys/Cequel/Run_Time/Cequ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ummy"/>
      <sheetName val="Cequel"/>
    </sheetNames>
    <definedNames>
      <definedName name="CEQUE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opLeftCell="A59" zoomScaleNormal="100" workbookViewId="0">
      <selection activeCell="E75" sqref="E75"/>
    </sheetView>
  </sheetViews>
  <sheetFormatPr defaultRowHeight="14.5" x14ac:dyDescent="0.35"/>
  <cols>
    <col min="3" max="3" width="15.453125" bestFit="1" customWidth="1"/>
    <col min="4" max="4" width="8.54296875" customWidth="1"/>
  </cols>
  <sheetData>
    <row r="1" spans="1:15" x14ac:dyDescent="0.35">
      <c r="A1" t="s">
        <v>0</v>
      </c>
      <c r="B1">
        <v>1000</v>
      </c>
      <c r="C1" t="s">
        <v>1</v>
      </c>
    </row>
    <row r="2" spans="1:15" x14ac:dyDescent="0.35">
      <c r="A2" t="s">
        <v>0</v>
      </c>
      <c r="B2">
        <v>68.947599999999994</v>
      </c>
      <c r="C2" t="s">
        <v>2</v>
      </c>
    </row>
    <row r="3" spans="1:15" x14ac:dyDescent="0.35">
      <c r="A3" t="s">
        <v>3</v>
      </c>
      <c r="B3">
        <v>14.7</v>
      </c>
      <c r="C3" t="s">
        <v>1</v>
      </c>
    </row>
    <row r="4" spans="1:15" x14ac:dyDescent="0.35">
      <c r="A4" t="s">
        <v>3</v>
      </c>
      <c r="B4">
        <v>1.0135289999999999</v>
      </c>
      <c r="C4" t="s">
        <v>2</v>
      </c>
    </row>
    <row r="5" spans="1:15" x14ac:dyDescent="0.35">
      <c r="A5" t="s">
        <v>4</v>
      </c>
      <c r="B5">
        <f>B1/B3</f>
        <v>68.02721088435375</v>
      </c>
    </row>
    <row r="7" spans="1:15" x14ac:dyDescent="0.35">
      <c r="C7" t="s">
        <v>5</v>
      </c>
      <c r="D7">
        <v>4.13</v>
      </c>
      <c r="E7">
        <v>0.87</v>
      </c>
      <c r="F7">
        <v>3.21</v>
      </c>
      <c r="G7">
        <v>2.89</v>
      </c>
      <c r="H7">
        <v>2.38</v>
      </c>
      <c r="I7">
        <v>2.58</v>
      </c>
      <c r="J7">
        <v>0.93</v>
      </c>
      <c r="K7">
        <v>2.12</v>
      </c>
      <c r="L7">
        <v>1.96</v>
      </c>
      <c r="M7">
        <v>3.36</v>
      </c>
      <c r="N7">
        <v>1.36</v>
      </c>
      <c r="O7">
        <v>1.8</v>
      </c>
    </row>
    <row r="8" spans="1:15" x14ac:dyDescent="0.35"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35">
      <c r="A9" t="s">
        <v>23</v>
      </c>
      <c r="B9" s="1" t="s">
        <v>6</v>
      </c>
      <c r="C9" t="s">
        <v>11</v>
      </c>
      <c r="D9" t="e">
        <f t="array" aca="1" ref="D9:D13" ca="1">[1]!CEQUEL("ROCKET","PC/P",'SP06A-CequelData'!$B$1,1,'SP06A-CequelData'!$B$5,"Mass",2,"O2 (L)",100,"H2 (L)",100,"OF",'SP06A-CequelData'!$D$7,5,0,"OF","T","RHO","CSTAR","ISP",FALSE,FALSE)</f>
        <v>#NAME?</v>
      </c>
      <c r="E9" t="e">
        <f t="array" aca="1" ref="E9:E13" ca="1">[1]!CEQUEL("ROCKET","PC/P",'SP06A-CequelData'!$B$1,1,'SP06A-CequelData'!$B$5,"Mass",3,"O2 (L)",100,"H2 (L)",49,"BE",51,"OF",'SP06A-CequelData'!$E$7,5,0,"OF","T","RHO","CSTAR","ISP",FALSE,FALSE)</f>
        <v>#NAME?</v>
      </c>
      <c r="F9" t="e">
        <f t="array" aca="1" ref="F9:F13" ca="1">[1]!CEQUEL("ROCKET","PC/P",'SP06A-CequelData'!$B$1,1,'SP06A-CequelData'!$B$5,"Mass",2,"O2 (L)",100,"CH4 (L)",100,"OF",'SP06A-CequelData'!$F$7,5,0,"OF","T","RHO","CSTAR","ISP",FALSE,FALSE)</f>
        <v>#NAME?</v>
      </c>
      <c r="G9" t="e">
        <f t="array" aca="1" ref="G9:G13" ca="1">[1]!CEQUEL("ROCKET","PC/P",'SP06A-CequelData'!$B$1,1,'SP06A-CequelData'!$B$5,"Mass",2,"O2 (L)",100,"C2H6",100,"OF",'SP06A-CequelData'!$G$7,5,0,"OF","T","RHO","CSTAR","ISP",FALSE,FALSE)</f>
        <v>#NAME?</v>
      </c>
      <c r="H9" t="e">
        <f t="array" aca="1" ref="H9:H13" ca="1">[1]!CEQUEL("ROCKET","PC/P",'SP06A-CequelData'!$B$1,1,'SP06A-CequelData'!$B$5,"Mass",2,"O2 (L)",100,"C2H4 (L)",100,"OF",'SP06A-CequelData'!$H$7,5,0,"OF","T","RHO","CSTAR","ISP",FALSE,FALSE)</f>
        <v>#NAME?</v>
      </c>
      <c r="I9" t="e">
        <f t="array" aca="1" ref="I9:I13" ca="1">[1]!CEQUEL("ROCKET","PC/P",'SP06A-CequelData'!$B$1,1,'SP06A-CequelData'!$B$5,"Mass",2,"O2 (L)",100,"RP-1",100,"OF",'SP06A-CequelData'!$I$7,5,0,"OF","T","RHO","CSTAR","ISP",FALSE,FALSE)</f>
        <v>#NAME?</v>
      </c>
      <c r="J9" t="e">
        <f t="array" aca="1" ref="J9:J13" ca="1">[1]!CEQUEL("ROCKET","PC/P",'SP06A-CequelData'!$B$1,1,'SP06A-CequelData'!$B$5,"Mass",2,"O2 (L)",100,"N2H4 (L)",100,"OF",'SP06A-CequelData'!$J$7,5,0,"OF","T","RHO","CSTAR","ISP",FALSE,FALSE)</f>
        <v>#NAME?</v>
      </c>
      <c r="K9" t="e">
        <f t="array" aca="1" ref="K9:K13" ca="1">[1]!CEQUEL("ROCKET","PC/P",'SP06A-CequelData'!$B$1,1,'SP06A-CequelData'!$B$5,"Mass",2,"O2 (L)",100,"B5H9 (L)",100,"OF",'SP06A-CequelData'!$K$7,5,0,"OF","T","RHO","CSTAR","ISP",FALSE,FALSE)</f>
        <v>#NAME?</v>
      </c>
      <c r="L9" t="e">
        <f t="array" aca="1" ref="L9:L13" ca="1">[1]!CEQUEL("ROCKET","PC/P",'SP06A-CequelData'!$B$1,1,'SP06A-CequelData'!$B$5,"Mass",2,"O2 (L)",100,"B2H6 (L)",100,"OF",'SP06A-CequelData'!$L$7,5,0,"OF","T","RHO","CSTAR","ISP",FALSE,FALSE)</f>
        <v>#NAME?</v>
      </c>
      <c r="M9" t="e">
        <f t="array" aca="1" ref="M9:M13" ca="1">[1]!CEQUEL("ROCKET","PC/P",'SP06A-CequelData'!$B$1,1,'SP06A-CequelData'!$B$5,"Mass",3,"O2 (L)",100,"CH4 (L)",92.6,"H2 (L)",7.4,"OF",'SP06A-CequelData'!$M$7,5,0,"OF","T","RHO","CSTAR","ISP",FALSE,FALSE)</f>
        <v>#NAME?</v>
      </c>
      <c r="N9" t="e">
        <f t="array" aca="1" ref="N9:N13" ca="1">[1]!CEQUEL("ROCKET","PC/P",'SP06A-CequelData'!$B$1,1,'SP06A-CequelData'!$B$5,"Mass",2,"O2 (L)",100,"CH3OH (L)",100,"OF",'SP06A-CequelData'!$N$7,5,0,"OF","T","RHO","CSTAR","ISP",FALSE,FALSE)</f>
        <v>#NAME?</v>
      </c>
      <c r="O9" t="e">
        <f t="array" aca="1" ref="O9:O13" ca="1">[1]!CEQUEL("ROCKET","PC/P",'SP06A-CequelData'!$B$1,1,'SP06A-CequelData'!$B$5,"Mass",2,"O2 (L)",100,"C2H5OH (L)",100,"OF",'SP06A-CequelData'!$O$7,5,0,"OF","T","RHO","CSTAR","ISP",FALSE,FALSE)</f>
        <v>#NAME?</v>
      </c>
    </row>
    <row r="10" spans="1:15" x14ac:dyDescent="0.35">
      <c r="B10" s="1" t="s">
        <v>7</v>
      </c>
      <c r="C10" t="s">
        <v>12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</row>
    <row r="11" spans="1:15" x14ac:dyDescent="0.35">
      <c r="B11" s="1" t="s">
        <v>8</v>
      </c>
      <c r="C11" t="s">
        <v>13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5" x14ac:dyDescent="0.35">
      <c r="B12" s="1" t="s">
        <v>9</v>
      </c>
      <c r="C12" t="s">
        <v>14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 x14ac:dyDescent="0.35">
      <c r="B13" s="1" t="s">
        <v>10</v>
      </c>
      <c r="C13" t="s">
        <v>15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  <row r="14" spans="1:15" x14ac:dyDescent="0.35">
      <c r="B14" t="s">
        <v>29</v>
      </c>
      <c r="C14" t="s">
        <v>30</v>
      </c>
      <c r="D14" t="e">
        <f ca="1">D10-459.67</f>
        <v>#NAME?</v>
      </c>
      <c r="E14" t="e">
        <f t="shared" ref="E14:O14" ca="1" si="0">E10-459.67</f>
        <v>#NAME?</v>
      </c>
      <c r="F14" t="e">
        <f t="shared" ca="1" si="0"/>
        <v>#NAME?</v>
      </c>
      <c r="G14" t="e">
        <f t="shared" ca="1" si="0"/>
        <v>#NAME?</v>
      </c>
      <c r="H14" t="e">
        <f t="shared" ca="1" si="0"/>
        <v>#NAME?</v>
      </c>
      <c r="I14" t="e">
        <f t="shared" ca="1" si="0"/>
        <v>#NAME?</v>
      </c>
      <c r="J14" t="e">
        <f t="shared" ca="1" si="0"/>
        <v>#NAME?</v>
      </c>
      <c r="K14" t="e">
        <f t="shared" ca="1" si="0"/>
        <v>#NAME?</v>
      </c>
      <c r="L14" t="e">
        <f t="shared" ca="1" si="0"/>
        <v>#NAME?</v>
      </c>
      <c r="M14" t="e">
        <f t="shared" ca="1" si="0"/>
        <v>#NAME?</v>
      </c>
      <c r="N14" t="e">
        <f t="shared" ca="1" si="0"/>
        <v>#NAME?</v>
      </c>
      <c r="O14" t="e">
        <f t="shared" ca="1" si="0"/>
        <v>#NAME?</v>
      </c>
    </row>
    <row r="15" spans="1:15" x14ac:dyDescent="0.35">
      <c r="B15" t="s">
        <v>31</v>
      </c>
      <c r="C15" t="s">
        <v>32</v>
      </c>
      <c r="D15" t="e">
        <f ca="1">D11/62.428</f>
        <v>#NAME?</v>
      </c>
      <c r="E15" t="e">
        <f t="shared" ref="E15:O15" ca="1" si="1">E11/62.428</f>
        <v>#NAME?</v>
      </c>
      <c r="F15" t="e">
        <f t="shared" ca="1" si="1"/>
        <v>#NAME?</v>
      </c>
      <c r="G15" t="e">
        <f t="shared" ca="1" si="1"/>
        <v>#NAME?</v>
      </c>
      <c r="H15" t="e">
        <f t="shared" ca="1" si="1"/>
        <v>#NAME?</v>
      </c>
      <c r="I15" t="e">
        <f t="shared" ca="1" si="1"/>
        <v>#NAME?</v>
      </c>
      <c r="J15" t="e">
        <f t="shared" ca="1" si="1"/>
        <v>#NAME?</v>
      </c>
      <c r="K15" t="e">
        <f t="shared" ca="1" si="1"/>
        <v>#NAME?</v>
      </c>
      <c r="L15" t="e">
        <f t="shared" ca="1" si="1"/>
        <v>#NAME?</v>
      </c>
      <c r="M15" t="e">
        <f t="shared" ca="1" si="1"/>
        <v>#NAME?</v>
      </c>
      <c r="N15" t="e">
        <f t="shared" ca="1" si="1"/>
        <v>#NAME?</v>
      </c>
      <c r="O15" t="e">
        <f t="shared" ca="1" si="1"/>
        <v>#NAME?</v>
      </c>
    </row>
    <row r="17" spans="1:15" x14ac:dyDescent="0.35">
      <c r="C17" t="s">
        <v>5</v>
      </c>
      <c r="D17">
        <v>4.13</v>
      </c>
      <c r="E17">
        <v>0.87</v>
      </c>
      <c r="F17">
        <v>3.21</v>
      </c>
      <c r="G17">
        <v>2.89</v>
      </c>
      <c r="H17">
        <v>2.38</v>
      </c>
      <c r="I17">
        <v>2.58</v>
      </c>
      <c r="J17">
        <v>0.93</v>
      </c>
      <c r="K17">
        <v>2.12</v>
      </c>
      <c r="L17">
        <v>1.96</v>
      </c>
      <c r="M17">
        <v>3.36</v>
      </c>
      <c r="N17">
        <v>1.36</v>
      </c>
      <c r="O17">
        <v>1.8</v>
      </c>
    </row>
    <row r="18" spans="1:15" ht="16.5" x14ac:dyDescent="0.45">
      <c r="A18" s="2"/>
      <c r="B18" s="2"/>
      <c r="C18" s="2"/>
      <c r="D18" s="2" t="s">
        <v>37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21</v>
      </c>
      <c r="J18" s="2" t="s">
        <v>42</v>
      </c>
      <c r="K18" s="2" t="s">
        <v>43</v>
      </c>
      <c r="L18" s="2" t="s">
        <v>44</v>
      </c>
      <c r="M18" s="2" t="s">
        <v>45</v>
      </c>
      <c r="N18" s="2" t="s">
        <v>46</v>
      </c>
      <c r="O18" s="2" t="s">
        <v>47</v>
      </c>
    </row>
    <row r="19" spans="1:15" x14ac:dyDescent="0.35">
      <c r="A19" s="2" t="s">
        <v>23</v>
      </c>
      <c r="B19" s="3" t="s">
        <v>6</v>
      </c>
      <c r="C19" s="2" t="s">
        <v>11</v>
      </c>
      <c r="D19" s="2" t="e">
        <f t="array" aca="1" ref="D19:D21" ca="1">[1]!CEQUEL("ROCKET","PC/P",'SP06A-CequelData'!$B$1,1,1,"Mass",2,"O2 (L)",100,"H2 (L)",100,"OF",'SP06A-CequelData'!$D$7,3,0,'SP06A-CequelData'!$B$19:$B$21,FALSE,FALSE)</f>
        <v>#NAME?</v>
      </c>
      <c r="E19" s="2" t="e">
        <f t="array" aca="1" ref="E19:E21" ca="1">[1]!CEQUEL("ROCKET","PC/P",'SP06A-CequelData'!$B$1,1,1,"Mass",3,"O2 (L)",100,"H2 (L)",49,"BE",51,"OF",'SP06A-CequelData'!$E$7,3,0,"OF","T","RHO",FALSE,FALSE)</f>
        <v>#NAME?</v>
      </c>
      <c r="F19" s="2" t="e">
        <f t="array" aca="1" ref="F19:F21" ca="1">[1]!CEQUEL("ROCKET","PC/P",'SP06A-CequelData'!$B$1,1,1,"Mass",2,"O2 (L)",100,"CH4 (L)",100,"OF",'SP06A-CequelData'!$F$7,3,0,"OF","T","RHO",FALSE,FALSE)</f>
        <v>#NAME?</v>
      </c>
      <c r="G19" s="2" t="e">
        <f t="array" aca="1" ref="G19:G21" ca="1">[1]!CEQUEL("ROCKET","PC/P",'SP06A-CequelData'!$B$1,1,1,"Mass",2,"O2 (L)",100,"C2H6",100,"OF",'SP06A-CequelData'!$G$7,3,0,"OF","T","RHO",FALSE,FALSE)</f>
        <v>#NAME?</v>
      </c>
      <c r="H19" s="2" t="e">
        <f t="array" aca="1" ref="H19:H21" ca="1">[1]!CEQUEL("ROCKET","PC/P",'SP06A-CequelData'!$B$1,1,1,"Mass",2,"O2 (L)",100,"C2H4 (L)",100,"OF",'SP06A-CequelData'!$H$7,3,0,"OF","T","RHO",FALSE,FALSE)</f>
        <v>#NAME?</v>
      </c>
      <c r="I19" s="2" t="e">
        <f t="array" aca="1" ref="I19:I21" ca="1">[1]!CEQUEL("ROCKET","PC/P",'SP06A-CequelData'!$B$1,1,1,"Mass",2,"O2 (L)",100,"RP-1",100,"OF",'SP06A-CequelData'!$I$7,3,0,"OF","T","RHO",FALSE,FALSE)</f>
        <v>#NAME?</v>
      </c>
      <c r="J19" s="2" t="e">
        <f t="array" aca="1" ref="J19:J21" ca="1">[1]!CEQUEL("ROCKET","PC/P",'SP06A-CequelData'!$B$1,1,1,"Mass",2,"O2 (L)",100,"N2H4 (L)",100,"OF",'SP06A-CequelData'!$J$7,3,0,"OF","T","RHO",FALSE,FALSE)</f>
        <v>#NAME?</v>
      </c>
      <c r="K19" s="2" t="e">
        <f t="array" aca="1" ref="K19:K21" ca="1">[1]!CEQUEL("ROCKET","PC/P",'SP06A-CequelData'!$B$1,1,1,"Mass",2,"O2 (L)",100,"B5H9 (L)",100,"OF",'SP06A-CequelData'!$K$7,3,0,"OF","T","RHO",FALSE,FALSE)</f>
        <v>#NAME?</v>
      </c>
      <c r="L19" s="2" t="e">
        <f t="array" aca="1" ref="L19:L21" ca="1">[1]!CEQUEL("ROCKET","PC/P",'SP06A-CequelData'!$B$1,1,1,"Mass",2,"O2 (L)",100,"B2H6 (L)",100,"OF",'SP06A-CequelData'!$L$7,3,0,"OF","T","RHO",FALSE,FALSE)</f>
        <v>#NAME?</v>
      </c>
      <c r="M19" s="2" t="e">
        <f t="array" aca="1" ref="M19:M21" ca="1">[1]!CEQUEL("ROCKET","PC/P",'SP06A-CequelData'!$B$1,1,1,"Mass",3,"O2 (L)",100,"CH4 (L)",92.6,"H2 (L)",7.4,"OF",'SP06A-CequelData'!$M$7,3,0,"OF","T","RHO",FALSE,FALSE)</f>
        <v>#NAME?</v>
      </c>
      <c r="N19" s="2" t="e">
        <f t="array" aca="1" ref="N19:N21" ca="1">[1]!CEQUEL("ROCKET","PC/P",'SP06A-CequelData'!$B$1,1,1,"Mass",2,"O2 (L)",100,"CH3OH (L)",100,"OF",'SP06A-CequelData'!$N$7,3,0,"OF","T","RHO",FALSE,FALSE)</f>
        <v>#NAME?</v>
      </c>
      <c r="O19" s="2" t="e">
        <f t="array" aca="1" ref="O19:O21" ca="1">[1]!CEQUEL("ROCKET","PC/P",'SP06A-CequelData'!$B$1,1,1,"Mass",2,"O2 (L)",100,"C2H5OH (L)",100,"OF",'SP06A-CequelData'!$O$7,3,0,"OF","T","RHO",FALSE,FALSE)</f>
        <v>#NAME?</v>
      </c>
    </row>
    <row r="20" spans="1:15" x14ac:dyDescent="0.35">
      <c r="A20" s="2"/>
      <c r="B20" s="3" t="s">
        <v>7</v>
      </c>
      <c r="C20" s="2" t="s">
        <v>12</v>
      </c>
      <c r="D20" s="2" t="e">
        <f ca="1"/>
        <v>#NAME?</v>
      </c>
      <c r="E20" s="2" t="e">
        <f ca="1"/>
        <v>#NAME?</v>
      </c>
      <c r="F20" s="2" t="e">
        <f ca="1"/>
        <v>#NAME?</v>
      </c>
      <c r="G20" s="2" t="e">
        <f ca="1"/>
        <v>#NAME?</v>
      </c>
      <c r="H20" s="2" t="e">
        <f ca="1"/>
        <v>#NAME?</v>
      </c>
      <c r="I20" s="2" t="e">
        <f ca="1"/>
        <v>#NAME?</v>
      </c>
      <c r="J20" s="2" t="e">
        <f ca="1"/>
        <v>#NAME?</v>
      </c>
      <c r="K20" s="2" t="e">
        <f ca="1"/>
        <v>#NAME?</v>
      </c>
      <c r="L20" s="2" t="e">
        <f ca="1"/>
        <v>#NAME?</v>
      </c>
      <c r="M20" s="2" t="e">
        <f ca="1"/>
        <v>#NAME?</v>
      </c>
      <c r="N20" s="2" t="e">
        <f ca="1"/>
        <v>#NAME?</v>
      </c>
      <c r="O20" s="2" t="e">
        <f ca="1"/>
        <v>#NAME?</v>
      </c>
    </row>
    <row r="21" spans="1:15" x14ac:dyDescent="0.35">
      <c r="A21" s="2"/>
      <c r="B21" s="3" t="s">
        <v>8</v>
      </c>
      <c r="C21" s="2" t="s">
        <v>13</v>
      </c>
      <c r="D21" s="2" t="e">
        <f ca="1"/>
        <v>#NAME?</v>
      </c>
      <c r="E21" s="2" t="e">
        <f ca="1"/>
        <v>#NAME?</v>
      </c>
      <c r="F21" s="2" t="e">
        <f ca="1"/>
        <v>#NAME?</v>
      </c>
      <c r="G21" s="2" t="e">
        <f ca="1"/>
        <v>#NAME?</v>
      </c>
      <c r="H21" s="2" t="e">
        <f ca="1"/>
        <v>#NAME?</v>
      </c>
      <c r="I21" s="2" t="e">
        <f ca="1"/>
        <v>#NAME?</v>
      </c>
      <c r="J21" s="2" t="e">
        <f ca="1"/>
        <v>#NAME?</v>
      </c>
      <c r="K21" s="2" t="e">
        <f ca="1"/>
        <v>#NAME?</v>
      </c>
      <c r="L21" s="2" t="e">
        <f ca="1"/>
        <v>#NAME?</v>
      </c>
      <c r="M21" s="2" t="e">
        <f ca="1"/>
        <v>#NAME?</v>
      </c>
      <c r="N21" s="2" t="e">
        <f ca="1"/>
        <v>#NAME?</v>
      </c>
      <c r="O21" s="2" t="e">
        <f ca="1"/>
        <v>#NAME?</v>
      </c>
    </row>
    <row r="22" spans="1:15" x14ac:dyDescent="0.35">
      <c r="A22" s="2"/>
      <c r="B22" s="2" t="s">
        <v>9</v>
      </c>
      <c r="C22" s="2" t="s">
        <v>14</v>
      </c>
      <c r="D22" s="2">
        <v>7917</v>
      </c>
      <c r="E22" s="2">
        <v>9207</v>
      </c>
      <c r="F22" s="2">
        <v>6083</v>
      </c>
      <c r="G22" s="2">
        <v>6030</v>
      </c>
      <c r="H22" s="2">
        <v>6140</v>
      </c>
      <c r="I22" s="2">
        <v>5888</v>
      </c>
      <c r="J22" s="2">
        <v>6189</v>
      </c>
      <c r="K22" s="2">
        <v>6188</v>
      </c>
      <c r="L22" s="2">
        <v>6661</v>
      </c>
      <c r="M22" s="2">
        <v>6287</v>
      </c>
      <c r="N22" s="2">
        <v>5556</v>
      </c>
      <c r="O22" s="2">
        <v>5658</v>
      </c>
    </row>
    <row r="23" spans="1:15" x14ac:dyDescent="0.35">
      <c r="A23" s="2"/>
      <c r="B23" s="2" t="s">
        <v>10</v>
      </c>
      <c r="C23" s="2" t="s">
        <v>15</v>
      </c>
      <c r="D23" s="2">
        <v>389.14453125</v>
      </c>
      <c r="E23" s="2">
        <v>454.86404418945313</v>
      </c>
      <c r="F23" s="2">
        <v>309.15103149414063</v>
      </c>
      <c r="G23" s="2">
        <v>306.432861328125</v>
      </c>
      <c r="H23" s="2">
        <v>311.20797729492188</v>
      </c>
      <c r="I23" s="2">
        <v>299.61029052734375</v>
      </c>
      <c r="J23" s="2">
        <v>312.41604614257813</v>
      </c>
      <c r="K23" s="2">
        <v>317.65921020507813</v>
      </c>
      <c r="L23" s="2">
        <v>340.07855224609375</v>
      </c>
      <c r="M23" s="2">
        <v>318.53512573242188</v>
      </c>
      <c r="N23" s="2">
        <v>283.86834716796875</v>
      </c>
      <c r="O23" s="2">
        <v>289.29489135742188</v>
      </c>
    </row>
    <row r="24" spans="1:15" x14ac:dyDescent="0.35">
      <c r="A24" s="2"/>
      <c r="B24" s="2" t="s">
        <v>29</v>
      </c>
      <c r="C24" s="2" t="s">
        <v>30</v>
      </c>
      <c r="D24" s="2" t="e">
        <f ca="1">D20-459.67</f>
        <v>#NAME?</v>
      </c>
      <c r="E24" s="2" t="e">
        <f t="shared" ref="E24:O24" ca="1" si="2">E20-459.67</f>
        <v>#NAME?</v>
      </c>
      <c r="F24" s="2" t="e">
        <f t="shared" ca="1" si="2"/>
        <v>#NAME?</v>
      </c>
      <c r="G24" s="2" t="e">
        <f t="shared" ca="1" si="2"/>
        <v>#NAME?</v>
      </c>
      <c r="H24" s="2" t="e">
        <f t="shared" ca="1" si="2"/>
        <v>#NAME?</v>
      </c>
      <c r="I24" s="2" t="e">
        <f t="shared" ca="1" si="2"/>
        <v>#NAME?</v>
      </c>
      <c r="J24" s="2" t="e">
        <f t="shared" ca="1" si="2"/>
        <v>#NAME?</v>
      </c>
      <c r="K24" s="2" t="e">
        <f t="shared" ca="1" si="2"/>
        <v>#NAME?</v>
      </c>
      <c r="L24" s="2" t="e">
        <f t="shared" ca="1" si="2"/>
        <v>#NAME?</v>
      </c>
      <c r="M24" s="2" t="e">
        <f t="shared" ca="1" si="2"/>
        <v>#NAME?</v>
      </c>
      <c r="N24" s="2" t="e">
        <f t="shared" ca="1" si="2"/>
        <v>#NAME?</v>
      </c>
      <c r="O24" s="2" t="e">
        <f t="shared" ca="1" si="2"/>
        <v>#NAME?</v>
      </c>
    </row>
    <row r="25" spans="1:15" x14ac:dyDescent="0.35">
      <c r="A25" s="2"/>
      <c r="B25" s="2" t="s">
        <v>31</v>
      </c>
      <c r="C25" s="2" t="s">
        <v>32</v>
      </c>
      <c r="D25" s="2" t="e">
        <f ca="1">D21/62.428</f>
        <v>#NAME?</v>
      </c>
      <c r="E25" s="2" t="e">
        <f t="shared" ref="E25:O25" ca="1" si="3">E21/62.428</f>
        <v>#NAME?</v>
      </c>
      <c r="F25" s="2" t="e">
        <f t="shared" ca="1" si="3"/>
        <v>#NAME?</v>
      </c>
      <c r="G25" s="2" t="e">
        <f t="shared" ca="1" si="3"/>
        <v>#NAME?</v>
      </c>
      <c r="H25" s="2" t="e">
        <f t="shared" ca="1" si="3"/>
        <v>#NAME?</v>
      </c>
      <c r="I25" s="2" t="e">
        <f t="shared" ca="1" si="3"/>
        <v>#NAME?</v>
      </c>
      <c r="J25" s="2" t="e">
        <f t="shared" ca="1" si="3"/>
        <v>#NAME?</v>
      </c>
      <c r="K25" s="2" t="e">
        <f t="shared" ca="1" si="3"/>
        <v>#NAME?</v>
      </c>
      <c r="L25" s="2" t="e">
        <f t="shared" ca="1" si="3"/>
        <v>#NAME?</v>
      </c>
      <c r="M25" s="2" t="e">
        <f t="shared" ca="1" si="3"/>
        <v>#NAME?</v>
      </c>
      <c r="N25" s="2" t="e">
        <f t="shared" ca="1" si="3"/>
        <v>#NAME?</v>
      </c>
      <c r="O25" s="2" t="e">
        <f t="shared" ca="1" si="3"/>
        <v>#NAME?</v>
      </c>
    </row>
    <row r="26" spans="1:15" x14ac:dyDescent="0.35">
      <c r="A26" s="2"/>
      <c r="B26" s="2" t="s">
        <v>50</v>
      </c>
      <c r="C26" s="2" t="s">
        <v>32</v>
      </c>
      <c r="D26" s="2">
        <v>7.0994639299999995E-2</v>
      </c>
      <c r="E26" s="2">
        <v>0.65</v>
      </c>
      <c r="F26" s="2">
        <v>0.65700000000000003</v>
      </c>
      <c r="G26" s="2">
        <v>0.58520000000000005</v>
      </c>
      <c r="H26" s="2">
        <v>0.59399999999999997</v>
      </c>
      <c r="I26" s="2">
        <v>0.81</v>
      </c>
      <c r="J26" s="2">
        <v>1</v>
      </c>
      <c r="K26" s="2">
        <v>0.61799999999999999</v>
      </c>
      <c r="L26" s="2">
        <v>0.44700000000000001</v>
      </c>
      <c r="M26" s="2">
        <f>(F26*0.926+D26*0.74)/2</f>
        <v>0.33045901654100002</v>
      </c>
      <c r="N26" s="2">
        <v>0.79200000000000004</v>
      </c>
      <c r="O26" s="2">
        <v>0.78900000000000003</v>
      </c>
    </row>
    <row r="27" spans="1:15" x14ac:dyDescent="0.35">
      <c r="A27" s="2"/>
      <c r="B27" s="2" t="s">
        <v>49</v>
      </c>
      <c r="C27" s="2" t="s">
        <v>32</v>
      </c>
      <c r="D27" s="2" t="e">
        <f ca="1">(1+D19)/((D19/1.141)+(1/D26))</f>
        <v>#NAME?</v>
      </c>
      <c r="E27" s="2" t="e">
        <f t="shared" ref="E27:O27" ca="1" si="4">(1+E19)/((E19/1.141)+(1/E26))</f>
        <v>#NAME?</v>
      </c>
      <c r="F27" s="2" t="e">
        <f t="shared" ca="1" si="4"/>
        <v>#NAME?</v>
      </c>
      <c r="G27" s="2" t="e">
        <f t="shared" ca="1" si="4"/>
        <v>#NAME?</v>
      </c>
      <c r="H27" s="2" t="e">
        <f t="shared" ca="1" si="4"/>
        <v>#NAME?</v>
      </c>
      <c r="I27" s="2" t="e">
        <f t="shared" ca="1" si="4"/>
        <v>#NAME?</v>
      </c>
      <c r="J27" s="2" t="e">
        <f t="shared" ca="1" si="4"/>
        <v>#NAME?</v>
      </c>
      <c r="K27" s="2" t="e">
        <f t="shared" ca="1" si="4"/>
        <v>#NAME?</v>
      </c>
      <c r="L27" s="2" t="e">
        <f t="shared" ca="1" si="4"/>
        <v>#NAME?</v>
      </c>
      <c r="M27" s="2" t="e">
        <f t="shared" ca="1" si="4"/>
        <v>#NAME?</v>
      </c>
      <c r="N27" s="2" t="e">
        <f t="shared" ca="1" si="4"/>
        <v>#NAME?</v>
      </c>
      <c r="O27" s="2" t="e">
        <f t="shared" ca="1" si="4"/>
        <v>#NAME?</v>
      </c>
    </row>
    <row r="29" spans="1:15" x14ac:dyDescent="0.35">
      <c r="D29">
        <v>3.1</v>
      </c>
      <c r="E29">
        <v>3.29</v>
      </c>
    </row>
    <row r="30" spans="1:15" x14ac:dyDescent="0.35">
      <c r="A30" t="s">
        <v>33</v>
      </c>
      <c r="D30" t="s">
        <v>18</v>
      </c>
      <c r="E30" t="s">
        <v>34</v>
      </c>
    </row>
    <row r="31" spans="1:15" x14ac:dyDescent="0.35">
      <c r="B31" s="1" t="s">
        <v>6</v>
      </c>
      <c r="C31" t="s">
        <v>11</v>
      </c>
      <c r="D31" t="e">
        <f t="array" aca="1" ref="D31:D35" ca="1">[1]!CEQUEL("ROCKET","PC/P",'SP06A-CequelData'!$B$1,1,'SP06A-CequelData'!$B$5,"Mass",2,"O2 (G)",100,"CH4 (L)",100,"OF",'SP06A-CequelData'!$D$29,5,0,"OF","T","RHO","CSTAR","ISP",FALSE,FALSE)</f>
        <v>#NAME?</v>
      </c>
      <c r="E31" t="e">
        <f t="array" aca="1" ref="E31:E35" ca="1">[1]!CEQUEL("ROCKET","PC/P",'SP06A-CequelData'!$B$1,1,'SP06A-CequelData'!$B$5,"Mass",2,"O2 (G)",100,"H2 (G)",100,"OF",'SP06A-CequelData'!$E$29,5,0,"OF","T","RHO","CSTAR","ISP",FALSE,FALSE)</f>
        <v>#NAME?</v>
      </c>
    </row>
    <row r="32" spans="1:15" x14ac:dyDescent="0.35">
      <c r="B32" s="1" t="s">
        <v>7</v>
      </c>
      <c r="C32" t="s">
        <v>12</v>
      </c>
      <c r="D32" t="e">
        <f ca="1"/>
        <v>#NAME?</v>
      </c>
      <c r="E32" t="e">
        <f ca="1"/>
        <v>#NAME?</v>
      </c>
    </row>
    <row r="33" spans="1:5" x14ac:dyDescent="0.35">
      <c r="B33" s="1" t="s">
        <v>8</v>
      </c>
      <c r="C33" t="s">
        <v>13</v>
      </c>
      <c r="D33" t="e">
        <f ca="1"/>
        <v>#NAME?</v>
      </c>
      <c r="E33" t="e">
        <f ca="1"/>
        <v>#NAME?</v>
      </c>
    </row>
    <row r="34" spans="1:5" x14ac:dyDescent="0.35">
      <c r="B34" s="1" t="s">
        <v>9</v>
      </c>
      <c r="C34" t="s">
        <v>14</v>
      </c>
      <c r="D34" t="e">
        <f ca="1"/>
        <v>#NAME?</v>
      </c>
      <c r="E34" t="e">
        <f ca="1"/>
        <v>#NAME?</v>
      </c>
    </row>
    <row r="35" spans="1:5" x14ac:dyDescent="0.35">
      <c r="B35" s="1" t="s">
        <v>10</v>
      </c>
      <c r="C35" t="s">
        <v>15</v>
      </c>
      <c r="D35" t="e">
        <f ca="1"/>
        <v>#NAME?</v>
      </c>
      <c r="E35" t="e">
        <f ca="1"/>
        <v>#NAME?</v>
      </c>
    </row>
    <row r="36" spans="1:5" x14ac:dyDescent="0.35">
      <c r="B36" t="s">
        <v>29</v>
      </c>
      <c r="C36" t="s">
        <v>30</v>
      </c>
      <c r="D36" t="e">
        <f ca="1">D32-459.67</f>
        <v>#NAME?</v>
      </c>
      <c r="E36" t="e">
        <f ca="1">E32-459.67</f>
        <v>#NAME?</v>
      </c>
    </row>
    <row r="37" spans="1:5" x14ac:dyDescent="0.35">
      <c r="B37" t="s">
        <v>31</v>
      </c>
      <c r="C37" t="s">
        <v>32</v>
      </c>
      <c r="D37" t="e">
        <f ca="1">D33/62.428</f>
        <v>#NAME?</v>
      </c>
      <c r="E37" t="e">
        <f ca="1">E33/62.428</f>
        <v>#NAME?</v>
      </c>
    </row>
    <row r="39" spans="1:5" x14ac:dyDescent="0.35">
      <c r="D39">
        <v>3.1</v>
      </c>
      <c r="E39">
        <v>3.29</v>
      </c>
    </row>
    <row r="40" spans="1:5" ht="16.5" x14ac:dyDescent="0.45">
      <c r="A40" s="2" t="s">
        <v>33</v>
      </c>
      <c r="B40" s="2"/>
      <c r="C40" s="2"/>
      <c r="D40" s="2" t="s">
        <v>39</v>
      </c>
      <c r="E40" s="2" t="s">
        <v>48</v>
      </c>
    </row>
    <row r="41" spans="1:5" x14ac:dyDescent="0.35">
      <c r="A41" s="2"/>
      <c r="B41" s="2" t="s">
        <v>6</v>
      </c>
      <c r="C41" s="2" t="s">
        <v>11</v>
      </c>
      <c r="D41" s="2" t="e">
        <f t="array" aca="1" ref="D41:D43" ca="1">[1]!CEQUEL("ROCKET","PC/P",'SP06A-CequelData'!$B$1,1,1,"Mass",2,"O2 (G)",100,"CH4 (L)",100,"OF",'SP06A-CequelData'!$D$29,3,0,"OF","T","RHO",FALSE,FALSE)</f>
        <v>#NAME?</v>
      </c>
      <c r="E41" s="2" t="e">
        <f t="array" aca="1" ref="E41:E43" ca="1">[1]!CEQUEL("ROCKET","PC/P",'SP06A-CequelData'!$B$1,1,1,"Mass",2,"O2 (G)",100,"H2 (G)",100,"OF",'SP06A-CequelData'!$E$29,3,0,"OF","T","RHO",FALSE,FALSE)</f>
        <v>#NAME?</v>
      </c>
    </row>
    <row r="42" spans="1:5" x14ac:dyDescent="0.35">
      <c r="A42" s="2"/>
      <c r="B42" s="2" t="s">
        <v>7</v>
      </c>
      <c r="C42" s="2" t="s">
        <v>12</v>
      </c>
      <c r="D42" s="2" t="e">
        <f ca="1"/>
        <v>#NAME?</v>
      </c>
      <c r="E42" s="2" t="e">
        <f ca="1"/>
        <v>#NAME?</v>
      </c>
    </row>
    <row r="43" spans="1:5" x14ac:dyDescent="0.35">
      <c r="A43" s="2"/>
      <c r="B43" s="2" t="s">
        <v>8</v>
      </c>
      <c r="C43" s="2" t="s">
        <v>13</v>
      </c>
      <c r="D43" s="2" t="e">
        <f ca="1"/>
        <v>#NAME?</v>
      </c>
      <c r="E43" s="2" t="e">
        <f ca="1"/>
        <v>#NAME?</v>
      </c>
    </row>
    <row r="44" spans="1:5" x14ac:dyDescent="0.35">
      <c r="A44" s="2"/>
      <c r="B44" s="2" t="s">
        <v>9</v>
      </c>
      <c r="C44" s="2" t="s">
        <v>14</v>
      </c>
      <c r="D44" s="2">
        <v>6171</v>
      </c>
      <c r="E44" s="2">
        <v>8356</v>
      </c>
    </row>
    <row r="45" spans="1:5" x14ac:dyDescent="0.35">
      <c r="A45" s="2"/>
      <c r="B45" s="2" t="s">
        <v>10</v>
      </c>
      <c r="C45" s="2" t="s">
        <v>15</v>
      </c>
      <c r="D45" s="2">
        <v>313.01242065429688</v>
      </c>
      <c r="E45" s="2">
        <v>407.69964599609375</v>
      </c>
    </row>
    <row r="46" spans="1:5" x14ac:dyDescent="0.35">
      <c r="A46" s="2"/>
      <c r="B46" s="2" t="s">
        <v>29</v>
      </c>
      <c r="C46" s="2" t="s">
        <v>30</v>
      </c>
      <c r="D46" s="2" t="e">
        <f ca="1">D42-459.67</f>
        <v>#NAME?</v>
      </c>
      <c r="E46" s="2" t="e">
        <f ca="1">E42-459.67</f>
        <v>#NAME?</v>
      </c>
    </row>
    <row r="47" spans="1:5" x14ac:dyDescent="0.35">
      <c r="A47" s="2"/>
      <c r="B47" s="2" t="s">
        <v>31</v>
      </c>
      <c r="C47" s="2" t="s">
        <v>32</v>
      </c>
      <c r="D47" s="2" t="e">
        <f ca="1">D43/62.428</f>
        <v>#NAME?</v>
      </c>
      <c r="E47" s="2" t="e">
        <f ca="1">E43/62.428</f>
        <v>#NAME?</v>
      </c>
    </row>
    <row r="48" spans="1:5" x14ac:dyDescent="0.35">
      <c r="B48" s="2" t="s">
        <v>50</v>
      </c>
      <c r="C48" s="2" t="s">
        <v>32</v>
      </c>
      <c r="D48" s="2">
        <v>0.65700000000000003</v>
      </c>
      <c r="E48" s="2">
        <v>7.0000000000000007E-2</v>
      </c>
    </row>
    <row r="49" spans="1:15" x14ac:dyDescent="0.35">
      <c r="B49" s="2" t="s">
        <v>49</v>
      </c>
      <c r="C49" s="2" t="s">
        <v>32</v>
      </c>
      <c r="D49" s="2" t="e">
        <f ca="1">(1+D19)/((D19/0.00143)+(1/D26))</f>
        <v>#NAME?</v>
      </c>
      <c r="E49" s="2" t="e">
        <f ca="1">(1+E19)/((E19/0.00143)+(1/E26))</f>
        <v>#NAME?</v>
      </c>
    </row>
    <row r="54" spans="1:15" x14ac:dyDescent="0.35">
      <c r="A54" t="s">
        <v>0</v>
      </c>
      <c r="B54">
        <v>1000</v>
      </c>
      <c r="C54" t="s">
        <v>1</v>
      </c>
    </row>
    <row r="55" spans="1:15" x14ac:dyDescent="0.35">
      <c r="A55" t="s">
        <v>35</v>
      </c>
      <c r="B55">
        <v>40</v>
      </c>
    </row>
    <row r="56" spans="1:15" x14ac:dyDescent="0.35">
      <c r="B56" s="1"/>
      <c r="C56" t="s">
        <v>5</v>
      </c>
      <c r="D56">
        <v>4.83</v>
      </c>
      <c r="E56">
        <v>0.91</v>
      </c>
      <c r="F56">
        <v>3.45</v>
      </c>
      <c r="G56">
        <v>3.1</v>
      </c>
      <c r="H56">
        <v>2.59</v>
      </c>
      <c r="I56">
        <v>2.77</v>
      </c>
      <c r="J56">
        <v>0.98</v>
      </c>
      <c r="K56">
        <v>2.16</v>
      </c>
      <c r="L56">
        <v>2.06</v>
      </c>
      <c r="M56">
        <v>3.63</v>
      </c>
      <c r="N56">
        <v>1.4</v>
      </c>
      <c r="O56">
        <v>1.9</v>
      </c>
    </row>
    <row r="57" spans="1:15" x14ac:dyDescent="0.35">
      <c r="B57" s="1"/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</row>
    <row r="58" spans="1:15" x14ac:dyDescent="0.35">
      <c r="A58" t="s">
        <v>23</v>
      </c>
      <c r="B58" s="1" t="s">
        <v>6</v>
      </c>
      <c r="C58" t="s">
        <v>11</v>
      </c>
      <c r="D58" t="e">
        <f t="array" aca="1" ref="D58:D62" ca="1">[1]!CEQUEL("ROCKET","AR",'SP06A-CequelData'!$B$54,1,'SP06A-CequelData'!$B$55,"Mass",2,"O2 (L)",100,"H2 (L)",100,"OF",'SP06A-CequelData'!$D$56,5,0,"OF","T","RHO","CSTAR","ISPV",FALSE,FALSE)</f>
        <v>#NAME?</v>
      </c>
      <c r="E58" t="e">
        <f t="array" aca="1" ref="E58:E62" ca="1">[1]!CEQUEL("ROCKET","AR",'SP06A-CequelData'!$B$54,1,'SP06A-CequelData'!$B$55,"Mass",3,"O2 (L)",100,"H2 (L)",49,"BE",51,"OF",'SP06A-CequelData'!$E$56,5,0,"OF","T","RHO","CSTAR","ISPV",FALSE,FALSE)</f>
        <v>#NAME?</v>
      </c>
      <c r="F58" t="e">
        <f t="array" aca="1" ref="F58:F62" ca="1">[1]!CEQUEL("ROCKET","AR",'SP06A-CequelData'!$B$54,1,'SP06A-CequelData'!$B$55,"Mass",2,"O2 (L)",100,"CH4 (L)",100,"OF",'SP06A-CequelData'!$F$56,5,0,"OF","T","RHO","CSTAR","ISPV",FALSE,FALSE)</f>
        <v>#NAME?</v>
      </c>
      <c r="G58" t="e">
        <f t="array" aca="1" ref="G58:G62" ca="1">[1]!CEQUEL("ROCKET","AR",'SP06A-CequelData'!$B$54,1,'SP06A-CequelData'!$B$55,"Mass",2,"O2 (L)",100,"C2H6",100,"OF",'SP06A-CequelData'!$G$56,5,0,"OF","T","RHO","CSTAR","ISPV",FALSE,FALSE)</f>
        <v>#NAME?</v>
      </c>
      <c r="H58" t="e">
        <f t="array" aca="1" ref="H58:H62" ca="1">[1]!CEQUEL("ROCKET","AR",'SP06A-CequelData'!$B$54,1,'SP06A-CequelData'!$B$55,"Mass",2,"O2 (L)",100,"C2H4 (L)",100,"OF",'SP06A-CequelData'!$H$56,5,0,"OF","T","RHO","CSTAR","ISPV",FALSE,FALSE)</f>
        <v>#NAME?</v>
      </c>
      <c r="I58" t="e">
        <f t="array" aca="1" ref="I58:I62" ca="1">[1]!CEQUEL("ROCKET","AR",'SP06A-CequelData'!$B$54,1,'SP06A-CequelData'!$B$55,"Mass",2,"O2 (L)",100,"RP-1",100,"OF",'SP06A-CequelData'!$I$56,5,0,"OF","T","RHO","CSTAR","ISPV",FALSE,FALSE)</f>
        <v>#NAME?</v>
      </c>
      <c r="J58" t="e">
        <f t="array" aca="1" ref="J58:J62" ca="1">[1]!CEQUEL("ROCKET","AR",'SP06A-CequelData'!$B$54,1,'SP06A-CequelData'!$B$55,"Mass",2,"O2 (L)",100,"N2H4 (L)",100,"OF",'SP06A-CequelData'!$J$56,5,0,"OF","T","RHO","CSTAR","ISPV",FALSE,FALSE)</f>
        <v>#NAME?</v>
      </c>
      <c r="K58" t="e">
        <f t="array" aca="1" ref="K58:K62" ca="1">[1]!CEQUEL("ROCKET","AR",'SP06A-CequelData'!$B$54,1,'SP06A-CequelData'!$B$55,"Mass",2,"O2 (L)",100,"B5H9 (L)",100,"OF",'SP06A-CequelData'!$K$56,5,0,"OF","T","RHO","CSTAR","ISPV",FALSE,FALSE)</f>
        <v>#NAME?</v>
      </c>
      <c r="L58" t="e">
        <f t="array" aca="1" ref="L58:L62" ca="1">[1]!CEQUEL("ROCKET","AR",'SP06A-CequelData'!$B$54,1,'SP06A-CequelData'!$B$55,"Mass",2,"O2 (L)",100,"B2H6 (L)",100,"OF",'SP06A-CequelData'!$L$56,5,0,"OF","T","RHO","CSTAR","ISPV",FALSE,FALSE)</f>
        <v>#NAME?</v>
      </c>
      <c r="M58" t="e">
        <f t="array" aca="1" ref="M58:M62" ca="1">[1]!CEQUEL("ROCKET","AR",'SP06A-CequelData'!$B$54,1,'SP06A-CequelData'!$B$55,"Mass",3,"O2 (L)",100,"CH4 (L)",92.6,"H2 (L)",7.4,"OF",'SP06A-CequelData'!$M$56,5,0,"OF","T","RHO","CSTAR","ISPV",FALSE,FALSE)</f>
        <v>#NAME?</v>
      </c>
      <c r="N58" t="e">
        <f t="array" aca="1" ref="N58:N62" ca="1">[1]!CEQUEL("ROCKET","AR",'SP06A-CequelData'!$B$54,1,'SP06A-CequelData'!$B$55,"Mass",2,"O2 (L)",100,"CH3OH (L)",100,"OF",'SP06A-CequelData'!$N$56,5,0,"OF","T","RHO","CSTAR","ISPV",FALSE,FALSE)</f>
        <v>#NAME?</v>
      </c>
      <c r="O58" t="e">
        <f t="array" aca="1" ref="O58:O62" ca="1">[1]!CEQUEL("ROCKET","AR",'SP06A-CequelData'!$B$54,1,'SP06A-CequelData'!$B$55,"Mass",2,"O2 (L)",100,"C2H5OH (L)",100,"OF",'SP06A-CequelData'!$O$56,5,0,"OF","T","RHO","CSTAR","ISPV",FALSE,FALSE)</f>
        <v>#NAME?</v>
      </c>
    </row>
    <row r="59" spans="1:15" x14ac:dyDescent="0.35">
      <c r="B59" s="1" t="s">
        <v>7</v>
      </c>
      <c r="C59" t="s">
        <v>12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</row>
    <row r="60" spans="1:15" x14ac:dyDescent="0.35">
      <c r="B60" s="1" t="s">
        <v>8</v>
      </c>
      <c r="C60" t="s">
        <v>13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</row>
    <row r="61" spans="1:15" x14ac:dyDescent="0.35">
      <c r="B61" s="1" t="s">
        <v>9</v>
      </c>
      <c r="C61" t="s">
        <v>14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</row>
    <row r="62" spans="1:15" x14ac:dyDescent="0.35">
      <c r="B62" s="1" t="s">
        <v>36</v>
      </c>
      <c r="C62" t="s">
        <v>15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</row>
    <row r="63" spans="1:15" x14ac:dyDescent="0.35">
      <c r="B63" t="s">
        <v>29</v>
      </c>
      <c r="C63" t="s">
        <v>30</v>
      </c>
      <c r="D63" t="e">
        <f ca="1">D59-459.67</f>
        <v>#NAME?</v>
      </c>
      <c r="E63" t="e">
        <f ca="1">E59-459.67</f>
        <v>#NAME?</v>
      </c>
      <c r="F63" t="e">
        <f ca="1">F59-459.67</f>
        <v>#NAME?</v>
      </c>
      <c r="G63" t="e">
        <f ca="1">G59-459.67</f>
        <v>#NAME?</v>
      </c>
      <c r="H63" t="e">
        <f t="shared" ref="H63:M63" ca="1" si="5">H59-459.67</f>
        <v>#NAME?</v>
      </c>
      <c r="I63" t="e">
        <f ca="1">I59-459.67</f>
        <v>#NAME?</v>
      </c>
      <c r="J63" t="e">
        <f ca="1">J59-459.67</f>
        <v>#NAME?</v>
      </c>
      <c r="K63" t="e">
        <f ca="1">K59-459.67</f>
        <v>#NAME?</v>
      </c>
      <c r="L63" t="e">
        <f ca="1">L59-459.67</f>
        <v>#NAME?</v>
      </c>
      <c r="M63" t="e">
        <f t="shared" ca="1" si="5"/>
        <v>#NAME?</v>
      </c>
      <c r="N63" t="e">
        <f ca="1">N59-459.67</f>
        <v>#NAME?</v>
      </c>
      <c r="O63" t="e">
        <f ca="1">O59-459.67</f>
        <v>#NAME?</v>
      </c>
    </row>
    <row r="64" spans="1:15" x14ac:dyDescent="0.35">
      <c r="B64" t="s">
        <v>31</v>
      </c>
      <c r="C64" t="s">
        <v>32</v>
      </c>
      <c r="D64" t="e">
        <f ca="1">D60/62.428</f>
        <v>#NAME?</v>
      </c>
      <c r="E64" t="e">
        <f t="shared" ref="E64:O64" ca="1" si="6">E60/62.428</f>
        <v>#NAME?</v>
      </c>
      <c r="F64" t="e">
        <f t="shared" ca="1" si="6"/>
        <v>#NAME?</v>
      </c>
      <c r="G64" t="e">
        <f t="shared" ca="1" si="6"/>
        <v>#NAME?</v>
      </c>
      <c r="H64" t="e">
        <f t="shared" ca="1" si="6"/>
        <v>#NAME?</v>
      </c>
      <c r="I64" t="e">
        <f t="shared" ca="1" si="6"/>
        <v>#NAME?</v>
      </c>
      <c r="J64" t="e">
        <f t="shared" ca="1" si="6"/>
        <v>#NAME?</v>
      </c>
      <c r="K64" t="e">
        <f t="shared" ca="1" si="6"/>
        <v>#NAME?</v>
      </c>
      <c r="L64" t="e">
        <f t="shared" ca="1" si="6"/>
        <v>#NAME?</v>
      </c>
      <c r="M64" t="e">
        <f t="shared" ca="1" si="6"/>
        <v>#NAME?</v>
      </c>
      <c r="N64" t="e">
        <f t="shared" ca="1" si="6"/>
        <v>#NAME?</v>
      </c>
      <c r="O64" t="e">
        <f t="shared" ca="1" si="6"/>
        <v>#NAME?</v>
      </c>
    </row>
    <row r="66" spans="1:15" x14ac:dyDescent="0.35">
      <c r="C66" t="s">
        <v>5</v>
      </c>
      <c r="D66">
        <v>4.83</v>
      </c>
      <c r="E66">
        <v>0.91</v>
      </c>
      <c r="F66">
        <v>3.45</v>
      </c>
      <c r="G66">
        <v>3.1</v>
      </c>
      <c r="H66">
        <v>2.59</v>
      </c>
      <c r="I66">
        <v>2.77</v>
      </c>
      <c r="J66">
        <v>0.98</v>
      </c>
      <c r="K66">
        <v>2.16</v>
      </c>
      <c r="L66">
        <v>2.06</v>
      </c>
      <c r="M66">
        <v>3.63</v>
      </c>
      <c r="N66">
        <v>1.4</v>
      </c>
      <c r="O66">
        <v>1.9</v>
      </c>
    </row>
    <row r="67" spans="1:15" x14ac:dyDescent="0.35">
      <c r="A67" s="2"/>
      <c r="B67" s="2"/>
      <c r="C67" s="2"/>
      <c r="D67" s="2" t="s">
        <v>16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24</v>
      </c>
      <c r="L67" s="2" t="s">
        <v>25</v>
      </c>
      <c r="M67" s="2" t="s">
        <v>26</v>
      </c>
      <c r="N67" s="2" t="s">
        <v>27</v>
      </c>
      <c r="O67" s="2" t="s">
        <v>28</v>
      </c>
    </row>
    <row r="68" spans="1:15" x14ac:dyDescent="0.35">
      <c r="A68" s="2" t="s">
        <v>23</v>
      </c>
      <c r="B68" s="2" t="s">
        <v>6</v>
      </c>
      <c r="C68" s="2" t="s">
        <v>11</v>
      </c>
      <c r="D68" s="2" t="e">
        <f t="array" aca="1" ref="D68:D69" ca="1">[1]!CEQUEL("ROCKET","AR",'SP06A-CequelData'!$B$54,1,1,"Mass",2,"O2 (L)",100,"H2 (L)",100,"OF",'SP06A-CequelData'!$D$56,2,0,"OF","T",FALSE,FALSE)</f>
        <v>#NAME?</v>
      </c>
      <c r="E68" s="2" t="e">
        <f t="array" aca="1" ref="E68:E69" ca="1">[1]!CEQUEL("ROCKET","AR",'SP06A-CequelData'!$B$54,1,1,"Mass",3,"O2 (L)",100,"H2 (L)",49,"BE",51,"OF",'SP06A-CequelData'!$E$56,2,0,"OF","T",FALSE,FALSE)</f>
        <v>#NAME?</v>
      </c>
      <c r="F68" s="2" t="e">
        <f t="array" aca="1" ref="F68:F69" ca="1">[1]!CEQUEL("ROCKET","AR",'SP06A-CequelData'!$B$54,1,1,"Mass",2,"O2 (L)",100,"CH4 (L)",100,"OF",'SP06A-CequelData'!$F$56,2,0,"OF","T",FALSE,FALSE)</f>
        <v>#NAME?</v>
      </c>
      <c r="G68" s="2" t="e">
        <f t="array" aca="1" ref="G68:G69" ca="1">[1]!CEQUEL("ROCKET","AR",'SP06A-CequelData'!$B$54,1,1,"Mass",2,"O2 (L)",100,"C2H6",100,"OF",'SP06A-CequelData'!$G$56,2,0,"OF","T",FALSE,FALSE)</f>
        <v>#NAME?</v>
      </c>
      <c r="H68" s="2" t="e">
        <f t="array" aca="1" ref="H68:H69" ca="1">[1]!CEQUEL("ROCKET","AR",'SP06A-CequelData'!$B$54,1,1,"Mass",2,"O2 (L)",100,"C2H4 (L)",100,"OF",'SP06A-CequelData'!$H$56,2,0,"OF","T",FALSE,FALSE)</f>
        <v>#NAME?</v>
      </c>
      <c r="I68" s="2" t="e">
        <f t="array" aca="1" ref="I68:I69" ca="1">[1]!CEQUEL("ROCKET","AR",'SP06A-CequelData'!$B$54,1,1,"Mass",2,"O2 (L)",100,"RP-1",100,"OF",'SP06A-CequelData'!$I$56,2,0,"OF","T",FALSE,FALSE)</f>
        <v>#NAME?</v>
      </c>
      <c r="J68" s="2" t="e">
        <f t="array" aca="1" ref="J68:J69" ca="1">[1]!CEQUEL("ROCKET","AR",'SP06A-CequelData'!$B$54,1,1,"Mass",2,"O2 (L)",100,"N2H4 (L)",100,"OF",'SP06A-CequelData'!$J$56,2,0,"OF","T",FALSE,FALSE)</f>
        <v>#NAME?</v>
      </c>
      <c r="K68" s="2" t="e">
        <f t="array" aca="1" ref="K68:K69" ca="1">[1]!CEQUEL("ROCKET","AR",'SP06A-CequelData'!$B$54,1,1,"Mass",2,"O2 (L)",100,"B5H9 (L)",100,"OF",'SP06A-CequelData'!$K$56,2,0,"OF","T",FALSE,FALSE)</f>
        <v>#NAME?</v>
      </c>
      <c r="L68" s="2" t="e">
        <f t="array" aca="1" ref="L68:L69" ca="1">[1]!CEQUEL("ROCKET","AR",'SP06A-CequelData'!$B$54,1,1,"Mass",2,"O2 (L)",100,"B2H6 (L)",100,"OF",'SP06A-CequelData'!$L$56,2,0,"OF","T",FALSE,FALSE)</f>
        <v>#NAME?</v>
      </c>
      <c r="M68" s="2" t="e">
        <f t="array" aca="1" ref="M68:M69" ca="1">[1]!CEQUEL("ROCKET","AR",'SP06A-CequelData'!$B$54,1,1,"Mass",3,"O2 (L)",100,"CH4 (L)",92.6,"H2 (L)",7.4,"OF",'SP06A-CequelData'!$M$56,2,0,"OF","T",FALSE,FALSE)</f>
        <v>#NAME?</v>
      </c>
      <c r="N68" s="2" t="e">
        <f t="array" aca="1" ref="N68:N69" ca="1">[1]!CEQUEL("ROCKET","AR",'SP06A-CequelData'!$B$54,1,1,"Mass",2,"O2 (L)",100,"CH3OH (L)",100,"OF",'SP06A-CequelData'!$N$56,2,0,"OF","T",FALSE,FALSE)</f>
        <v>#NAME?</v>
      </c>
      <c r="O68" s="2" t="e">
        <f t="array" aca="1" ref="O68:O69" ca="1">[1]!CEQUEL("ROCKET","AR",'SP06A-CequelData'!$B$54,1,1,"Mass",2,"O2 (L)",100,"C2H5OH (L)",100,"OF",'SP06A-CequelData'!$O$56,2,0,"OF","T",FALSE,FALSE)</f>
        <v>#NAME?</v>
      </c>
    </row>
    <row r="69" spans="1:15" x14ac:dyDescent="0.35">
      <c r="A69" s="2"/>
      <c r="B69" s="2" t="s">
        <v>7</v>
      </c>
      <c r="C69" s="2" t="s">
        <v>12</v>
      </c>
      <c r="D69" s="2" t="e">
        <f ca="1"/>
        <v>#NAME?</v>
      </c>
      <c r="E69" s="2" t="e">
        <f ca="1"/>
        <v>#NAME?</v>
      </c>
      <c r="F69" s="2" t="e">
        <f ca="1"/>
        <v>#NAME?</v>
      </c>
      <c r="G69" s="2" t="e">
        <f ca="1"/>
        <v>#NAME?</v>
      </c>
      <c r="H69" s="2" t="e">
        <f ca="1"/>
        <v>#NAME?</v>
      </c>
      <c r="I69" s="2" t="e">
        <f ca="1"/>
        <v>#NAME?</v>
      </c>
      <c r="J69" s="2" t="e">
        <f ca="1"/>
        <v>#NAME?</v>
      </c>
      <c r="K69" s="2" t="e">
        <f ca="1"/>
        <v>#NAME?</v>
      </c>
      <c r="L69" s="2" t="e">
        <f ca="1"/>
        <v>#NAME?</v>
      </c>
      <c r="M69" s="2" t="e">
        <f ca="1"/>
        <v>#NAME?</v>
      </c>
      <c r="N69" s="2" t="e">
        <f ca="1"/>
        <v>#NAME?</v>
      </c>
      <c r="O69" s="2" t="e">
        <f ca="1"/>
        <v>#NAME?</v>
      </c>
    </row>
    <row r="70" spans="1:15" x14ac:dyDescent="0.35">
      <c r="A70" s="2"/>
      <c r="B70" s="2" t="s">
        <v>8</v>
      </c>
      <c r="C70" s="2" t="s">
        <v>13</v>
      </c>
      <c r="D70" s="2">
        <v>0.10949531942605972</v>
      </c>
      <c r="E70" s="2">
        <v>8.1750743091106415E-2</v>
      </c>
      <c r="F70" s="2">
        <v>0.19137659668922424</v>
      </c>
      <c r="G70" s="2">
        <v>0.1945456862449646</v>
      </c>
      <c r="H70" s="2">
        <v>0.18694967031478882</v>
      </c>
      <c r="I70" s="2">
        <v>0.20394086837768555</v>
      </c>
      <c r="J70" s="2">
        <v>0.18394197523593903</v>
      </c>
      <c r="K70" s="2">
        <v>0.18566252291202545</v>
      </c>
      <c r="L70" s="2">
        <v>0.15956887602806091</v>
      </c>
      <c r="M70" s="2">
        <v>0.1788402795791626</v>
      </c>
      <c r="N70" s="2">
        <v>0.23039835691452026</v>
      </c>
      <c r="O70" s="2">
        <v>0.22203406691551208</v>
      </c>
    </row>
    <row r="71" spans="1:15" x14ac:dyDescent="0.35">
      <c r="A71" s="2"/>
      <c r="B71" s="2" t="s">
        <v>9</v>
      </c>
      <c r="C71" s="2" t="s">
        <v>14</v>
      </c>
      <c r="D71" s="2">
        <v>7917</v>
      </c>
      <c r="E71" s="2">
        <v>9207</v>
      </c>
      <c r="F71" s="2">
        <v>6083</v>
      </c>
      <c r="G71" s="2">
        <v>6030</v>
      </c>
      <c r="H71" s="2">
        <v>6140</v>
      </c>
      <c r="I71" s="2">
        <v>5888</v>
      </c>
      <c r="J71" s="2">
        <v>6189</v>
      </c>
      <c r="K71" s="2">
        <v>6188</v>
      </c>
      <c r="L71" s="2">
        <v>6661</v>
      </c>
      <c r="M71" s="2">
        <v>6287</v>
      </c>
      <c r="N71" s="2">
        <v>5556</v>
      </c>
      <c r="O71" s="2">
        <v>5658</v>
      </c>
    </row>
    <row r="72" spans="1:15" x14ac:dyDescent="0.35">
      <c r="A72" s="2"/>
      <c r="B72" s="2" t="s">
        <v>36</v>
      </c>
      <c r="C72" s="2" t="s">
        <v>15</v>
      </c>
      <c r="D72" s="2">
        <v>454.14776611328125</v>
      </c>
      <c r="E72" s="2">
        <v>535.31353759765625</v>
      </c>
      <c r="F72" s="2">
        <v>367.77413940429688</v>
      </c>
      <c r="G72" s="2">
        <v>364.53048706054688</v>
      </c>
      <c r="H72" s="2">
        <v>352.05599975585938</v>
      </c>
      <c r="I72" s="2">
        <v>356.79763793945313</v>
      </c>
      <c r="J72" s="2">
        <v>369.49176025390625</v>
      </c>
      <c r="K72" s="2">
        <v>382.47921752929688</v>
      </c>
      <c r="L72" s="2">
        <v>385.02655029296875</v>
      </c>
      <c r="M72" s="2">
        <v>360.2095947265625</v>
      </c>
      <c r="N72" s="2">
        <v>338.73760986328125</v>
      </c>
      <c r="O72" s="2">
        <v>345.62289428710938</v>
      </c>
    </row>
    <row r="73" spans="1:15" x14ac:dyDescent="0.35">
      <c r="A73" s="2"/>
      <c r="B73" s="2" t="s">
        <v>29</v>
      </c>
      <c r="C73" s="2" t="s">
        <v>30</v>
      </c>
      <c r="D73" s="2" t="e">
        <f ca="1">D69-459.67</f>
        <v>#NAME?</v>
      </c>
      <c r="E73" s="2" t="e">
        <f t="shared" ref="E73:O73" ca="1" si="7">E69-459.67</f>
        <v>#NAME?</v>
      </c>
      <c r="F73" s="2" t="e">
        <f t="shared" ca="1" si="7"/>
        <v>#NAME?</v>
      </c>
      <c r="G73" s="2" t="e">
        <f t="shared" ca="1" si="7"/>
        <v>#NAME?</v>
      </c>
      <c r="H73" s="2" t="e">
        <f t="shared" ca="1" si="7"/>
        <v>#NAME?</v>
      </c>
      <c r="I73" s="2" t="e">
        <f t="shared" ca="1" si="7"/>
        <v>#NAME?</v>
      </c>
      <c r="J73" s="2" t="e">
        <f t="shared" ca="1" si="7"/>
        <v>#NAME?</v>
      </c>
      <c r="K73" s="2" t="e">
        <f t="shared" ca="1" si="7"/>
        <v>#NAME?</v>
      </c>
      <c r="L73" s="2" t="e">
        <f t="shared" ca="1" si="7"/>
        <v>#NAME?</v>
      </c>
      <c r="M73" s="2" t="e">
        <f t="shared" ca="1" si="7"/>
        <v>#NAME?</v>
      </c>
      <c r="N73" s="2" t="e">
        <f t="shared" ca="1" si="7"/>
        <v>#NAME?</v>
      </c>
      <c r="O73" s="2" t="e">
        <f t="shared" ca="1" si="7"/>
        <v>#NAME?</v>
      </c>
    </row>
    <row r="74" spans="1:15" x14ac:dyDescent="0.35">
      <c r="A74" s="2"/>
      <c r="B74" s="2" t="s">
        <v>31</v>
      </c>
      <c r="C74" s="2" t="s">
        <v>32</v>
      </c>
      <c r="D74" s="2">
        <v>1.6631193425855564E-5</v>
      </c>
      <c r="E74" s="2">
        <v>1.2202210287663934E-5</v>
      </c>
      <c r="F74" s="2">
        <v>2.7104499681513279E-5</v>
      </c>
      <c r="G74" s="2">
        <v>2.7581545532474401E-5</v>
      </c>
      <c r="H74" s="2">
        <v>2.6679628884845031E-5</v>
      </c>
      <c r="I74" s="2">
        <v>2.887829861441306E-5</v>
      </c>
      <c r="J74" s="2">
        <v>2.6387443732342096E-5</v>
      </c>
      <c r="K74" s="2">
        <v>2.591694517097754E-5</v>
      </c>
      <c r="L74" s="2">
        <v>2.2484675452457828E-5</v>
      </c>
      <c r="M74" s="2">
        <v>2.5463791052944696E-5</v>
      </c>
      <c r="N74" s="2">
        <v>3.2291306881994886E-5</v>
      </c>
      <c r="O74" s="2">
        <v>3.1106527184025279E-5</v>
      </c>
    </row>
    <row r="75" spans="1:15" x14ac:dyDescent="0.35">
      <c r="A75" s="2"/>
      <c r="B75" s="2" t="s">
        <v>50</v>
      </c>
      <c r="C75" s="2" t="s">
        <v>32</v>
      </c>
      <c r="D75" s="2">
        <v>7.0994639299999995E-2</v>
      </c>
      <c r="E75" s="2">
        <v>0.65</v>
      </c>
      <c r="F75" s="2">
        <v>0.65700000000000003</v>
      </c>
      <c r="G75" s="2">
        <v>0.58520000000000005</v>
      </c>
      <c r="H75" s="2">
        <v>0.59399999999999997</v>
      </c>
      <c r="I75" s="2">
        <v>0.81</v>
      </c>
      <c r="J75" s="2">
        <v>1</v>
      </c>
      <c r="K75" s="2">
        <v>0.61799999999999999</v>
      </c>
      <c r="L75" s="2">
        <v>0.44700000000000001</v>
      </c>
      <c r="M75" s="2">
        <v>0.33045901654100002</v>
      </c>
      <c r="N75" s="2">
        <v>0.79200000000000004</v>
      </c>
      <c r="O75" s="2">
        <v>0.78900000000000003</v>
      </c>
    </row>
    <row r="76" spans="1:15" x14ac:dyDescent="0.35">
      <c r="A76" s="2"/>
      <c r="B76" s="2" t="s">
        <v>49</v>
      </c>
      <c r="C76" s="2" t="s">
        <v>32</v>
      </c>
      <c r="D76" s="2">
        <v>0.31825403239871036</v>
      </c>
      <c r="E76" s="2">
        <v>0.81763434661609891</v>
      </c>
      <c r="F76" s="2">
        <v>0.97893993076667218</v>
      </c>
      <c r="G76" s="2">
        <v>0.92640031809990864</v>
      </c>
      <c r="H76" s="2">
        <v>0.90806985292723996</v>
      </c>
      <c r="I76" s="2">
        <v>1.0294181753999214</v>
      </c>
      <c r="J76" s="2">
        <v>1.0651485155335938</v>
      </c>
      <c r="K76" s="2">
        <v>0.8999774192548301</v>
      </c>
      <c r="L76" s="2">
        <v>0.75694416106973184</v>
      </c>
      <c r="M76" s="2">
        <v>0.74587029364412727</v>
      </c>
      <c r="N76" s="2">
        <v>0.96400248762458884</v>
      </c>
      <c r="O76" s="2">
        <v>0.98887242799071773</v>
      </c>
    </row>
    <row r="78" spans="1:15" x14ac:dyDescent="0.35">
      <c r="D78">
        <v>3.4</v>
      </c>
      <c r="E78">
        <v>3.92</v>
      </c>
    </row>
    <row r="79" spans="1:15" x14ac:dyDescent="0.35">
      <c r="A79" t="s">
        <v>33</v>
      </c>
      <c r="D79" t="s">
        <v>18</v>
      </c>
      <c r="E79" t="s">
        <v>34</v>
      </c>
    </row>
    <row r="80" spans="1:15" x14ac:dyDescent="0.35">
      <c r="B80" s="1" t="s">
        <v>6</v>
      </c>
      <c r="C80" t="s">
        <v>11</v>
      </c>
      <c r="D80" t="e">
        <f t="array" aca="1" ref="D80:D84" ca="1">[1]!CEQUEL("ROCKET","AR",'SP06A-CequelData'!$B$54,1,'SP06A-CequelData'!$B$55,"Mass",2,"O2 (G)",100,"CH4 (L)",100,"OF",'SP06A-CequelData'!$D$78,5,0,"OF","T","RHO","CSTAR","ISPV",FALSE,FALSE)</f>
        <v>#NAME?</v>
      </c>
      <c r="E80" t="e">
        <f t="array" aca="1" ref="E80:E84" ca="1">[1]!CEQUEL("ROCKET","AR",'SP06A-CequelData'!$B$54,1,'SP06A-CequelData'!$B$55,"Mass",2,"O2 (G)",100,"H2 (G)",100,"OF",'SP06A-CequelData'!$E$78,5,0,"OF","T","RHO","CSTAR","ISPV",FALSE,FALSE)</f>
        <v>#NAME?</v>
      </c>
    </row>
    <row r="81" spans="1:5" x14ac:dyDescent="0.35">
      <c r="B81" s="1" t="s">
        <v>7</v>
      </c>
      <c r="C81" t="s">
        <v>12</v>
      </c>
      <c r="D81" t="e">
        <f ca="1"/>
        <v>#NAME?</v>
      </c>
      <c r="E81" t="e">
        <f ca="1"/>
        <v>#NAME?</v>
      </c>
    </row>
    <row r="82" spans="1:5" x14ac:dyDescent="0.35">
      <c r="B82" s="1" t="s">
        <v>8</v>
      </c>
      <c r="C82" t="s">
        <v>13</v>
      </c>
      <c r="D82" t="e">
        <f ca="1"/>
        <v>#NAME?</v>
      </c>
      <c r="E82" t="e">
        <f ca="1"/>
        <v>#NAME?</v>
      </c>
    </row>
    <row r="83" spans="1:5" x14ac:dyDescent="0.35">
      <c r="B83" s="1" t="s">
        <v>9</v>
      </c>
      <c r="C83" t="s">
        <v>14</v>
      </c>
      <c r="D83" t="e">
        <f ca="1"/>
        <v>#NAME?</v>
      </c>
      <c r="E83" t="e">
        <f ca="1"/>
        <v>#NAME?</v>
      </c>
    </row>
    <row r="84" spans="1:5" x14ac:dyDescent="0.35">
      <c r="B84" s="1" t="s">
        <v>36</v>
      </c>
      <c r="C84" t="s">
        <v>15</v>
      </c>
      <c r="D84" t="e">
        <f ca="1"/>
        <v>#NAME?</v>
      </c>
      <c r="E84" t="e">
        <f ca="1"/>
        <v>#NAME?</v>
      </c>
    </row>
    <row r="85" spans="1:5" x14ac:dyDescent="0.35">
      <c r="B85" t="s">
        <v>29</v>
      </c>
      <c r="C85" t="s">
        <v>30</v>
      </c>
      <c r="D85" t="e">
        <f ca="1">D81-459.67</f>
        <v>#NAME?</v>
      </c>
      <c r="E85" t="e">
        <f ca="1">E81-459.67</f>
        <v>#NAME?</v>
      </c>
    </row>
    <row r="86" spans="1:5" x14ac:dyDescent="0.35">
      <c r="B86" t="s">
        <v>31</v>
      </c>
      <c r="C86" t="s">
        <v>32</v>
      </c>
      <c r="D86" t="e">
        <f ca="1">D82/62.428</f>
        <v>#NAME?</v>
      </c>
      <c r="E86" t="e">
        <f ca="1">E82/62.428</f>
        <v>#NAME?</v>
      </c>
    </row>
    <row r="88" spans="1:5" x14ac:dyDescent="0.35">
      <c r="D88">
        <v>3.1</v>
      </c>
      <c r="E88">
        <v>3.29</v>
      </c>
    </row>
    <row r="89" spans="1:5" x14ac:dyDescent="0.35">
      <c r="A89" s="2" t="s">
        <v>33</v>
      </c>
      <c r="B89" s="2"/>
      <c r="C89" s="2"/>
      <c r="D89" s="2" t="s">
        <v>18</v>
      </c>
      <c r="E89" s="2" t="s">
        <v>34</v>
      </c>
    </row>
    <row r="90" spans="1:5" x14ac:dyDescent="0.35">
      <c r="A90" s="2"/>
      <c r="B90" s="2" t="s">
        <v>6</v>
      </c>
      <c r="C90" s="2" t="s">
        <v>11</v>
      </c>
      <c r="D90" s="2" t="e">
        <f t="array" aca="1" ref="D90:D91" ca="1">[1]!CEQUEL("ROCKET","AR",'SP06A-CequelData'!$B$54,1,1,"Mass",2,"O2 (G)",100,"CH4 (L)",100,"OF",'SP06A-CequelData'!$D$78,2,0,"OF","T",FALSE,FALSE)</f>
        <v>#NAME?</v>
      </c>
      <c r="E90" s="2" t="e">
        <f t="array" aca="1" ref="E90:E91" ca="1">[1]!CEQUEL("ROCKET","AR",1000,1,1,"Mass",2,"O2 (G)",100,"H2 (G)",100,"OF",'SP06A-CequelData'!$E$78,2,0,"OF","T",FALSE,FALSE)</f>
        <v>#NAME?</v>
      </c>
    </row>
    <row r="91" spans="1:5" x14ac:dyDescent="0.35">
      <c r="A91" s="2"/>
      <c r="B91" s="2" t="s">
        <v>7</v>
      </c>
      <c r="C91" s="2" t="s">
        <v>12</v>
      </c>
      <c r="D91" s="2" t="e">
        <f ca="1"/>
        <v>#NAME?</v>
      </c>
      <c r="E91" s="2" t="e">
        <f ca="1"/>
        <v>#NAME?</v>
      </c>
    </row>
    <row r="92" spans="1:5" x14ac:dyDescent="0.35">
      <c r="A92" s="2"/>
      <c r="B92" s="2" t="s">
        <v>8</v>
      </c>
      <c r="C92" s="2" t="s">
        <v>13</v>
      </c>
      <c r="D92" s="2">
        <v>0.18569210171699524</v>
      </c>
      <c r="E92" s="2">
        <v>9.7229376435279846E-2</v>
      </c>
    </row>
    <row r="93" spans="1:5" x14ac:dyDescent="0.35">
      <c r="A93" s="2"/>
      <c r="B93" s="2" t="s">
        <v>9</v>
      </c>
      <c r="C93" s="2" t="s">
        <v>14</v>
      </c>
      <c r="D93" s="2">
        <v>6171</v>
      </c>
      <c r="E93" s="2">
        <v>8356</v>
      </c>
    </row>
    <row r="94" spans="1:5" x14ac:dyDescent="0.35">
      <c r="A94" s="2"/>
      <c r="B94" s="2" t="s">
        <v>36</v>
      </c>
      <c r="C94" s="2" t="s">
        <v>15</v>
      </c>
      <c r="D94" s="2">
        <v>354.03872680664063</v>
      </c>
      <c r="E94" s="2">
        <v>473.42764282226563</v>
      </c>
    </row>
    <row r="95" spans="1:5" x14ac:dyDescent="0.35">
      <c r="A95" s="2"/>
      <c r="B95" s="2" t="s">
        <v>29</v>
      </c>
      <c r="C95" s="2" t="s">
        <v>30</v>
      </c>
      <c r="D95" s="2">
        <v>5592.3397656249999</v>
      </c>
      <c r="E95" s="2">
        <v>4178.6927929687499</v>
      </c>
    </row>
    <row r="96" spans="1:5" x14ac:dyDescent="0.35">
      <c r="A96" s="2"/>
      <c r="B96" s="2" t="s">
        <v>31</v>
      </c>
      <c r="C96" s="2" t="s">
        <v>32</v>
      </c>
      <c r="D96" s="2">
        <v>2.639607213136326E-5</v>
      </c>
      <c r="E96" s="2">
        <v>1.5068242952113975E-5</v>
      </c>
    </row>
    <row r="97" spans="2:5" x14ac:dyDescent="0.35">
      <c r="B97" s="2" t="s">
        <v>50</v>
      </c>
      <c r="C97" s="2" t="s">
        <v>32</v>
      </c>
      <c r="D97" s="2">
        <v>0.65700000000000003</v>
      </c>
      <c r="E97" s="2">
        <v>7.0000000000000007E-2</v>
      </c>
    </row>
    <row r="98" spans="2:5" x14ac:dyDescent="0.35">
      <c r="B98" s="2" t="s">
        <v>49</v>
      </c>
      <c r="C98" s="2" t="s">
        <v>32</v>
      </c>
      <c r="D98" s="2">
        <v>1.8494043001040768E-3</v>
      </c>
      <c r="E98" s="2">
        <v>1.7854910564531522E-3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5397-FFBB-47B4-AF64-F1D198255437}">
  <dimension ref="A1:O98"/>
  <sheetViews>
    <sheetView topLeftCell="A8" workbookViewId="0">
      <selection activeCell="F89" sqref="F89"/>
    </sheetView>
  </sheetViews>
  <sheetFormatPr defaultRowHeight="14.5" x14ac:dyDescent="0.35"/>
  <sheetData>
    <row r="1" spans="1:15" x14ac:dyDescent="0.35">
      <c r="A1" t="s">
        <v>0</v>
      </c>
      <c r="B1">
        <v>1000</v>
      </c>
      <c r="C1" t="s">
        <v>1</v>
      </c>
    </row>
    <row r="2" spans="1:15" x14ac:dyDescent="0.35">
      <c r="A2" t="s">
        <v>0</v>
      </c>
      <c r="B2">
        <v>68.947599999999994</v>
      </c>
      <c r="C2" t="s">
        <v>2</v>
      </c>
    </row>
    <row r="3" spans="1:15" x14ac:dyDescent="0.35">
      <c r="A3" t="s">
        <v>3</v>
      </c>
      <c r="B3">
        <v>14.7</v>
      </c>
      <c r="C3" t="s">
        <v>1</v>
      </c>
    </row>
    <row r="4" spans="1:15" x14ac:dyDescent="0.35">
      <c r="A4" t="s">
        <v>3</v>
      </c>
      <c r="B4">
        <v>1.0135289999999999</v>
      </c>
      <c r="C4" t="s">
        <v>2</v>
      </c>
    </row>
    <row r="5" spans="1:15" x14ac:dyDescent="0.35">
      <c r="A5" t="s">
        <v>4</v>
      </c>
      <c r="B5">
        <v>68.02721088435375</v>
      </c>
    </row>
    <row r="7" spans="1:15" x14ac:dyDescent="0.35">
      <c r="C7" t="s">
        <v>5</v>
      </c>
      <c r="D7">
        <v>4.13</v>
      </c>
      <c r="E7">
        <v>0.87</v>
      </c>
      <c r="F7">
        <v>3.21</v>
      </c>
      <c r="G7">
        <v>2.89</v>
      </c>
      <c r="H7">
        <v>2.38</v>
      </c>
      <c r="I7">
        <v>2.58</v>
      </c>
      <c r="J7">
        <v>0.93</v>
      </c>
      <c r="K7">
        <v>2.12</v>
      </c>
      <c r="L7">
        <v>1.96</v>
      </c>
      <c r="M7">
        <v>3.36</v>
      </c>
      <c r="N7">
        <v>1.36</v>
      </c>
      <c r="O7">
        <v>1.8</v>
      </c>
    </row>
    <row r="8" spans="1:15" x14ac:dyDescent="0.35"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35">
      <c r="A9" t="s">
        <v>23</v>
      </c>
      <c r="B9" t="s">
        <v>6</v>
      </c>
      <c r="C9" t="s">
        <v>11</v>
      </c>
      <c r="D9">
        <v>4.130000114440918</v>
      </c>
      <c r="E9">
        <v>0.87000000476837158</v>
      </c>
      <c r="F9">
        <v>3.2100000381469727</v>
      </c>
      <c r="G9">
        <v>2.8900001049041748</v>
      </c>
      <c r="H9">
        <v>2.380000114440918</v>
      </c>
      <c r="I9">
        <v>2.5799999237060547</v>
      </c>
      <c r="J9">
        <v>0.93000000715255737</v>
      </c>
      <c r="K9">
        <v>2.119999885559082</v>
      </c>
      <c r="L9">
        <v>1.9600000381469727</v>
      </c>
      <c r="M9">
        <v>3.3599998950958252</v>
      </c>
      <c r="N9">
        <v>1.3600000143051147</v>
      </c>
      <c r="O9">
        <v>1.7999999523162842</v>
      </c>
    </row>
    <row r="10" spans="1:15" x14ac:dyDescent="0.35">
      <c r="B10" t="s">
        <v>7</v>
      </c>
      <c r="C10" t="s">
        <v>12</v>
      </c>
      <c r="D10">
        <v>2503.006103515625</v>
      </c>
      <c r="E10">
        <v>2691.711181640625</v>
      </c>
      <c r="F10">
        <v>3967.916748046875</v>
      </c>
      <c r="G10">
        <v>4049.22607421875</v>
      </c>
      <c r="H10">
        <v>4186.99658203125</v>
      </c>
      <c r="I10">
        <v>4221.98193359375</v>
      </c>
      <c r="J10">
        <v>3577.9736328125</v>
      </c>
      <c r="K10">
        <v>5232.04345703125</v>
      </c>
      <c r="L10">
        <v>4487.892578125</v>
      </c>
      <c r="M10">
        <v>3831.072509765625</v>
      </c>
      <c r="N10">
        <v>3839.69677734375</v>
      </c>
      <c r="O10">
        <v>4106.14453125</v>
      </c>
    </row>
    <row r="11" spans="1:15" x14ac:dyDescent="0.35">
      <c r="B11" t="s">
        <v>8</v>
      </c>
      <c r="C11" t="s">
        <v>13</v>
      </c>
      <c r="D11">
        <v>5.6594638153910637E-3</v>
      </c>
      <c r="E11">
        <v>3.9149527437984943E-3</v>
      </c>
      <c r="F11">
        <v>7.7582229860126972E-3</v>
      </c>
      <c r="G11">
        <v>7.8963981941342354E-3</v>
      </c>
      <c r="H11">
        <v>7.7312705107033253E-3</v>
      </c>
      <c r="I11">
        <v>8.1900916993618011E-3</v>
      </c>
      <c r="J11">
        <v>7.8891739249229431E-3</v>
      </c>
      <c r="K11">
        <v>6.8641896359622478E-3</v>
      </c>
      <c r="L11">
        <v>6.1658639460802078E-3</v>
      </c>
      <c r="M11">
        <v>7.4197612702846527E-3</v>
      </c>
      <c r="N11">
        <v>8.9780343696475029E-3</v>
      </c>
      <c r="O11">
        <v>8.5756182670593262E-3</v>
      </c>
    </row>
    <row r="12" spans="1:15" x14ac:dyDescent="0.35">
      <c r="B12" t="s">
        <v>9</v>
      </c>
      <c r="C12" t="s">
        <v>14</v>
      </c>
      <c r="D12">
        <v>7917</v>
      </c>
      <c r="E12">
        <v>9207</v>
      </c>
      <c r="F12">
        <v>6083</v>
      </c>
      <c r="G12">
        <v>6030</v>
      </c>
      <c r="H12">
        <v>6140</v>
      </c>
      <c r="I12">
        <v>5888</v>
      </c>
      <c r="J12">
        <v>6189</v>
      </c>
      <c r="K12">
        <v>6188</v>
      </c>
      <c r="L12">
        <v>6661</v>
      </c>
      <c r="M12">
        <v>6287</v>
      </c>
      <c r="N12">
        <v>5556</v>
      </c>
      <c r="O12">
        <v>5658</v>
      </c>
    </row>
    <row r="13" spans="1:15" x14ac:dyDescent="0.35">
      <c r="B13" t="s">
        <v>10</v>
      </c>
      <c r="C13" t="s">
        <v>15</v>
      </c>
      <c r="D13">
        <v>389.14453125</v>
      </c>
      <c r="E13">
        <v>454.86404418945313</v>
      </c>
      <c r="F13">
        <v>309.15103149414063</v>
      </c>
      <c r="G13">
        <v>306.432861328125</v>
      </c>
      <c r="H13">
        <v>311.20797729492188</v>
      </c>
      <c r="I13">
        <v>299.61029052734375</v>
      </c>
      <c r="J13">
        <v>312.41604614257813</v>
      </c>
      <c r="K13">
        <v>317.65921020507813</v>
      </c>
      <c r="L13">
        <v>340.07855224609375</v>
      </c>
      <c r="M13">
        <v>318.53512573242188</v>
      </c>
      <c r="N13">
        <v>283.86834716796875</v>
      </c>
      <c r="O13">
        <v>289.29489135742188</v>
      </c>
    </row>
    <row r="14" spans="1:15" x14ac:dyDescent="0.35">
      <c r="B14" t="s">
        <v>29</v>
      </c>
      <c r="C14" t="s">
        <v>30</v>
      </c>
      <c r="D14">
        <v>2043.3361035156249</v>
      </c>
      <c r="E14">
        <v>2232.0411816406249</v>
      </c>
      <c r="F14">
        <v>3508.2467480468749</v>
      </c>
      <c r="G14">
        <v>3589.5560742187499</v>
      </c>
      <c r="H14">
        <v>3727.3265820312499</v>
      </c>
      <c r="I14">
        <v>3762.3119335937499</v>
      </c>
      <c r="J14">
        <v>3118.3036328124999</v>
      </c>
      <c r="K14">
        <v>4772.3734570312499</v>
      </c>
      <c r="L14">
        <v>4028.2225781249999</v>
      </c>
      <c r="M14">
        <v>3371.4025097656249</v>
      </c>
      <c r="N14">
        <v>3380.0267773437499</v>
      </c>
      <c r="O14">
        <v>3646.4745312499999</v>
      </c>
    </row>
    <row r="15" spans="1:15" x14ac:dyDescent="0.35">
      <c r="B15" t="s">
        <v>31</v>
      </c>
      <c r="C15" t="s">
        <v>32</v>
      </c>
      <c r="D15">
        <v>9.0655856593052219E-5</v>
      </c>
      <c r="E15">
        <v>6.2711487534415565E-5</v>
      </c>
      <c r="F15">
        <v>1.2427473226777564E-4</v>
      </c>
      <c r="G15">
        <v>1.2648808538050612E-4</v>
      </c>
      <c r="H15">
        <v>1.2384299530184093E-4</v>
      </c>
      <c r="I15">
        <v>1.3119260106621712E-4</v>
      </c>
      <c r="J15">
        <v>1.2637236376182072E-4</v>
      </c>
      <c r="K15">
        <v>1.0995370083876222E-4</v>
      </c>
      <c r="L15">
        <v>9.8767603416419043E-5</v>
      </c>
      <c r="M15">
        <v>1.1885309909471156E-4</v>
      </c>
      <c r="N15">
        <v>1.4381422390029319E-4</v>
      </c>
      <c r="O15">
        <v>1.3736814037065622E-4</v>
      </c>
    </row>
    <row r="17" spans="1:15" x14ac:dyDescent="0.35">
      <c r="A17" s="2"/>
      <c r="B17" s="2"/>
      <c r="C17" s="2" t="s">
        <v>5</v>
      </c>
      <c r="D17" s="2">
        <v>4.13</v>
      </c>
      <c r="E17" s="2">
        <v>0.87</v>
      </c>
      <c r="F17" s="2">
        <v>3.21</v>
      </c>
      <c r="G17" s="2">
        <v>2.89</v>
      </c>
      <c r="H17" s="2">
        <v>2.38</v>
      </c>
      <c r="I17" s="2">
        <v>2.58</v>
      </c>
      <c r="J17" s="2">
        <v>0.93</v>
      </c>
      <c r="K17" s="2">
        <v>2.12</v>
      </c>
      <c r="L17" s="2">
        <v>1.96</v>
      </c>
      <c r="M17" s="2">
        <v>3.36</v>
      </c>
      <c r="N17" s="2">
        <v>1.36</v>
      </c>
      <c r="O17" s="2">
        <v>1.8</v>
      </c>
    </row>
    <row r="18" spans="1:15" x14ac:dyDescent="0.35">
      <c r="A18" s="2"/>
      <c r="B18" s="2"/>
      <c r="C18" s="2"/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24</v>
      </c>
      <c r="L18" s="2" t="s">
        <v>25</v>
      </c>
      <c r="M18" s="2" t="s">
        <v>26</v>
      </c>
      <c r="N18" s="2" t="s">
        <v>27</v>
      </c>
      <c r="O18" s="2" t="s">
        <v>28</v>
      </c>
    </row>
    <row r="19" spans="1:15" x14ac:dyDescent="0.35">
      <c r="A19" s="2" t="s">
        <v>23</v>
      </c>
      <c r="B19" s="2" t="s">
        <v>6</v>
      </c>
      <c r="C19" s="2" t="s">
        <v>11</v>
      </c>
      <c r="D19" s="2">
        <v>4.130000114440918</v>
      </c>
      <c r="E19" s="2">
        <v>0.87000000476837158</v>
      </c>
      <c r="F19" s="2">
        <v>3.2100000381469727</v>
      </c>
      <c r="G19" s="2">
        <v>2.8900001049041748</v>
      </c>
      <c r="H19" s="2">
        <v>2.380000114440918</v>
      </c>
      <c r="I19" s="2">
        <v>2.5799999237060547</v>
      </c>
      <c r="J19" s="2">
        <v>0.93000000715255737</v>
      </c>
      <c r="K19" s="2">
        <v>2.119999885559082</v>
      </c>
      <c r="L19" s="2">
        <v>1.9600000381469727</v>
      </c>
      <c r="M19" s="2">
        <v>3.3599998950958252</v>
      </c>
      <c r="N19" s="2">
        <v>1.3600000143051147</v>
      </c>
      <c r="O19" s="2">
        <v>1.7999999523162842</v>
      </c>
    </row>
    <row r="20" spans="1:15" x14ac:dyDescent="0.35">
      <c r="A20" s="2"/>
      <c r="B20" s="2" t="s">
        <v>7</v>
      </c>
      <c r="C20" s="2" t="s">
        <v>12</v>
      </c>
      <c r="D20" s="2">
        <v>5397.20458984375</v>
      </c>
      <c r="E20" s="2">
        <v>5131.7998046875</v>
      </c>
      <c r="F20" s="2">
        <v>6340.1259765625</v>
      </c>
      <c r="G20" s="2">
        <v>6453.3369140625</v>
      </c>
      <c r="H20" s="2">
        <v>6754.59619140625</v>
      </c>
      <c r="I20" s="2">
        <v>6599.5380859375</v>
      </c>
      <c r="J20" s="2">
        <v>6120.30224609375</v>
      </c>
      <c r="K20" s="2">
        <v>7394.69482421875</v>
      </c>
      <c r="L20" s="2">
        <v>6793.87255859375</v>
      </c>
      <c r="M20" s="2">
        <v>6311.18408203125</v>
      </c>
      <c r="N20" s="2">
        <v>5902.361328125</v>
      </c>
      <c r="O20" s="2">
        <v>6188.31884765625</v>
      </c>
    </row>
    <row r="21" spans="1:15" x14ac:dyDescent="0.35">
      <c r="A21" s="2"/>
      <c r="B21" s="2" t="s">
        <v>8</v>
      </c>
      <c r="C21" s="2" t="s">
        <v>13</v>
      </c>
      <c r="D21" s="2">
        <v>0.17691260576248169</v>
      </c>
      <c r="E21" s="2">
        <v>0.13803482055664063</v>
      </c>
      <c r="F21" s="2">
        <v>0.31043565273284912</v>
      </c>
      <c r="G21" s="2">
        <v>0.31548848748207092</v>
      </c>
      <c r="H21" s="2">
        <v>0.30286827683448792</v>
      </c>
      <c r="I21" s="2">
        <v>0.3306242823600769</v>
      </c>
      <c r="J21" s="2">
        <v>0.29815009236335754</v>
      </c>
      <c r="K21" s="2">
        <v>0.30129578709602356</v>
      </c>
      <c r="L21" s="2">
        <v>0.25878766179084778</v>
      </c>
      <c r="M21" s="2">
        <v>0.29006212949752808</v>
      </c>
      <c r="N21" s="2">
        <v>0.37409636378288269</v>
      </c>
      <c r="O21" s="2">
        <v>0.36038270592689514</v>
      </c>
    </row>
    <row r="22" spans="1:15" x14ac:dyDescent="0.35">
      <c r="A22" s="2"/>
      <c r="B22" s="2" t="s">
        <v>9</v>
      </c>
      <c r="C22" s="2" t="s">
        <v>14</v>
      </c>
      <c r="D22" s="2">
        <v>7917</v>
      </c>
      <c r="E22" s="2">
        <v>9207</v>
      </c>
      <c r="F22" s="2">
        <v>6083</v>
      </c>
      <c r="G22" s="2">
        <v>6030</v>
      </c>
      <c r="H22" s="2">
        <v>6140</v>
      </c>
      <c r="I22" s="2">
        <v>5888</v>
      </c>
      <c r="J22" s="2">
        <v>6189</v>
      </c>
      <c r="K22" s="2">
        <v>6188</v>
      </c>
      <c r="L22" s="2">
        <v>6661</v>
      </c>
      <c r="M22" s="2">
        <v>6287</v>
      </c>
      <c r="N22" s="2">
        <v>5556</v>
      </c>
      <c r="O22" s="2">
        <v>5658</v>
      </c>
    </row>
    <row r="23" spans="1:15" x14ac:dyDescent="0.35">
      <c r="A23" s="2"/>
      <c r="B23" s="2" t="s">
        <v>10</v>
      </c>
      <c r="C23" s="2" t="s">
        <v>15</v>
      </c>
      <c r="D23" s="2">
        <v>389.14453125</v>
      </c>
      <c r="E23" s="2">
        <v>454.86404418945313</v>
      </c>
      <c r="F23" s="2">
        <v>309.15103149414063</v>
      </c>
      <c r="G23" s="2">
        <v>306.432861328125</v>
      </c>
      <c r="H23" s="2">
        <v>311.20797729492188</v>
      </c>
      <c r="I23" s="2">
        <v>299.61029052734375</v>
      </c>
      <c r="J23" s="2">
        <v>312.41604614257813</v>
      </c>
      <c r="K23" s="2">
        <v>317.65921020507813</v>
      </c>
      <c r="L23" s="2">
        <v>340.07855224609375</v>
      </c>
      <c r="M23" s="2">
        <v>318.53512573242188</v>
      </c>
      <c r="N23" s="2">
        <v>283.86834716796875</v>
      </c>
      <c r="O23" s="2">
        <v>289.29489135742188</v>
      </c>
    </row>
    <row r="24" spans="1:15" x14ac:dyDescent="0.35">
      <c r="A24" s="2"/>
      <c r="B24" s="2" t="s">
        <v>29</v>
      </c>
      <c r="C24" s="2" t="s">
        <v>30</v>
      </c>
      <c r="D24" s="2">
        <v>4937.5345898437499</v>
      </c>
      <c r="E24" s="2">
        <v>4672.1298046874999</v>
      </c>
      <c r="F24" s="2">
        <v>5880.4559765624999</v>
      </c>
      <c r="G24" s="2">
        <v>5993.6669140624999</v>
      </c>
      <c r="H24" s="2">
        <v>6294.9261914062499</v>
      </c>
      <c r="I24" s="2">
        <v>6139.8680859374999</v>
      </c>
      <c r="J24" s="2">
        <v>5660.6322460937499</v>
      </c>
      <c r="K24" s="2">
        <v>6935.0248242187499</v>
      </c>
      <c r="L24" s="2">
        <v>6334.2025585937499</v>
      </c>
      <c r="M24" s="2">
        <v>5851.5140820312499</v>
      </c>
      <c r="N24" s="2">
        <v>5442.6913281249999</v>
      </c>
      <c r="O24" s="2">
        <v>5728.6488476562499</v>
      </c>
    </row>
    <row r="25" spans="1:15" x14ac:dyDescent="0.35">
      <c r="A25" s="2"/>
      <c r="B25" s="2" t="s">
        <v>31</v>
      </c>
      <c r="C25" s="2" t="s">
        <v>32</v>
      </c>
      <c r="D25" s="2">
        <v>2.8338663061844315E-3</v>
      </c>
      <c r="E25" s="2">
        <v>2.2111043210841391E-3</v>
      </c>
      <c r="F25" s="2">
        <v>4.9726989929654826E-3</v>
      </c>
      <c r="G25" s="2">
        <v>5.053637590217065E-3</v>
      </c>
      <c r="H25" s="2">
        <v>4.851481335850707E-3</v>
      </c>
      <c r="I25" s="2">
        <v>5.2960896129954013E-3</v>
      </c>
      <c r="J25" s="2">
        <v>4.7759033184365599E-3</v>
      </c>
      <c r="K25" s="2">
        <v>4.8262924824761895E-3</v>
      </c>
      <c r="L25" s="2">
        <v>4.1453780641835039E-3</v>
      </c>
      <c r="M25" s="2">
        <v>4.64634666331659E-3</v>
      </c>
      <c r="N25" s="2">
        <v>5.9924451173012545E-3</v>
      </c>
      <c r="O25" s="2">
        <v>5.7727735299368099E-3</v>
      </c>
    </row>
    <row r="26" spans="1:15" x14ac:dyDescent="0.35">
      <c r="A26" s="2"/>
      <c r="B26" s="2" t="s">
        <v>50</v>
      </c>
      <c r="C26" s="2" t="s">
        <v>32</v>
      </c>
      <c r="D26" s="2">
        <v>7.0994639299999995E-2</v>
      </c>
      <c r="E26" s="2">
        <v>0.65</v>
      </c>
      <c r="F26" s="2">
        <v>0.65700000000000003</v>
      </c>
      <c r="G26" s="2">
        <v>0.58520000000000005</v>
      </c>
      <c r="H26" s="2">
        <v>0.59399999999999997</v>
      </c>
      <c r="I26" s="2">
        <v>0.81</v>
      </c>
      <c r="J26" s="2">
        <v>1</v>
      </c>
      <c r="K26" s="2">
        <v>0.61799999999999999</v>
      </c>
      <c r="L26" s="2">
        <v>0.44700000000000001</v>
      </c>
      <c r="M26" s="2">
        <v>0.33045901654100002</v>
      </c>
      <c r="N26" s="2">
        <v>0.79200000000000004</v>
      </c>
      <c r="O26" s="2">
        <v>0.78900000000000003</v>
      </c>
    </row>
    <row r="27" spans="1:15" x14ac:dyDescent="0.35">
      <c r="A27" s="2"/>
      <c r="B27" s="2" t="s">
        <v>49</v>
      </c>
      <c r="C27" s="2" t="s">
        <v>32</v>
      </c>
      <c r="D27" s="2">
        <v>0.28974535035703908</v>
      </c>
      <c r="E27" s="2">
        <v>0.8127075892279656</v>
      </c>
      <c r="F27" s="2">
        <v>0.97107720202300329</v>
      </c>
      <c r="G27" s="2">
        <v>0.91708872369946792</v>
      </c>
      <c r="H27" s="2">
        <v>0.89669652118715104</v>
      </c>
      <c r="I27" s="2">
        <v>1.02410294440262</v>
      </c>
      <c r="J27" s="2">
        <v>1.0633172383175424</v>
      </c>
      <c r="K27" s="2">
        <v>0.8975466892336238</v>
      </c>
      <c r="L27" s="2">
        <v>0.74843337366836238</v>
      </c>
      <c r="M27" s="2">
        <v>0.73021072189512604</v>
      </c>
      <c r="N27" s="2">
        <v>0.9614745469289131</v>
      </c>
      <c r="O27" s="2">
        <v>0.98418600425592417</v>
      </c>
    </row>
    <row r="29" spans="1:15" x14ac:dyDescent="0.35">
      <c r="D29">
        <v>3.1</v>
      </c>
      <c r="E29">
        <v>3.29</v>
      </c>
    </row>
    <row r="30" spans="1:15" x14ac:dyDescent="0.35">
      <c r="A30" t="s">
        <v>33</v>
      </c>
      <c r="D30" t="s">
        <v>18</v>
      </c>
      <c r="E30" t="s">
        <v>34</v>
      </c>
    </row>
    <row r="31" spans="1:15" x14ac:dyDescent="0.35">
      <c r="B31" t="s">
        <v>6</v>
      </c>
      <c r="C31" t="s">
        <v>11</v>
      </c>
      <c r="D31">
        <v>3.0999999046325684</v>
      </c>
      <c r="E31">
        <v>3.2899999618530273</v>
      </c>
    </row>
    <row r="32" spans="1:15" x14ac:dyDescent="0.35">
      <c r="B32" t="s">
        <v>7</v>
      </c>
      <c r="C32" t="s">
        <v>12</v>
      </c>
      <c r="D32">
        <v>3925.541259765625</v>
      </c>
      <c r="E32">
        <v>2215.67138671875</v>
      </c>
    </row>
    <row r="33" spans="1:5" x14ac:dyDescent="0.35">
      <c r="B33" t="s">
        <v>8</v>
      </c>
      <c r="C33" t="s">
        <v>13</v>
      </c>
      <c r="D33">
        <v>7.6391692273318768E-3</v>
      </c>
      <c r="E33">
        <v>5.3465347737073898E-3</v>
      </c>
    </row>
    <row r="34" spans="1:5" x14ac:dyDescent="0.35">
      <c r="B34" t="s">
        <v>9</v>
      </c>
      <c r="C34" t="s">
        <v>14</v>
      </c>
      <c r="D34">
        <v>6171</v>
      </c>
      <c r="E34">
        <v>8356</v>
      </c>
    </row>
    <row r="35" spans="1:5" x14ac:dyDescent="0.35">
      <c r="B35" t="s">
        <v>10</v>
      </c>
      <c r="C35" t="s">
        <v>15</v>
      </c>
      <c r="D35">
        <v>313.01242065429688</v>
      </c>
      <c r="E35">
        <v>407.69964599609375</v>
      </c>
    </row>
    <row r="36" spans="1:5" x14ac:dyDescent="0.35">
      <c r="B36" t="s">
        <v>29</v>
      </c>
      <c r="C36" t="s">
        <v>30</v>
      </c>
      <c r="D36">
        <v>3465.8712597656249</v>
      </c>
      <c r="E36">
        <v>1756.0013867187499</v>
      </c>
    </row>
    <row r="37" spans="1:5" x14ac:dyDescent="0.35">
      <c r="B37" t="s">
        <v>31</v>
      </c>
      <c r="C37" t="s">
        <v>32</v>
      </c>
      <c r="D37">
        <v>1.2236767519913945E-4</v>
      </c>
      <c r="E37">
        <v>8.5643217365723558E-5</v>
      </c>
    </row>
    <row r="39" spans="1:5" x14ac:dyDescent="0.35">
      <c r="A39" s="2"/>
      <c r="B39" s="2"/>
      <c r="C39" s="2"/>
      <c r="D39" s="2">
        <v>3.1</v>
      </c>
      <c r="E39" s="2">
        <v>3.29</v>
      </c>
    </row>
    <row r="40" spans="1:5" x14ac:dyDescent="0.35">
      <c r="A40" s="2" t="s">
        <v>33</v>
      </c>
      <c r="B40" s="2"/>
      <c r="C40" s="2"/>
      <c r="D40" s="2" t="s">
        <v>18</v>
      </c>
      <c r="E40" s="2" t="s">
        <v>34</v>
      </c>
    </row>
    <row r="41" spans="1:5" x14ac:dyDescent="0.35">
      <c r="A41" s="2"/>
      <c r="B41" s="2" t="s">
        <v>6</v>
      </c>
      <c r="C41" s="2" t="s">
        <v>11</v>
      </c>
      <c r="D41" s="2">
        <v>3.0999999046325684</v>
      </c>
      <c r="E41" s="2">
        <v>3.2899999618530273</v>
      </c>
    </row>
    <row r="42" spans="1:5" x14ac:dyDescent="0.35">
      <c r="A42" s="2"/>
      <c r="B42" s="2" t="s">
        <v>7</v>
      </c>
      <c r="C42" s="2" t="s">
        <v>12</v>
      </c>
      <c r="D42" s="2">
        <v>6381.7607421875</v>
      </c>
      <c r="E42" s="2">
        <v>5112.8388671875</v>
      </c>
    </row>
    <row r="43" spans="1:5" x14ac:dyDescent="0.35">
      <c r="A43" s="2"/>
      <c r="B43" s="2" t="s">
        <v>8</v>
      </c>
      <c r="C43" s="2" t="s">
        <v>13</v>
      </c>
      <c r="D43" s="2">
        <v>0.30114918947219849</v>
      </c>
      <c r="E43" s="2">
        <v>0.15677781403064728</v>
      </c>
    </row>
    <row r="44" spans="1:5" x14ac:dyDescent="0.35">
      <c r="A44" s="2"/>
      <c r="B44" s="2" t="s">
        <v>9</v>
      </c>
      <c r="C44" s="2" t="s">
        <v>14</v>
      </c>
      <c r="D44" s="2">
        <v>6171</v>
      </c>
      <c r="E44" s="2">
        <v>8356</v>
      </c>
    </row>
    <row r="45" spans="1:5" x14ac:dyDescent="0.35">
      <c r="A45" s="2"/>
      <c r="B45" s="2" t="s">
        <v>10</v>
      </c>
      <c r="C45" s="2" t="s">
        <v>15</v>
      </c>
      <c r="D45" s="2">
        <v>313.01242065429688</v>
      </c>
      <c r="E45" s="2">
        <v>407.69964599609375</v>
      </c>
    </row>
    <row r="46" spans="1:5" x14ac:dyDescent="0.35">
      <c r="A46" s="2"/>
      <c r="B46" s="2" t="s">
        <v>29</v>
      </c>
      <c r="C46" s="2" t="s">
        <v>30</v>
      </c>
      <c r="D46" s="2">
        <v>5922.0907421874999</v>
      </c>
      <c r="E46" s="2">
        <v>4653.1688671874999</v>
      </c>
    </row>
    <row r="47" spans="1:5" x14ac:dyDescent="0.35">
      <c r="A47" s="2"/>
      <c r="B47" s="2" t="s">
        <v>31</v>
      </c>
      <c r="C47" s="2" t="s">
        <v>32</v>
      </c>
      <c r="D47" s="2">
        <v>4.8239442152911913E-3</v>
      </c>
      <c r="E47" s="2">
        <v>2.5113380859653886E-3</v>
      </c>
    </row>
    <row r="48" spans="1:5" x14ac:dyDescent="0.35">
      <c r="A48" s="2"/>
      <c r="B48" s="2" t="s">
        <v>50</v>
      </c>
      <c r="C48" s="2" t="s">
        <v>32</v>
      </c>
      <c r="D48" s="2">
        <v>0.65700000000000003</v>
      </c>
      <c r="E48" s="2">
        <v>7.0000000000000007E-2</v>
      </c>
    </row>
    <row r="49" spans="1:15" x14ac:dyDescent="0.35">
      <c r="A49" s="2"/>
      <c r="B49" s="2" t="s">
        <v>49</v>
      </c>
      <c r="C49" s="2" t="s">
        <v>32</v>
      </c>
      <c r="D49" s="2">
        <v>1.7676260992106228E-3</v>
      </c>
      <c r="E49" s="2">
        <v>3.0659252375593907E-3</v>
      </c>
    </row>
    <row r="54" spans="1:15" x14ac:dyDescent="0.35">
      <c r="A54" t="s">
        <v>0</v>
      </c>
      <c r="B54">
        <v>1000</v>
      </c>
      <c r="C54" t="s">
        <v>1</v>
      </c>
    </row>
    <row r="55" spans="1:15" x14ac:dyDescent="0.35">
      <c r="A55" t="s">
        <v>35</v>
      </c>
      <c r="B55">
        <v>40</v>
      </c>
    </row>
    <row r="56" spans="1:15" x14ac:dyDescent="0.35">
      <c r="C56" t="s">
        <v>5</v>
      </c>
      <c r="D56">
        <v>4.83</v>
      </c>
      <c r="E56">
        <v>0.91</v>
      </c>
      <c r="F56">
        <v>3.45</v>
      </c>
      <c r="G56">
        <v>3.1</v>
      </c>
      <c r="H56">
        <v>2.59</v>
      </c>
      <c r="I56">
        <v>2.77</v>
      </c>
      <c r="J56">
        <v>0.98</v>
      </c>
      <c r="K56">
        <v>2.16</v>
      </c>
      <c r="L56">
        <v>2.06</v>
      </c>
      <c r="M56">
        <v>3.63</v>
      </c>
      <c r="N56">
        <v>1.4</v>
      </c>
      <c r="O56">
        <v>1.9</v>
      </c>
    </row>
    <row r="57" spans="1:15" x14ac:dyDescent="0.35"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</row>
    <row r="58" spans="1:15" x14ac:dyDescent="0.35">
      <c r="A58" t="s">
        <v>23</v>
      </c>
      <c r="B58" t="s">
        <v>6</v>
      </c>
      <c r="C58" t="s">
        <v>11</v>
      </c>
      <c r="D58">
        <v>4.8299999237060547</v>
      </c>
      <c r="E58">
        <v>0.9100000262260437</v>
      </c>
      <c r="F58">
        <v>3.4500000476837158</v>
      </c>
      <c r="G58">
        <v>3.0999999046325684</v>
      </c>
      <c r="H58">
        <v>2.5899999141693115</v>
      </c>
      <c r="I58">
        <v>2.7699999809265137</v>
      </c>
      <c r="J58">
        <v>0.98000001907348633</v>
      </c>
      <c r="K58">
        <v>2.1600000858306885</v>
      </c>
      <c r="L58">
        <v>2.059999942779541</v>
      </c>
      <c r="M58">
        <v>3.630000114440918</v>
      </c>
      <c r="N58">
        <v>1.3999999761581421</v>
      </c>
      <c r="O58">
        <v>1.8999999761581421</v>
      </c>
    </row>
    <row r="59" spans="1:15" x14ac:dyDescent="0.35">
      <c r="B59" t="s">
        <v>7</v>
      </c>
      <c r="C59" t="s">
        <v>12</v>
      </c>
      <c r="D59">
        <v>1909.35888671875</v>
      </c>
      <c r="E59">
        <v>1889.102294921875</v>
      </c>
      <c r="F59">
        <v>3369.28369140625</v>
      </c>
      <c r="G59">
        <v>3423.129150390625</v>
      </c>
      <c r="H59">
        <v>3559.06640625</v>
      </c>
      <c r="I59">
        <v>3613.888671875</v>
      </c>
      <c r="J59">
        <v>2678.3828125</v>
      </c>
      <c r="K59">
        <v>4666.74853515625</v>
      </c>
      <c r="L59">
        <v>3863.16552734375</v>
      </c>
      <c r="M59">
        <v>3213.877197265625</v>
      </c>
      <c r="N59">
        <v>3068.92333984375</v>
      </c>
      <c r="O59">
        <v>3475.904296875</v>
      </c>
    </row>
    <row r="60" spans="1:15" x14ac:dyDescent="0.35">
      <c r="B60" t="s">
        <v>8</v>
      </c>
      <c r="C60" t="s">
        <v>13</v>
      </c>
      <c r="D60">
        <v>1.0539274662733078E-3</v>
      </c>
      <c r="E60">
        <v>7.3753873584792018E-4</v>
      </c>
      <c r="F60">
        <v>1.7126590246334672E-3</v>
      </c>
      <c r="G60">
        <v>1.7400048673152924E-3</v>
      </c>
      <c r="H60">
        <v>1.686863019131124E-3</v>
      </c>
      <c r="I60">
        <v>1.8219025805592537E-3</v>
      </c>
      <c r="J60">
        <v>1.6595765482634306E-3</v>
      </c>
      <c r="K60">
        <v>1.6206743894144893E-3</v>
      </c>
      <c r="L60">
        <v>1.408884534612298E-3</v>
      </c>
      <c r="M60">
        <v>1.609502243809402E-3</v>
      </c>
      <c r="N60">
        <v>2.0213460084050894E-3</v>
      </c>
      <c r="O60">
        <v>1.9581341184675694E-3</v>
      </c>
    </row>
    <row r="61" spans="1:15" x14ac:dyDescent="0.35">
      <c r="B61" t="s">
        <v>9</v>
      </c>
      <c r="C61" t="s">
        <v>14</v>
      </c>
      <c r="D61">
        <v>7813</v>
      </c>
      <c r="E61">
        <v>9427</v>
      </c>
      <c r="F61">
        <v>6022</v>
      </c>
      <c r="G61">
        <v>5976</v>
      </c>
      <c r="H61">
        <v>6076</v>
      </c>
      <c r="I61">
        <v>5838</v>
      </c>
      <c r="J61">
        <v>6151</v>
      </c>
      <c r="K61">
        <v>6182</v>
      </c>
      <c r="L61">
        <v>6644</v>
      </c>
      <c r="M61">
        <v>6220</v>
      </c>
      <c r="N61">
        <v>5541</v>
      </c>
      <c r="O61">
        <v>5624</v>
      </c>
    </row>
    <row r="62" spans="1:15" x14ac:dyDescent="0.35">
      <c r="B62" t="s">
        <v>36</v>
      </c>
      <c r="C62" t="s">
        <v>15</v>
      </c>
      <c r="D62">
        <v>455.05740356445313</v>
      </c>
      <c r="E62">
        <v>540.0958251953125</v>
      </c>
      <c r="F62">
        <v>368.52752685546875</v>
      </c>
      <c r="G62">
        <v>365.45938110351563</v>
      </c>
      <c r="H62">
        <v>370.592041015625</v>
      </c>
      <c r="I62">
        <v>357.68838500976563</v>
      </c>
      <c r="J62">
        <v>369.91778564453125</v>
      </c>
      <c r="K62">
        <v>382.26251220703125</v>
      </c>
      <c r="L62">
        <v>407.468994140625</v>
      </c>
      <c r="M62">
        <v>379.0687255859375</v>
      </c>
      <c r="N62">
        <v>339.3087158203125</v>
      </c>
      <c r="O62">
        <v>346.05084228515625</v>
      </c>
    </row>
    <row r="63" spans="1:15" x14ac:dyDescent="0.35">
      <c r="B63" t="s">
        <v>29</v>
      </c>
      <c r="C63" t="s">
        <v>30</v>
      </c>
      <c r="D63">
        <v>1449.6888867187499</v>
      </c>
      <c r="E63">
        <v>1429.4322949218749</v>
      </c>
      <c r="F63">
        <v>2909.6136914062499</v>
      </c>
      <c r="G63">
        <v>2963.4591503906249</v>
      </c>
      <c r="H63">
        <v>3099.3964062499999</v>
      </c>
      <c r="I63">
        <v>3154.2186718749999</v>
      </c>
      <c r="J63">
        <v>2218.7128124999999</v>
      </c>
      <c r="K63">
        <v>4207.0785351562499</v>
      </c>
      <c r="L63">
        <v>3403.4955273437499</v>
      </c>
      <c r="M63">
        <v>2754.2071972656249</v>
      </c>
      <c r="N63">
        <v>2609.2533398437499</v>
      </c>
      <c r="O63">
        <v>3016.2342968749999</v>
      </c>
    </row>
    <row r="64" spans="1:15" x14ac:dyDescent="0.35">
      <c r="B64" t="s">
        <v>31</v>
      </c>
      <c r="C64" t="s">
        <v>32</v>
      </c>
      <c r="D64">
        <v>1.688228785598302E-5</v>
      </c>
      <c r="E64">
        <v>1.1814229766257452E-5</v>
      </c>
      <c r="F64">
        <v>2.7434148533245777E-5</v>
      </c>
      <c r="G64">
        <v>2.7872186636049409E-5</v>
      </c>
      <c r="H64">
        <v>2.7020936424859423E-5</v>
      </c>
      <c r="I64">
        <v>2.9184061327597454E-5</v>
      </c>
      <c r="J64">
        <v>2.6583849366685312E-5</v>
      </c>
      <c r="K64">
        <v>2.5960696953522288E-5</v>
      </c>
      <c r="L64">
        <v>2.2568151063822294E-5</v>
      </c>
      <c r="M64">
        <v>2.5781736461353912E-5</v>
      </c>
      <c r="N64">
        <v>3.2378836554191859E-5</v>
      </c>
      <c r="O64">
        <v>3.1366279849868157E-5</v>
      </c>
    </row>
    <row r="66" spans="1:15" x14ac:dyDescent="0.35">
      <c r="A66" s="2"/>
      <c r="B66" s="2"/>
      <c r="C66" s="2" t="s">
        <v>5</v>
      </c>
      <c r="D66" s="2">
        <v>4.83</v>
      </c>
      <c r="E66" s="2">
        <v>0.91</v>
      </c>
      <c r="F66" s="2">
        <v>3.45</v>
      </c>
      <c r="G66" s="2">
        <v>3.1</v>
      </c>
      <c r="H66" s="2">
        <v>2.59</v>
      </c>
      <c r="I66" s="2">
        <v>2.77</v>
      </c>
      <c r="J66" s="2">
        <v>0.98</v>
      </c>
      <c r="K66" s="2">
        <v>2.16</v>
      </c>
      <c r="L66" s="2">
        <v>2.06</v>
      </c>
      <c r="M66" s="2">
        <v>3.63</v>
      </c>
      <c r="N66" s="2">
        <v>1.4</v>
      </c>
      <c r="O66" s="2">
        <v>1.9</v>
      </c>
    </row>
    <row r="67" spans="1:15" x14ac:dyDescent="0.35">
      <c r="A67" s="2"/>
      <c r="B67" s="2"/>
      <c r="C67" s="2"/>
      <c r="D67" s="2" t="s">
        <v>16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24</v>
      </c>
      <c r="L67" s="2" t="s">
        <v>25</v>
      </c>
      <c r="M67" s="2" t="s">
        <v>26</v>
      </c>
      <c r="N67" s="2" t="s">
        <v>27</v>
      </c>
      <c r="O67" s="2" t="s">
        <v>28</v>
      </c>
    </row>
    <row r="68" spans="1:15" x14ac:dyDescent="0.35">
      <c r="A68" s="2" t="s">
        <v>23</v>
      </c>
      <c r="B68" s="2" t="s">
        <v>6</v>
      </c>
      <c r="C68" s="2" t="s">
        <v>11</v>
      </c>
      <c r="D68" s="2">
        <v>4.8299999237060547</v>
      </c>
      <c r="E68" s="2">
        <v>0.9100000262260437</v>
      </c>
      <c r="F68" s="2">
        <v>3.4500000476837158</v>
      </c>
      <c r="G68" s="2">
        <v>3.0999999046325684</v>
      </c>
      <c r="H68" s="2">
        <v>2.5899999141693115</v>
      </c>
      <c r="I68" s="2">
        <v>2.7699999809265137</v>
      </c>
      <c r="J68" s="2">
        <v>0.98000001907348633</v>
      </c>
      <c r="K68" s="2">
        <v>2.1600000858306885</v>
      </c>
      <c r="L68" s="2">
        <v>2.059999942779541</v>
      </c>
      <c r="M68" s="2">
        <v>3.630000114440918</v>
      </c>
      <c r="N68" s="2">
        <v>1.3999999761581421</v>
      </c>
      <c r="O68" s="2">
        <v>1.8999999761581421</v>
      </c>
    </row>
    <row r="69" spans="1:15" x14ac:dyDescent="0.35">
      <c r="A69" s="2"/>
      <c r="B69" s="2" t="s">
        <v>7</v>
      </c>
      <c r="C69" s="2" t="s">
        <v>12</v>
      </c>
      <c r="D69" s="2">
        <v>5416.935546875</v>
      </c>
      <c r="E69" s="2">
        <v>5095.6015625</v>
      </c>
      <c r="F69" s="2">
        <v>6090.484375</v>
      </c>
      <c r="G69" s="2">
        <v>6195.31005859375</v>
      </c>
      <c r="H69" s="2">
        <v>6479.13623046875</v>
      </c>
      <c r="I69" s="2">
        <v>6325.1943359375</v>
      </c>
      <c r="J69" s="2">
        <v>5797.0947265625</v>
      </c>
      <c r="K69" s="2">
        <v>7078.52978515625</v>
      </c>
      <c r="L69" s="2">
        <v>6553.0556640625</v>
      </c>
      <c r="M69" s="2">
        <v>6076.9287109375</v>
      </c>
      <c r="N69" s="2">
        <v>5634.0458984375</v>
      </c>
      <c r="O69" s="2">
        <v>5920.94970703125</v>
      </c>
    </row>
    <row r="70" spans="1:15" x14ac:dyDescent="0.35">
      <c r="A70" s="2"/>
      <c r="B70" s="2" t="s">
        <v>8</v>
      </c>
      <c r="C70" s="2" t="s">
        <v>13</v>
      </c>
      <c r="D70" s="2">
        <v>0.10949531942605972</v>
      </c>
      <c r="E70" s="2">
        <v>8.1750743091106415E-2</v>
      </c>
      <c r="F70" s="2">
        <v>0.19137659668922424</v>
      </c>
      <c r="G70" s="2">
        <v>0.1945456862449646</v>
      </c>
      <c r="H70" s="2">
        <v>0.18694967031478882</v>
      </c>
      <c r="I70" s="2">
        <v>0.20394086837768555</v>
      </c>
      <c r="J70" s="2">
        <v>0.18394197523593903</v>
      </c>
      <c r="K70" s="2">
        <v>0.18566252291202545</v>
      </c>
      <c r="L70" s="2">
        <v>0.15956887602806091</v>
      </c>
      <c r="M70" s="2">
        <v>0.1788402795791626</v>
      </c>
      <c r="N70" s="2">
        <v>0.23039835691452026</v>
      </c>
      <c r="O70" s="2">
        <v>0.22203406691551208</v>
      </c>
    </row>
    <row r="71" spans="1:15" x14ac:dyDescent="0.35">
      <c r="A71" s="2"/>
      <c r="B71" s="2" t="s">
        <v>9</v>
      </c>
      <c r="C71" s="2" t="s">
        <v>14</v>
      </c>
      <c r="D71" s="2">
        <v>7917</v>
      </c>
      <c r="E71" s="2">
        <v>9207</v>
      </c>
      <c r="F71" s="2">
        <v>6083</v>
      </c>
      <c r="G71" s="2">
        <v>6030</v>
      </c>
      <c r="H71" s="2">
        <v>6140</v>
      </c>
      <c r="I71" s="2">
        <v>5888</v>
      </c>
      <c r="J71" s="2">
        <v>6189</v>
      </c>
      <c r="K71" s="2">
        <v>6188</v>
      </c>
      <c r="L71" s="2">
        <v>6661</v>
      </c>
      <c r="M71" s="2">
        <v>6287</v>
      </c>
      <c r="N71" s="2">
        <v>5556</v>
      </c>
      <c r="O71" s="2">
        <v>5658</v>
      </c>
    </row>
    <row r="72" spans="1:15" x14ac:dyDescent="0.35">
      <c r="A72" s="2"/>
      <c r="B72" s="2" t="s">
        <v>36</v>
      </c>
      <c r="C72" s="2" t="s">
        <v>15</v>
      </c>
      <c r="D72" s="2">
        <v>454.14776611328125</v>
      </c>
      <c r="E72" s="2">
        <v>535.31353759765625</v>
      </c>
      <c r="F72" s="2">
        <v>367.77413940429688</v>
      </c>
      <c r="G72" s="2">
        <v>364.53048706054688</v>
      </c>
      <c r="H72" s="2">
        <v>352.05599975585938</v>
      </c>
      <c r="I72" s="2">
        <v>356.79763793945313</v>
      </c>
      <c r="J72" s="2">
        <v>369.49176025390625</v>
      </c>
      <c r="K72" s="2">
        <v>382.47921752929688</v>
      </c>
      <c r="L72" s="2">
        <v>385.02655029296875</v>
      </c>
      <c r="M72" s="2">
        <v>360.2095947265625</v>
      </c>
      <c r="N72" s="2">
        <v>338.73760986328125</v>
      </c>
      <c r="O72" s="2">
        <v>345.62289428710938</v>
      </c>
    </row>
    <row r="73" spans="1:15" x14ac:dyDescent="0.35">
      <c r="A73" s="2"/>
      <c r="B73" s="2" t="s">
        <v>29</v>
      </c>
      <c r="C73" s="2" t="s">
        <v>30</v>
      </c>
      <c r="D73" s="2">
        <v>4957.2655468749999</v>
      </c>
      <c r="E73" s="2">
        <v>4635.9315624999999</v>
      </c>
      <c r="F73" s="2">
        <v>5630.8143749999999</v>
      </c>
      <c r="G73" s="2">
        <v>5735.6400585937499</v>
      </c>
      <c r="H73" s="2">
        <v>6019.4662304687499</v>
      </c>
      <c r="I73" s="2">
        <v>5865.5243359374999</v>
      </c>
      <c r="J73" s="2">
        <v>5337.4247265624999</v>
      </c>
      <c r="K73" s="2">
        <v>6618.8597851562499</v>
      </c>
      <c r="L73" s="2">
        <v>6093.3856640624999</v>
      </c>
      <c r="M73" s="2">
        <v>5617.2587109374999</v>
      </c>
      <c r="N73" s="2">
        <v>5174.3758984374999</v>
      </c>
      <c r="O73" s="2">
        <v>5461.2797070312499</v>
      </c>
    </row>
    <row r="74" spans="1:15" x14ac:dyDescent="0.35">
      <c r="A74" s="2"/>
      <c r="B74" s="2" t="s">
        <v>31</v>
      </c>
      <c r="C74" s="2" t="s">
        <v>32</v>
      </c>
      <c r="D74" s="2">
        <v>1.6631193425855564E-5</v>
      </c>
      <c r="E74" s="2">
        <v>1.2202210287663934E-5</v>
      </c>
      <c r="F74" s="2">
        <v>2.7104499681513279E-5</v>
      </c>
      <c r="G74" s="2">
        <v>2.7581545532474401E-5</v>
      </c>
      <c r="H74" s="2">
        <v>2.6679628884845031E-5</v>
      </c>
      <c r="I74" s="2">
        <v>2.887829861441306E-5</v>
      </c>
      <c r="J74" s="2">
        <v>2.6387443732342096E-5</v>
      </c>
      <c r="K74" s="2">
        <v>2.591694517097754E-5</v>
      </c>
      <c r="L74" s="2">
        <v>2.2484675452457828E-5</v>
      </c>
      <c r="M74" s="2">
        <v>2.5463791052944696E-5</v>
      </c>
      <c r="N74" s="2">
        <v>3.2291306881994886E-5</v>
      </c>
      <c r="O74" s="2">
        <v>3.1106527184025279E-5</v>
      </c>
    </row>
    <row r="75" spans="1:15" x14ac:dyDescent="0.35">
      <c r="A75" s="2"/>
      <c r="B75" s="2" t="s">
        <v>50</v>
      </c>
      <c r="C75" s="2" t="s">
        <v>32</v>
      </c>
      <c r="D75" s="2">
        <v>7.0994639299999995E-2</v>
      </c>
      <c r="E75" s="2">
        <v>0.65</v>
      </c>
      <c r="F75" s="2">
        <v>0.65700000000000003</v>
      </c>
      <c r="G75" s="2">
        <v>0.58520000000000005</v>
      </c>
      <c r="H75" s="2">
        <v>0.59399999999999997</v>
      </c>
      <c r="I75" s="2">
        <v>0.81</v>
      </c>
      <c r="J75" s="2">
        <v>1</v>
      </c>
      <c r="K75" s="2">
        <v>0.61799999999999999</v>
      </c>
      <c r="L75" s="2">
        <v>0.44700000000000001</v>
      </c>
      <c r="M75" s="2">
        <v>0.33045901654100002</v>
      </c>
      <c r="N75" s="2">
        <v>0.79200000000000004</v>
      </c>
      <c r="O75" s="2">
        <v>0.78900000000000003</v>
      </c>
    </row>
    <row r="76" spans="1:15" x14ac:dyDescent="0.35">
      <c r="A76" s="2"/>
      <c r="B76" s="2" t="s">
        <v>49</v>
      </c>
      <c r="C76" s="2" t="s">
        <v>32</v>
      </c>
      <c r="D76" s="2">
        <v>0.31825403239871036</v>
      </c>
      <c r="E76" s="2">
        <v>0.81763434661609891</v>
      </c>
      <c r="F76" s="2">
        <v>0.97893993076667218</v>
      </c>
      <c r="G76" s="2">
        <v>0.92640031809990864</v>
      </c>
      <c r="H76" s="2">
        <v>0.90806985292723996</v>
      </c>
      <c r="I76" s="2">
        <v>1.0294181753999214</v>
      </c>
      <c r="J76" s="2">
        <v>1.0651485155335938</v>
      </c>
      <c r="K76" s="2">
        <v>0.8999774192548301</v>
      </c>
      <c r="L76" s="2">
        <v>0.75694416106973184</v>
      </c>
      <c r="M76" s="2">
        <v>0.74587029364412727</v>
      </c>
      <c r="N76" s="2">
        <v>0.96400248762458884</v>
      </c>
      <c r="O76" s="2">
        <v>0.98887242799071773</v>
      </c>
    </row>
    <row r="78" spans="1:15" x14ac:dyDescent="0.35">
      <c r="D78">
        <v>3.4</v>
      </c>
      <c r="E78">
        <v>3.92</v>
      </c>
    </row>
    <row r="79" spans="1:15" x14ac:dyDescent="0.35">
      <c r="A79" t="s">
        <v>33</v>
      </c>
      <c r="D79" t="s">
        <v>18</v>
      </c>
      <c r="E79" t="s">
        <v>34</v>
      </c>
    </row>
    <row r="80" spans="1:15" x14ac:dyDescent="0.35">
      <c r="B80" t="s">
        <v>6</v>
      </c>
      <c r="C80" t="s">
        <v>11</v>
      </c>
      <c r="D80">
        <v>3.4000000953674316</v>
      </c>
      <c r="E80">
        <v>3.9200000762939453</v>
      </c>
    </row>
    <row r="81" spans="1:5" x14ac:dyDescent="0.35">
      <c r="B81" t="s">
        <v>7</v>
      </c>
      <c r="C81" t="s">
        <v>12</v>
      </c>
      <c r="D81">
        <v>3424.0751953125</v>
      </c>
      <c r="E81">
        <v>1610.3046875</v>
      </c>
    </row>
    <row r="82" spans="1:5" x14ac:dyDescent="0.35">
      <c r="B82" t="s">
        <v>8</v>
      </c>
      <c r="C82" t="s">
        <v>13</v>
      </c>
      <c r="D82">
        <v>1.6704201698303223E-3</v>
      </c>
      <c r="E82">
        <v>9.5268822042271495E-4</v>
      </c>
    </row>
    <row r="83" spans="1:5" x14ac:dyDescent="0.35">
      <c r="B83" t="s">
        <v>9</v>
      </c>
      <c r="C83" t="s">
        <v>14</v>
      </c>
      <c r="D83">
        <v>6098</v>
      </c>
      <c r="E83">
        <v>8259</v>
      </c>
    </row>
    <row r="84" spans="1:5" x14ac:dyDescent="0.35">
      <c r="B84" t="s">
        <v>36</v>
      </c>
      <c r="C84" t="s">
        <v>15</v>
      </c>
      <c r="D84">
        <v>373.18914794921875</v>
      </c>
      <c r="E84">
        <v>474.6004638671875</v>
      </c>
    </row>
    <row r="85" spans="1:5" x14ac:dyDescent="0.35">
      <c r="B85" t="s">
        <v>29</v>
      </c>
      <c r="C85" t="s">
        <v>30</v>
      </c>
      <c r="D85">
        <v>2964.4051953124999</v>
      </c>
      <c r="E85">
        <v>1150.6346874999999</v>
      </c>
    </row>
    <row r="86" spans="1:5" x14ac:dyDescent="0.35">
      <c r="B86" t="s">
        <v>31</v>
      </c>
      <c r="C86" t="s">
        <v>32</v>
      </c>
      <c r="D86">
        <v>2.675754741190367E-5</v>
      </c>
      <c r="E86">
        <v>1.5260591728434595E-5</v>
      </c>
    </row>
    <row r="88" spans="1:5" x14ac:dyDescent="0.35">
      <c r="A88" s="2"/>
      <c r="B88" s="2"/>
      <c r="C88" s="2"/>
      <c r="D88" s="2">
        <v>3.1</v>
      </c>
      <c r="E88" s="2">
        <v>3.29</v>
      </c>
    </row>
    <row r="89" spans="1:5" x14ac:dyDescent="0.35">
      <c r="A89" s="2" t="s">
        <v>33</v>
      </c>
      <c r="B89" s="2"/>
      <c r="C89" s="2"/>
      <c r="D89" s="2" t="s">
        <v>18</v>
      </c>
      <c r="E89" s="2" t="s">
        <v>34</v>
      </c>
    </row>
    <row r="90" spans="1:5" x14ac:dyDescent="0.35">
      <c r="A90" s="2"/>
      <c r="B90" s="2" t="s">
        <v>6</v>
      </c>
      <c r="C90" s="2" t="s">
        <v>11</v>
      </c>
      <c r="D90" s="2">
        <v>3.4000000953674316</v>
      </c>
      <c r="E90" s="2">
        <v>3.9200000762939453</v>
      </c>
    </row>
    <row r="91" spans="1:5" x14ac:dyDescent="0.35">
      <c r="A91" s="2"/>
      <c r="B91" s="2" t="s">
        <v>7</v>
      </c>
      <c r="C91" s="2" t="s">
        <v>12</v>
      </c>
      <c r="D91" s="2">
        <v>6156.24951171875</v>
      </c>
      <c r="E91" s="2">
        <v>5150.0810546875</v>
      </c>
    </row>
    <row r="92" spans="1:5" x14ac:dyDescent="0.35">
      <c r="A92" s="2"/>
      <c r="B92" s="2" t="s">
        <v>8</v>
      </c>
      <c r="C92" s="2" t="s">
        <v>13</v>
      </c>
      <c r="D92" s="2">
        <v>0.18569210171699524</v>
      </c>
      <c r="E92" s="2">
        <v>9.7229376435279846E-2</v>
      </c>
    </row>
    <row r="93" spans="1:5" x14ac:dyDescent="0.35">
      <c r="A93" s="2"/>
      <c r="B93" s="2" t="s">
        <v>9</v>
      </c>
      <c r="C93" s="2" t="s">
        <v>14</v>
      </c>
      <c r="D93" s="2">
        <v>6171</v>
      </c>
      <c r="E93" s="2">
        <v>8356</v>
      </c>
    </row>
    <row r="94" spans="1:5" x14ac:dyDescent="0.35">
      <c r="A94" s="2"/>
      <c r="B94" s="2" t="s">
        <v>36</v>
      </c>
      <c r="C94" s="2" t="s">
        <v>15</v>
      </c>
      <c r="D94" s="2">
        <v>354.03872680664063</v>
      </c>
      <c r="E94" s="2">
        <v>473.42764282226563</v>
      </c>
    </row>
    <row r="95" spans="1:5" x14ac:dyDescent="0.35">
      <c r="A95" s="2"/>
      <c r="B95" s="2" t="s">
        <v>29</v>
      </c>
      <c r="C95" s="2" t="s">
        <v>30</v>
      </c>
      <c r="D95" s="2">
        <v>5592.3397656249999</v>
      </c>
      <c r="E95" s="2">
        <v>4178.6927929687499</v>
      </c>
    </row>
    <row r="96" spans="1:5" x14ac:dyDescent="0.35">
      <c r="A96" s="2"/>
      <c r="B96" s="2" t="s">
        <v>31</v>
      </c>
      <c r="C96" s="2" t="s">
        <v>32</v>
      </c>
      <c r="D96" s="2">
        <v>2.639607213136326E-5</v>
      </c>
      <c r="E96" s="2">
        <v>1.5068242952113975E-5</v>
      </c>
    </row>
    <row r="97" spans="1:5" x14ac:dyDescent="0.35">
      <c r="A97" s="2"/>
      <c r="B97" s="2" t="s">
        <v>50</v>
      </c>
      <c r="C97" s="2" t="s">
        <v>32</v>
      </c>
      <c r="D97" s="2">
        <v>0.65700000000000003</v>
      </c>
      <c r="E97" s="2">
        <v>7.0000000000000007E-2</v>
      </c>
    </row>
    <row r="98" spans="1:5" x14ac:dyDescent="0.35">
      <c r="A98" s="2"/>
      <c r="B98" s="2" t="s">
        <v>49</v>
      </c>
      <c r="C98" s="2" t="s">
        <v>32</v>
      </c>
      <c r="D98" s="2">
        <v>0.97736245414630207</v>
      </c>
      <c r="E98" s="2">
        <v>0.27763205073539798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/>
  </sheetViews>
  <sheetFormatPr defaultRowHeight="14.5" x14ac:dyDescent="0.35"/>
  <cols>
    <col min="3" max="3" width="7.26953125" customWidth="1"/>
    <col min="4" max="4" width="7.1796875" customWidth="1"/>
    <col min="5" max="5" width="7.453125" customWidth="1"/>
    <col min="6" max="6" width="6.81640625" customWidth="1"/>
    <col min="7" max="7" width="8" customWidth="1"/>
  </cols>
  <sheetData>
    <row r="1" spans="1:9" ht="16.5" x14ac:dyDescent="0.45">
      <c r="B1" s="20" t="s">
        <v>54</v>
      </c>
      <c r="C1" s="20"/>
      <c r="D1" s="20"/>
      <c r="E1" s="20"/>
      <c r="F1" s="20"/>
      <c r="G1" s="20"/>
      <c r="H1" s="20"/>
      <c r="I1" s="20"/>
    </row>
    <row r="2" spans="1:9" ht="16.5" x14ac:dyDescent="0.45">
      <c r="A2" s="9" t="s">
        <v>55</v>
      </c>
      <c r="B2" s="9" t="s">
        <v>51</v>
      </c>
      <c r="C2" s="9" t="s">
        <v>56</v>
      </c>
      <c r="D2" s="9" t="s">
        <v>5</v>
      </c>
      <c r="E2" s="9" t="s">
        <v>57</v>
      </c>
      <c r="F2" s="9" t="s">
        <v>52</v>
      </c>
      <c r="G2" s="9" t="s">
        <v>53</v>
      </c>
    </row>
    <row r="3" spans="1:9" ht="16.5" x14ac:dyDescent="0.45">
      <c r="A3" s="17" t="s">
        <v>23</v>
      </c>
      <c r="B3" s="4" t="s">
        <v>37</v>
      </c>
      <c r="C3" s="10">
        <v>389.14453125</v>
      </c>
      <c r="D3" s="11">
        <v>4.130000114440918</v>
      </c>
      <c r="E3" s="12">
        <v>4937.5345898437499</v>
      </c>
      <c r="F3" s="11">
        <v>0.28974535035703908</v>
      </c>
      <c r="G3" s="13">
        <v>7917</v>
      </c>
    </row>
    <row r="4" spans="1:9" ht="16.5" x14ac:dyDescent="0.45">
      <c r="A4" s="19"/>
      <c r="B4" s="5" t="s">
        <v>38</v>
      </c>
      <c r="C4" s="10">
        <v>454.86404418945313</v>
      </c>
      <c r="D4" s="11">
        <v>0.87000000476837158</v>
      </c>
      <c r="E4" s="12">
        <v>4672.1298046874999</v>
      </c>
      <c r="F4" s="11">
        <v>0.8127075892279656</v>
      </c>
      <c r="G4" s="13">
        <v>9207</v>
      </c>
    </row>
    <row r="5" spans="1:9" ht="16.5" x14ac:dyDescent="0.45">
      <c r="A5" s="19"/>
      <c r="B5" s="4" t="s">
        <v>39</v>
      </c>
      <c r="C5" s="10">
        <v>309.15103149414063</v>
      </c>
      <c r="D5" s="11">
        <v>3.2100000381469727</v>
      </c>
      <c r="E5" s="12">
        <v>5880.4559765624999</v>
      </c>
      <c r="F5" s="11">
        <v>0.97107720202300329</v>
      </c>
      <c r="G5" s="13">
        <v>6083</v>
      </c>
    </row>
    <row r="6" spans="1:9" ht="16.5" x14ac:dyDescent="0.45">
      <c r="A6" s="19"/>
      <c r="B6" s="6" t="s">
        <v>40</v>
      </c>
      <c r="C6" s="10">
        <v>306.432861328125</v>
      </c>
      <c r="D6" s="11">
        <v>2.8900001049041748</v>
      </c>
      <c r="E6" s="12">
        <v>5993.6669140624999</v>
      </c>
      <c r="F6" s="11">
        <v>0.91708872369946792</v>
      </c>
      <c r="G6" s="13">
        <v>6030</v>
      </c>
    </row>
    <row r="7" spans="1:9" ht="16.5" x14ac:dyDescent="0.45">
      <c r="A7" s="19"/>
      <c r="B7" s="6" t="s">
        <v>41</v>
      </c>
      <c r="C7" s="10">
        <v>300.78903198242188</v>
      </c>
      <c r="D7" s="11">
        <v>2.380000114440918</v>
      </c>
      <c r="E7" s="12">
        <v>6294.9261914062499</v>
      </c>
      <c r="F7" s="11">
        <v>0.89669652118715104</v>
      </c>
      <c r="G7" s="13">
        <v>6056</v>
      </c>
    </row>
    <row r="8" spans="1:9" x14ac:dyDescent="0.35">
      <c r="A8" s="19"/>
      <c r="B8" s="7" t="s">
        <v>21</v>
      </c>
      <c r="C8" s="10">
        <v>299.61029052734375</v>
      </c>
      <c r="D8" s="11">
        <v>2.5799999237060547</v>
      </c>
      <c r="E8" s="12">
        <v>6139.8680859374999</v>
      </c>
      <c r="F8" s="11">
        <v>1.02410294440262</v>
      </c>
      <c r="G8" s="13">
        <v>5888</v>
      </c>
    </row>
    <row r="9" spans="1:9" ht="16.5" x14ac:dyDescent="0.45">
      <c r="A9" s="19"/>
      <c r="B9" s="7" t="s">
        <v>42</v>
      </c>
      <c r="C9" s="10">
        <v>312.41604614257813</v>
      </c>
      <c r="D9" s="11">
        <v>0.93000000715255737</v>
      </c>
      <c r="E9" s="12">
        <v>5660.6322460937499</v>
      </c>
      <c r="F9" s="11">
        <v>1.0633172383175424</v>
      </c>
      <c r="G9" s="13">
        <v>6189</v>
      </c>
    </row>
    <row r="10" spans="1:9" ht="16.5" x14ac:dyDescent="0.45">
      <c r="A10" s="19"/>
      <c r="B10" s="7" t="s">
        <v>43</v>
      </c>
      <c r="C10" s="10">
        <v>317.65921020507813</v>
      </c>
      <c r="D10" s="11">
        <v>2.119999885559082</v>
      </c>
      <c r="E10" s="12">
        <v>6935.0248242187499</v>
      </c>
      <c r="F10" s="11">
        <v>0.8975466892336238</v>
      </c>
      <c r="G10" s="13">
        <v>6188</v>
      </c>
    </row>
    <row r="11" spans="1:9" ht="16.5" x14ac:dyDescent="0.45">
      <c r="A11" s="19"/>
      <c r="B11" s="6" t="s">
        <v>44</v>
      </c>
      <c r="C11" s="10">
        <v>343.15353393554688</v>
      </c>
      <c r="D11" s="11">
        <v>1.9600000381469727</v>
      </c>
      <c r="E11" s="12">
        <v>6334.2025585937499</v>
      </c>
      <c r="F11" s="11">
        <v>0.74843337366836238</v>
      </c>
      <c r="G11" s="13">
        <v>6719</v>
      </c>
    </row>
    <row r="12" spans="1:9" ht="16.5" x14ac:dyDescent="0.45">
      <c r="A12" s="19"/>
      <c r="B12" s="4" t="s">
        <v>45</v>
      </c>
      <c r="C12" s="10">
        <v>321.88247680664063</v>
      </c>
      <c r="D12" s="11">
        <v>3.3599998950958252</v>
      </c>
      <c r="E12" s="12">
        <v>5851.5140820312499</v>
      </c>
      <c r="F12" s="11">
        <v>0.73021072189512604</v>
      </c>
      <c r="G12" s="13">
        <v>6343</v>
      </c>
    </row>
    <row r="13" spans="1:9" ht="16.5" x14ac:dyDescent="0.45">
      <c r="A13" s="19"/>
      <c r="B13" s="7" t="s">
        <v>46</v>
      </c>
      <c r="C13" s="10">
        <v>283.86834716796875</v>
      </c>
      <c r="D13" s="11">
        <v>1.3600000143051147</v>
      </c>
      <c r="E13" s="12">
        <v>5442.6913281249999</v>
      </c>
      <c r="F13" s="11">
        <v>0.9614745469289131</v>
      </c>
      <c r="G13" s="13">
        <v>5556</v>
      </c>
    </row>
    <row r="14" spans="1:9" ht="16.5" x14ac:dyDescent="0.45">
      <c r="A14" s="18"/>
      <c r="B14" s="7" t="s">
        <v>47</v>
      </c>
      <c r="C14" s="10">
        <v>289.29489135742188</v>
      </c>
      <c r="D14" s="11">
        <v>1.7999999523162842</v>
      </c>
      <c r="E14" s="12">
        <v>5728.6488476562499</v>
      </c>
      <c r="F14" s="11">
        <v>0.98418600425592417</v>
      </c>
      <c r="G14" s="13">
        <v>5658</v>
      </c>
    </row>
    <row r="15" spans="1:9" ht="16.5" x14ac:dyDescent="0.45">
      <c r="A15" s="17" t="s">
        <v>33</v>
      </c>
      <c r="B15" s="4" t="s">
        <v>39</v>
      </c>
      <c r="C15" s="10">
        <v>315.75814819335938</v>
      </c>
      <c r="D15" s="11">
        <v>3.0999999046325684</v>
      </c>
      <c r="E15" s="12">
        <v>5922.0907421874999</v>
      </c>
      <c r="F15" s="11">
        <v>1.7676260992106228E-3</v>
      </c>
      <c r="G15" s="13">
        <v>6217</v>
      </c>
    </row>
    <row r="16" spans="1:9" ht="16.5" x14ac:dyDescent="0.45">
      <c r="A16" s="18"/>
      <c r="B16" s="4" t="s">
        <v>48</v>
      </c>
      <c r="C16" s="10">
        <v>407.69964599609375</v>
      </c>
      <c r="D16" s="11">
        <v>3.2899999618530273</v>
      </c>
      <c r="E16" s="12">
        <v>4653.1688671874999</v>
      </c>
      <c r="F16" s="11">
        <v>3.0659252375593907E-3</v>
      </c>
      <c r="G16" s="13">
        <v>8356</v>
      </c>
    </row>
    <row r="17" spans="1:9" x14ac:dyDescent="0.35">
      <c r="D17" s="8"/>
    </row>
    <row r="20" spans="1:9" ht="16.5" x14ac:dyDescent="0.45">
      <c r="B20" s="21" t="s">
        <v>58</v>
      </c>
      <c r="C20" s="21"/>
      <c r="D20" s="21"/>
      <c r="E20" s="21"/>
      <c r="F20" s="21"/>
      <c r="G20" s="21"/>
      <c r="H20" s="21"/>
      <c r="I20" s="21"/>
    </row>
    <row r="21" spans="1:9" ht="16.5" x14ac:dyDescent="0.45">
      <c r="A21" s="9" t="s">
        <v>55</v>
      </c>
      <c r="B21" s="9" t="s">
        <v>51</v>
      </c>
      <c r="C21" s="9" t="s">
        <v>59</v>
      </c>
      <c r="D21" s="9" t="s">
        <v>5</v>
      </c>
      <c r="E21" s="9" t="s">
        <v>57</v>
      </c>
      <c r="F21" s="9" t="s">
        <v>52</v>
      </c>
      <c r="G21" s="9" t="s">
        <v>53</v>
      </c>
    </row>
    <row r="22" spans="1:9" ht="16.5" x14ac:dyDescent="0.45">
      <c r="A22" s="17" t="s">
        <v>23</v>
      </c>
      <c r="B22" s="4" t="s">
        <v>37</v>
      </c>
      <c r="C22" s="10">
        <v>455.05740356445313</v>
      </c>
      <c r="D22" s="11">
        <v>4.8299999237060547</v>
      </c>
      <c r="E22" s="12">
        <v>4957.2655468749999</v>
      </c>
      <c r="F22" s="11">
        <v>0.31825403239871036</v>
      </c>
      <c r="G22" s="13">
        <v>7917</v>
      </c>
    </row>
    <row r="23" spans="1:9" ht="16.5" x14ac:dyDescent="0.45">
      <c r="A23" s="19"/>
      <c r="B23" s="5" t="s">
        <v>38</v>
      </c>
      <c r="C23" s="10">
        <v>540.0958251953125</v>
      </c>
      <c r="D23" s="11">
        <v>0.9100000262260437</v>
      </c>
      <c r="E23" s="12">
        <v>4635.9315624999999</v>
      </c>
      <c r="F23" s="11">
        <v>0.81763434661609891</v>
      </c>
      <c r="G23" s="13">
        <v>9207</v>
      </c>
    </row>
    <row r="24" spans="1:9" ht="16.5" x14ac:dyDescent="0.45">
      <c r="A24" s="19"/>
      <c r="B24" s="4" t="s">
        <v>39</v>
      </c>
      <c r="C24" s="10">
        <v>368.52752685546875</v>
      </c>
      <c r="D24" s="11">
        <v>3.4500000476837158</v>
      </c>
      <c r="E24" s="12">
        <v>5630.8143749999999</v>
      </c>
      <c r="F24" s="11">
        <v>0.97893993076667218</v>
      </c>
      <c r="G24" s="13">
        <v>6083</v>
      </c>
    </row>
    <row r="25" spans="1:9" ht="16.5" x14ac:dyDescent="0.45">
      <c r="A25" s="19"/>
      <c r="B25" s="6" t="s">
        <v>40</v>
      </c>
      <c r="C25" s="10">
        <v>365.45938110351563</v>
      </c>
      <c r="D25" s="11">
        <v>3.0999999046325684</v>
      </c>
      <c r="E25" s="12">
        <v>5735.6400585937499</v>
      </c>
      <c r="F25" s="11">
        <v>0.92640031809990864</v>
      </c>
      <c r="G25" s="13">
        <v>6030</v>
      </c>
    </row>
    <row r="26" spans="1:9" ht="16.5" x14ac:dyDescent="0.45">
      <c r="A26" s="19"/>
      <c r="B26" s="6" t="s">
        <v>41</v>
      </c>
      <c r="C26" s="10">
        <v>370.592041015625</v>
      </c>
      <c r="D26" s="11">
        <v>2.5899999141693115</v>
      </c>
      <c r="E26" s="12">
        <v>6019.4662304687499</v>
      </c>
      <c r="F26" s="11">
        <v>0.90806985292723996</v>
      </c>
      <c r="G26" s="13">
        <v>6140</v>
      </c>
    </row>
    <row r="27" spans="1:9" x14ac:dyDescent="0.35">
      <c r="A27" s="19"/>
      <c r="B27" s="7" t="s">
        <v>21</v>
      </c>
      <c r="C27" s="10">
        <v>357.68838500976563</v>
      </c>
      <c r="D27" s="11">
        <v>2.7699999809265137</v>
      </c>
      <c r="E27" s="12">
        <v>5865.5243359374999</v>
      </c>
      <c r="F27" s="11">
        <v>1.0294181753999214</v>
      </c>
      <c r="G27" s="13">
        <v>5888</v>
      </c>
    </row>
    <row r="28" spans="1:9" ht="16.5" x14ac:dyDescent="0.45">
      <c r="A28" s="19"/>
      <c r="B28" s="7" t="s">
        <v>42</v>
      </c>
      <c r="C28" s="10">
        <v>369.91778564453125</v>
      </c>
      <c r="D28" s="11">
        <v>0.98000001907348633</v>
      </c>
      <c r="E28" s="12">
        <v>5337.4247265624999</v>
      </c>
      <c r="F28" s="11">
        <v>1.0651485155335938</v>
      </c>
      <c r="G28" s="13">
        <v>6189</v>
      </c>
    </row>
    <row r="29" spans="1:9" ht="16.5" x14ac:dyDescent="0.45">
      <c r="A29" s="19"/>
      <c r="B29" s="7" t="s">
        <v>43</v>
      </c>
      <c r="C29" s="10">
        <v>382.26251220703125</v>
      </c>
      <c r="D29" s="11">
        <v>2.1600000858306885</v>
      </c>
      <c r="E29" s="12">
        <v>6618.8597851562499</v>
      </c>
      <c r="F29" s="11">
        <v>0.8999774192548301</v>
      </c>
      <c r="G29" s="13">
        <v>6188</v>
      </c>
    </row>
    <row r="30" spans="1:9" ht="16.5" x14ac:dyDescent="0.45">
      <c r="A30" s="19"/>
      <c r="B30" s="6" t="s">
        <v>44</v>
      </c>
      <c r="C30" s="10">
        <v>407.468994140625</v>
      </c>
      <c r="D30" s="11">
        <v>2.059999942779541</v>
      </c>
      <c r="E30" s="12">
        <v>6093.3856640624999</v>
      </c>
      <c r="F30" s="11">
        <v>0.75694416106973184</v>
      </c>
      <c r="G30" s="13">
        <v>6661</v>
      </c>
    </row>
    <row r="31" spans="1:9" ht="16.5" x14ac:dyDescent="0.45">
      <c r="A31" s="19"/>
      <c r="B31" s="4" t="s">
        <v>45</v>
      </c>
      <c r="C31" s="10">
        <v>379.0687255859375</v>
      </c>
      <c r="D31" s="11">
        <v>3.630000114440918</v>
      </c>
      <c r="E31" s="12">
        <v>5617.2587109374999</v>
      </c>
      <c r="F31" s="11">
        <v>0.74587029364412727</v>
      </c>
      <c r="G31" s="13">
        <v>6287</v>
      </c>
    </row>
    <row r="32" spans="1:9" ht="16.5" x14ac:dyDescent="0.45">
      <c r="A32" s="19"/>
      <c r="B32" s="7" t="s">
        <v>46</v>
      </c>
      <c r="C32" s="10">
        <v>339.3087158203125</v>
      </c>
      <c r="D32" s="11">
        <v>1.3999999761581421</v>
      </c>
      <c r="E32" s="12">
        <v>5174.3758984374999</v>
      </c>
      <c r="F32" s="11">
        <v>0.96400248762458884</v>
      </c>
      <c r="G32" s="13">
        <v>5556</v>
      </c>
    </row>
    <row r="33" spans="1:7" ht="16.5" x14ac:dyDescent="0.45">
      <c r="A33" s="18"/>
      <c r="B33" s="7" t="s">
        <v>47</v>
      </c>
      <c r="C33" s="10">
        <v>346.05084228515625</v>
      </c>
      <c r="D33" s="11">
        <v>1.8999999761581421</v>
      </c>
      <c r="E33" s="12">
        <v>5461.2797070312499</v>
      </c>
      <c r="F33" s="11">
        <v>0.98887242799071773</v>
      </c>
      <c r="G33" s="13">
        <v>5658</v>
      </c>
    </row>
    <row r="34" spans="1:7" ht="16.5" x14ac:dyDescent="0.45">
      <c r="A34" s="17" t="s">
        <v>33</v>
      </c>
      <c r="B34" s="4" t="s">
        <v>39</v>
      </c>
      <c r="C34" s="10">
        <v>373.18914794921875</v>
      </c>
      <c r="D34" s="11">
        <v>3.4000000953674316</v>
      </c>
      <c r="E34" s="12">
        <v>5592.3397656249999</v>
      </c>
      <c r="F34" s="11">
        <v>1.8494043001040768E-3</v>
      </c>
      <c r="G34" s="13">
        <v>6171</v>
      </c>
    </row>
    <row r="35" spans="1:7" ht="16.5" x14ac:dyDescent="0.45">
      <c r="A35" s="18"/>
      <c r="B35" s="4" t="s">
        <v>48</v>
      </c>
      <c r="C35" s="10">
        <v>474.6004638671875</v>
      </c>
      <c r="D35" s="11">
        <v>3.9200000762939453</v>
      </c>
      <c r="E35" s="12">
        <v>4178.6927929687499</v>
      </c>
      <c r="F35" s="11">
        <v>1.7854910564531522E-3</v>
      </c>
      <c r="G35" s="13">
        <v>8356</v>
      </c>
    </row>
  </sheetData>
  <mergeCells count="6">
    <mergeCell ref="A34:A35"/>
    <mergeCell ref="A3:A14"/>
    <mergeCell ref="A15:A16"/>
    <mergeCell ref="B1:I1"/>
    <mergeCell ref="B20:I20"/>
    <mergeCell ref="A22:A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218D-8D6F-4B28-96B4-D1C861EC3194}">
  <dimension ref="A1:G33"/>
  <sheetViews>
    <sheetView workbookViewId="0">
      <selection activeCell="H28" sqref="H28"/>
    </sheetView>
  </sheetViews>
  <sheetFormatPr defaultRowHeight="14.5" x14ac:dyDescent="0.35"/>
  <sheetData>
    <row r="1" spans="1:7" x14ac:dyDescent="0.35">
      <c r="A1" t="s">
        <v>60</v>
      </c>
    </row>
    <row r="2" spans="1:7" x14ac:dyDescent="0.35">
      <c r="A2" t="s">
        <v>61</v>
      </c>
      <c r="B2" t="s">
        <v>62</v>
      </c>
      <c r="C2" t="s">
        <v>63</v>
      </c>
      <c r="D2" t="s">
        <v>5</v>
      </c>
      <c r="E2" t="s">
        <v>64</v>
      </c>
      <c r="F2" t="s">
        <v>52</v>
      </c>
      <c r="G2" t="s">
        <v>53</v>
      </c>
    </row>
    <row r="3" spans="1:7" x14ac:dyDescent="0.35">
      <c r="A3" t="s">
        <v>23</v>
      </c>
      <c r="B3" t="s">
        <v>16</v>
      </c>
      <c r="C3">
        <v>389.4</v>
      </c>
      <c r="D3">
        <v>4.13</v>
      </c>
      <c r="E3">
        <v>4964</v>
      </c>
      <c r="F3">
        <v>0.28999999999999998</v>
      </c>
      <c r="G3">
        <v>7927</v>
      </c>
    </row>
    <row r="4" spans="1:7" x14ac:dyDescent="0.35">
      <c r="B4" t="s">
        <v>17</v>
      </c>
      <c r="C4">
        <v>459</v>
      </c>
      <c r="D4">
        <v>0.87</v>
      </c>
      <c r="E4">
        <v>4636</v>
      </c>
      <c r="F4">
        <v>0.23</v>
      </c>
      <c r="G4">
        <v>9293</v>
      </c>
    </row>
    <row r="5" spans="1:7" x14ac:dyDescent="0.35">
      <c r="B5" t="s">
        <v>18</v>
      </c>
      <c r="C5">
        <v>309.60000000000002</v>
      </c>
      <c r="D5">
        <v>3.21</v>
      </c>
      <c r="E5">
        <v>5900</v>
      </c>
      <c r="F5">
        <v>0.82</v>
      </c>
      <c r="G5">
        <v>6091</v>
      </c>
    </row>
    <row r="6" spans="1:7" x14ac:dyDescent="0.35">
      <c r="B6" t="s">
        <v>19</v>
      </c>
      <c r="C6">
        <v>306.7</v>
      </c>
      <c r="D6">
        <v>2.89</v>
      </c>
      <c r="E6">
        <v>6008</v>
      </c>
      <c r="F6">
        <v>0.9</v>
      </c>
      <c r="G6">
        <v>6038</v>
      </c>
    </row>
    <row r="7" spans="1:7" x14ac:dyDescent="0.35">
      <c r="B7" t="s">
        <v>20</v>
      </c>
      <c r="C7">
        <v>311.5</v>
      </c>
      <c r="D7">
        <v>2.38</v>
      </c>
      <c r="E7">
        <v>6307</v>
      </c>
      <c r="F7">
        <v>0.88</v>
      </c>
      <c r="G7">
        <v>6150</v>
      </c>
    </row>
    <row r="8" spans="1:7" x14ac:dyDescent="0.35">
      <c r="B8" t="s">
        <v>21</v>
      </c>
      <c r="C8">
        <v>300.10000000000002</v>
      </c>
      <c r="D8">
        <v>2.58</v>
      </c>
      <c r="E8">
        <v>6157</v>
      </c>
      <c r="F8">
        <v>1.03</v>
      </c>
      <c r="G8">
        <v>5902</v>
      </c>
    </row>
    <row r="9" spans="1:7" x14ac:dyDescent="0.35">
      <c r="B9" t="s">
        <v>22</v>
      </c>
      <c r="C9">
        <v>312.60000000000002</v>
      </c>
      <c r="D9">
        <v>0.93</v>
      </c>
      <c r="E9">
        <v>5671</v>
      </c>
      <c r="F9">
        <v>1.08</v>
      </c>
      <c r="G9">
        <v>6192</v>
      </c>
    </row>
    <row r="10" spans="1:7" x14ac:dyDescent="0.35">
      <c r="B10" t="s">
        <v>24</v>
      </c>
      <c r="C10">
        <v>318.8</v>
      </c>
      <c r="D10">
        <v>2.12</v>
      </c>
      <c r="E10">
        <v>6933</v>
      </c>
      <c r="F10">
        <v>0.92</v>
      </c>
      <c r="G10">
        <v>6218</v>
      </c>
    </row>
    <row r="11" spans="1:7" x14ac:dyDescent="0.35">
      <c r="B11" t="s">
        <v>25</v>
      </c>
      <c r="C11">
        <v>341.9</v>
      </c>
      <c r="D11">
        <v>1.96</v>
      </c>
      <c r="E11">
        <v>6312</v>
      </c>
      <c r="F11">
        <v>0.74</v>
      </c>
      <c r="G11">
        <v>6696</v>
      </c>
    </row>
    <row r="12" spans="1:7" x14ac:dyDescent="0.35">
      <c r="B12" t="s">
        <v>65</v>
      </c>
      <c r="C12">
        <v>319</v>
      </c>
      <c r="D12">
        <v>3.36</v>
      </c>
      <c r="E12">
        <v>5873</v>
      </c>
      <c r="F12">
        <v>0.71</v>
      </c>
      <c r="G12">
        <v>6298</v>
      </c>
    </row>
    <row r="13" spans="1:7" x14ac:dyDescent="0.35">
      <c r="B13" t="s">
        <v>27</v>
      </c>
      <c r="C13">
        <v>284.10000000000002</v>
      </c>
      <c r="D13">
        <v>1.36</v>
      </c>
      <c r="E13">
        <v>5453</v>
      </c>
      <c r="F13">
        <v>0.96</v>
      </c>
      <c r="G13">
        <v>5560</v>
      </c>
    </row>
    <row r="14" spans="1:7" x14ac:dyDescent="0.35">
      <c r="B14" t="s">
        <v>28</v>
      </c>
      <c r="C14">
        <v>289.5</v>
      </c>
      <c r="D14">
        <v>1.8</v>
      </c>
      <c r="E14">
        <v>5739</v>
      </c>
      <c r="F14">
        <v>0.99</v>
      </c>
      <c r="G14">
        <v>5661</v>
      </c>
    </row>
    <row r="15" spans="1:7" x14ac:dyDescent="0.35">
      <c r="A15" t="s">
        <v>33</v>
      </c>
      <c r="B15" t="s">
        <v>18</v>
      </c>
      <c r="C15">
        <v>314.2</v>
      </c>
      <c r="D15">
        <v>3.1</v>
      </c>
      <c r="E15">
        <v>5956</v>
      </c>
      <c r="F15" t="s">
        <v>66</v>
      </c>
      <c r="G15">
        <v>6192</v>
      </c>
    </row>
    <row r="16" spans="1:7" x14ac:dyDescent="0.35">
      <c r="B16" t="s">
        <v>34</v>
      </c>
      <c r="C16">
        <v>407.9</v>
      </c>
      <c r="D16">
        <v>3.29</v>
      </c>
      <c r="E16">
        <v>4669</v>
      </c>
      <c r="F16" t="s">
        <v>66</v>
      </c>
      <c r="G16">
        <v>8366</v>
      </c>
    </row>
    <row r="18" spans="1:7" x14ac:dyDescent="0.35">
      <c r="A18" t="s">
        <v>67</v>
      </c>
    </row>
    <row r="19" spans="1:7" x14ac:dyDescent="0.35">
      <c r="A19" t="s">
        <v>61</v>
      </c>
      <c r="B19" t="s">
        <v>62</v>
      </c>
      <c r="C19" t="s">
        <v>63</v>
      </c>
      <c r="D19" t="s">
        <v>5</v>
      </c>
      <c r="E19" t="s">
        <v>64</v>
      </c>
      <c r="F19" t="s">
        <v>52</v>
      </c>
      <c r="G19" t="s">
        <v>53</v>
      </c>
    </row>
    <row r="20" spans="1:7" x14ac:dyDescent="0.35">
      <c r="A20" t="s">
        <v>23</v>
      </c>
      <c r="B20" t="s">
        <v>16</v>
      </c>
      <c r="C20">
        <v>455.3</v>
      </c>
      <c r="D20">
        <v>4.83</v>
      </c>
      <c r="E20">
        <v>5392</v>
      </c>
      <c r="F20">
        <v>0.32</v>
      </c>
      <c r="G20">
        <v>7828</v>
      </c>
    </row>
    <row r="21" spans="1:7" x14ac:dyDescent="0.35">
      <c r="B21" t="s">
        <v>17</v>
      </c>
      <c r="C21">
        <v>540.29999999999995</v>
      </c>
      <c r="D21">
        <v>0.91</v>
      </c>
      <c r="E21">
        <v>4692</v>
      </c>
      <c r="F21">
        <v>0.24</v>
      </c>
      <c r="G21">
        <v>9350</v>
      </c>
    </row>
    <row r="22" spans="1:7" x14ac:dyDescent="0.35">
      <c r="B22" t="s">
        <v>18</v>
      </c>
      <c r="C22">
        <v>368.9</v>
      </c>
      <c r="D22">
        <v>3.45</v>
      </c>
      <c r="E22">
        <v>5954</v>
      </c>
      <c r="F22">
        <v>0.83</v>
      </c>
      <c r="G22">
        <v>6030</v>
      </c>
    </row>
    <row r="23" spans="1:7" x14ac:dyDescent="0.35">
      <c r="B23" t="s">
        <v>19</v>
      </c>
      <c r="C23">
        <v>365.7</v>
      </c>
      <c r="D23">
        <v>3.1</v>
      </c>
      <c r="E23">
        <v>6064</v>
      </c>
      <c r="F23">
        <v>0.91</v>
      </c>
      <c r="G23">
        <v>5986</v>
      </c>
    </row>
    <row r="24" spans="1:7" x14ac:dyDescent="0.35">
      <c r="B24" t="s">
        <v>20</v>
      </c>
      <c r="C24">
        <v>370.9</v>
      </c>
      <c r="D24">
        <v>2.59</v>
      </c>
      <c r="E24">
        <v>6370</v>
      </c>
      <c r="F24">
        <v>0.89</v>
      </c>
      <c r="G24">
        <v>6085</v>
      </c>
    </row>
    <row r="25" spans="1:7" x14ac:dyDescent="0.35">
      <c r="B25" t="s">
        <v>21</v>
      </c>
      <c r="C25">
        <v>358.2</v>
      </c>
      <c r="D25">
        <v>2.77</v>
      </c>
      <c r="E25">
        <v>6202</v>
      </c>
      <c r="F25">
        <v>1.03</v>
      </c>
      <c r="G25">
        <v>5850</v>
      </c>
    </row>
    <row r="26" spans="1:7" x14ac:dyDescent="0.35">
      <c r="B26" t="s">
        <v>22</v>
      </c>
      <c r="C26">
        <v>370.1</v>
      </c>
      <c r="D26">
        <v>0.98</v>
      </c>
      <c r="E26">
        <v>5683</v>
      </c>
      <c r="F26">
        <v>1.01</v>
      </c>
      <c r="G26">
        <v>6154</v>
      </c>
    </row>
    <row r="27" spans="1:7" x14ac:dyDescent="0.35">
      <c r="B27" t="s">
        <v>24</v>
      </c>
      <c r="C27">
        <v>383.5</v>
      </c>
      <c r="D27">
        <v>2.16</v>
      </c>
      <c r="E27">
        <v>6985</v>
      </c>
      <c r="F27">
        <v>0.92</v>
      </c>
      <c r="G27">
        <v>6215</v>
      </c>
    </row>
    <row r="28" spans="1:7" x14ac:dyDescent="0.35">
      <c r="B28" t="s">
        <v>25</v>
      </c>
      <c r="C28">
        <v>409.8</v>
      </c>
      <c r="D28">
        <v>2.06</v>
      </c>
      <c r="E28">
        <v>6445</v>
      </c>
      <c r="F28">
        <v>0.75</v>
      </c>
      <c r="G28">
        <v>6689</v>
      </c>
    </row>
    <row r="29" spans="1:7" x14ac:dyDescent="0.35">
      <c r="B29" t="s">
        <v>65</v>
      </c>
      <c r="C29">
        <v>379.5</v>
      </c>
      <c r="D29">
        <v>3.63</v>
      </c>
      <c r="E29">
        <v>5949</v>
      </c>
      <c r="F29">
        <v>0.72</v>
      </c>
      <c r="G29">
        <v>6224</v>
      </c>
    </row>
    <row r="30" spans="1:7" x14ac:dyDescent="0.35">
      <c r="B30" t="s">
        <v>27</v>
      </c>
      <c r="C30">
        <v>340</v>
      </c>
      <c r="D30">
        <v>1.4</v>
      </c>
      <c r="E30">
        <v>5464</v>
      </c>
      <c r="F30">
        <v>0.96</v>
      </c>
      <c r="G30">
        <v>5545</v>
      </c>
    </row>
    <row r="31" spans="1:7" x14ac:dyDescent="0.35">
      <c r="B31" t="s">
        <v>28</v>
      </c>
      <c r="C31">
        <v>346.2</v>
      </c>
      <c r="D31">
        <v>1.9</v>
      </c>
      <c r="E31">
        <v>5759</v>
      </c>
      <c r="F31">
        <v>0.99</v>
      </c>
      <c r="G31">
        <v>5627</v>
      </c>
    </row>
    <row r="32" spans="1:7" x14ac:dyDescent="0.35">
      <c r="A32" t="s">
        <v>33</v>
      </c>
      <c r="B32" t="s">
        <v>18</v>
      </c>
      <c r="C32">
        <v>374.5</v>
      </c>
      <c r="D32">
        <v>3.4</v>
      </c>
      <c r="E32">
        <v>6036</v>
      </c>
      <c r="F32" t="s">
        <v>66</v>
      </c>
      <c r="G32">
        <v>6117</v>
      </c>
    </row>
    <row r="33" spans="2:7" x14ac:dyDescent="0.35">
      <c r="B33" t="s">
        <v>34</v>
      </c>
      <c r="C33">
        <v>457.7</v>
      </c>
      <c r="D33">
        <v>3.92</v>
      </c>
      <c r="E33">
        <v>5184</v>
      </c>
      <c r="F33" t="s">
        <v>66</v>
      </c>
      <c r="G33">
        <v>8263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CAE-8CC6-42A4-A4F8-9A4B930E4A9B}">
  <dimension ref="A1:AA35"/>
  <sheetViews>
    <sheetView workbookViewId="0">
      <selection activeCell="A20" sqref="A20:G20"/>
    </sheetView>
  </sheetViews>
  <sheetFormatPr defaultRowHeight="14.5" x14ac:dyDescent="0.35"/>
  <sheetData>
    <row r="1" spans="1:27" ht="16.5" x14ac:dyDescent="0.45">
      <c r="A1" s="22" t="s">
        <v>68</v>
      </c>
      <c r="B1" s="22"/>
      <c r="C1" s="22"/>
      <c r="D1" s="22"/>
      <c r="E1" s="22"/>
      <c r="F1" s="22"/>
      <c r="G1" s="22"/>
      <c r="L1" s="20" t="s">
        <v>54</v>
      </c>
      <c r="M1" s="20"/>
      <c r="N1" s="20"/>
      <c r="O1" s="20"/>
      <c r="P1" s="20"/>
      <c r="Q1" s="20"/>
      <c r="R1" s="20"/>
      <c r="S1" s="20"/>
      <c r="U1" t="s">
        <v>60</v>
      </c>
    </row>
    <row r="2" spans="1:27" ht="16.5" x14ac:dyDescent="0.45">
      <c r="A2" s="9" t="s">
        <v>55</v>
      </c>
      <c r="B2" s="9" t="s">
        <v>51</v>
      </c>
      <c r="C2" s="9" t="s">
        <v>56</v>
      </c>
      <c r="D2" s="9" t="s">
        <v>5</v>
      </c>
      <c r="E2" s="9" t="s">
        <v>57</v>
      </c>
      <c r="F2" s="9" t="s">
        <v>52</v>
      </c>
      <c r="G2" s="9" t="s">
        <v>53</v>
      </c>
      <c r="K2" s="9" t="s">
        <v>55</v>
      </c>
      <c r="L2" s="9" t="s">
        <v>51</v>
      </c>
      <c r="M2" s="9" t="s">
        <v>56</v>
      </c>
      <c r="N2" s="9" t="s">
        <v>5</v>
      </c>
      <c r="O2" s="9" t="s">
        <v>57</v>
      </c>
      <c r="P2" s="9" t="s">
        <v>52</v>
      </c>
      <c r="Q2" s="9" t="s">
        <v>53</v>
      </c>
      <c r="U2" t="s">
        <v>61</v>
      </c>
      <c r="V2" t="s">
        <v>62</v>
      </c>
      <c r="W2" t="s">
        <v>63</v>
      </c>
      <c r="X2" t="s">
        <v>5</v>
      </c>
      <c r="Y2" t="s">
        <v>64</v>
      </c>
      <c r="Z2" t="s">
        <v>52</v>
      </c>
      <c r="AA2" t="s">
        <v>53</v>
      </c>
    </row>
    <row r="3" spans="1:27" ht="16.5" x14ac:dyDescent="0.45">
      <c r="A3" s="17" t="s">
        <v>23</v>
      </c>
      <c r="B3" s="4" t="s">
        <v>37</v>
      </c>
      <c r="C3" s="15">
        <f>ABS(M3-W3)/W3</f>
        <v>6.5605739599377828E-4</v>
      </c>
      <c r="D3" s="15" t="s">
        <v>66</v>
      </c>
      <c r="E3" s="15">
        <f t="shared" ref="E3:G16" si="0">ABS(O3-Y3)/Y3</f>
        <v>5.3314686052075089E-3</v>
      </c>
      <c r="F3" s="15">
        <f t="shared" si="0"/>
        <v>8.7810221710656012E-4</v>
      </c>
      <c r="G3" s="15">
        <f t="shared" si="0"/>
        <v>1.2615112905260501E-3</v>
      </c>
      <c r="K3" s="17" t="s">
        <v>23</v>
      </c>
      <c r="L3" s="4" t="s">
        <v>37</v>
      </c>
      <c r="M3" s="10">
        <v>389.14453125</v>
      </c>
      <c r="N3" s="11">
        <v>4.130000114440918</v>
      </c>
      <c r="O3" s="12">
        <v>4937.5345898437499</v>
      </c>
      <c r="P3" s="11">
        <v>0.28974535035703908</v>
      </c>
      <c r="Q3" s="13">
        <v>7917</v>
      </c>
      <c r="U3" t="s">
        <v>23</v>
      </c>
      <c r="V3" t="s">
        <v>16</v>
      </c>
      <c r="W3">
        <v>389.4</v>
      </c>
      <c r="X3">
        <v>4.13</v>
      </c>
      <c r="Y3">
        <v>4964</v>
      </c>
      <c r="Z3">
        <v>0.28999999999999998</v>
      </c>
      <c r="AA3">
        <v>7927</v>
      </c>
    </row>
    <row r="4" spans="1:27" ht="16.5" x14ac:dyDescent="0.45">
      <c r="A4" s="19"/>
      <c r="B4" s="5" t="s">
        <v>38</v>
      </c>
      <c r="C4" s="15">
        <f t="shared" ref="C4:C16" si="1">ABS(M4-W4)/W4</f>
        <v>9.010796972869009E-3</v>
      </c>
      <c r="D4" s="15" t="s">
        <v>66</v>
      </c>
      <c r="E4" s="15">
        <f t="shared" si="0"/>
        <v>7.793314212144074E-3</v>
      </c>
      <c r="F4" s="15">
        <f t="shared" si="0"/>
        <v>2.533511257512894</v>
      </c>
      <c r="G4" s="15">
        <f t="shared" si="0"/>
        <v>9.2542774131066392E-3</v>
      </c>
      <c r="K4" s="19"/>
      <c r="L4" s="5" t="s">
        <v>38</v>
      </c>
      <c r="M4" s="10">
        <v>454.86404418945313</v>
      </c>
      <c r="N4" s="11">
        <v>0.87000000476837158</v>
      </c>
      <c r="O4" s="12">
        <v>4672.1298046874999</v>
      </c>
      <c r="P4" s="11">
        <v>0.8127075892279656</v>
      </c>
      <c r="Q4" s="13">
        <v>9207</v>
      </c>
      <c r="V4" t="s">
        <v>17</v>
      </c>
      <c r="W4">
        <v>459</v>
      </c>
      <c r="X4">
        <v>0.87</v>
      </c>
      <c r="Y4">
        <v>4636</v>
      </c>
      <c r="Z4">
        <v>0.23</v>
      </c>
      <c r="AA4">
        <v>9293</v>
      </c>
    </row>
    <row r="5" spans="1:27" ht="16.5" x14ac:dyDescent="0.45">
      <c r="A5" s="19"/>
      <c r="B5" s="4" t="s">
        <v>39</v>
      </c>
      <c r="C5" s="15">
        <f t="shared" si="1"/>
        <v>1.4501566726724732E-3</v>
      </c>
      <c r="D5" s="15" t="s">
        <v>66</v>
      </c>
      <c r="E5" s="15">
        <f t="shared" si="0"/>
        <v>3.3125463453389952E-3</v>
      </c>
      <c r="F5" s="15">
        <f t="shared" si="0"/>
        <v>0.1842404902719553</v>
      </c>
      <c r="G5" s="15">
        <f t="shared" si="0"/>
        <v>1.3134132326383188E-3</v>
      </c>
      <c r="K5" s="19"/>
      <c r="L5" s="4" t="s">
        <v>39</v>
      </c>
      <c r="M5" s="10">
        <v>309.15103149414063</v>
      </c>
      <c r="N5" s="11">
        <v>3.2100000381469727</v>
      </c>
      <c r="O5" s="12">
        <v>5880.4559765624999</v>
      </c>
      <c r="P5" s="11">
        <v>0.97107720202300329</v>
      </c>
      <c r="Q5" s="13">
        <v>6083</v>
      </c>
      <c r="V5" t="s">
        <v>18</v>
      </c>
      <c r="W5">
        <v>309.60000000000002</v>
      </c>
      <c r="X5">
        <v>3.21</v>
      </c>
      <c r="Y5">
        <v>5900</v>
      </c>
      <c r="Z5">
        <v>0.82</v>
      </c>
      <c r="AA5">
        <v>6091</v>
      </c>
    </row>
    <row r="6" spans="1:27" ht="16.5" x14ac:dyDescent="0.45">
      <c r="A6" s="19"/>
      <c r="B6" s="6" t="s">
        <v>40</v>
      </c>
      <c r="C6" s="15">
        <f t="shared" si="1"/>
        <v>8.7100968984345824E-4</v>
      </c>
      <c r="D6" s="15" t="s">
        <v>66</v>
      </c>
      <c r="E6" s="15">
        <f t="shared" si="0"/>
        <v>2.3856667672270426E-3</v>
      </c>
      <c r="F6" s="15">
        <f t="shared" si="0"/>
        <v>1.8987470777186554E-2</v>
      </c>
      <c r="G6" s="15">
        <f t="shared" si="0"/>
        <v>1.3249420337860219E-3</v>
      </c>
      <c r="K6" s="19"/>
      <c r="L6" s="6" t="s">
        <v>40</v>
      </c>
      <c r="M6" s="10">
        <v>306.432861328125</v>
      </c>
      <c r="N6" s="11">
        <v>2.8900001049041748</v>
      </c>
      <c r="O6" s="12">
        <v>5993.6669140624999</v>
      </c>
      <c r="P6" s="11">
        <v>0.91708872369946792</v>
      </c>
      <c r="Q6" s="13">
        <v>6030</v>
      </c>
      <c r="V6" t="s">
        <v>19</v>
      </c>
      <c r="W6">
        <v>306.7</v>
      </c>
      <c r="X6">
        <v>2.89</v>
      </c>
      <c r="Y6">
        <v>6008</v>
      </c>
      <c r="Z6">
        <v>0.9</v>
      </c>
      <c r="AA6">
        <v>6038</v>
      </c>
    </row>
    <row r="7" spans="1:27" ht="16.5" x14ac:dyDescent="0.45">
      <c r="A7" s="19"/>
      <c r="B7" s="6" t="s">
        <v>41</v>
      </c>
      <c r="C7" s="15">
        <f t="shared" si="1"/>
        <v>3.4385130072481944E-2</v>
      </c>
      <c r="D7" s="15" t="s">
        <v>66</v>
      </c>
      <c r="E7" s="15">
        <f t="shared" si="0"/>
        <v>1.9143504984541102E-3</v>
      </c>
      <c r="F7" s="15">
        <f t="shared" si="0"/>
        <v>1.897331953085345E-2</v>
      </c>
      <c r="G7" s="15">
        <f t="shared" si="0"/>
        <v>1.5284552845528456E-2</v>
      </c>
      <c r="K7" s="19"/>
      <c r="L7" s="6" t="s">
        <v>41</v>
      </c>
      <c r="M7" s="10">
        <v>300.78903198242188</v>
      </c>
      <c r="N7" s="11">
        <v>2.380000114440918</v>
      </c>
      <c r="O7" s="12">
        <v>6294.9261914062499</v>
      </c>
      <c r="P7" s="11">
        <v>0.89669652118715104</v>
      </c>
      <c r="Q7" s="13">
        <v>6056</v>
      </c>
      <c r="V7" t="s">
        <v>20</v>
      </c>
      <c r="W7">
        <v>311.5</v>
      </c>
      <c r="X7">
        <v>2.38</v>
      </c>
      <c r="Y7">
        <v>6307</v>
      </c>
      <c r="Z7">
        <v>0.88</v>
      </c>
      <c r="AA7">
        <v>6150</v>
      </c>
    </row>
    <row r="8" spans="1:27" x14ac:dyDescent="0.35">
      <c r="A8" s="19"/>
      <c r="B8" s="7" t="s">
        <v>21</v>
      </c>
      <c r="C8" s="15">
        <f t="shared" si="1"/>
        <v>1.6318209685313985E-3</v>
      </c>
      <c r="D8" s="15" t="s">
        <v>66</v>
      </c>
      <c r="E8" s="15">
        <f t="shared" si="0"/>
        <v>2.782509998781886E-3</v>
      </c>
      <c r="F8" s="15">
        <f t="shared" si="0"/>
        <v>5.7252966964855085E-3</v>
      </c>
      <c r="G8" s="15">
        <f t="shared" si="0"/>
        <v>2.3720772619451034E-3</v>
      </c>
      <c r="K8" s="19"/>
      <c r="L8" s="7" t="s">
        <v>21</v>
      </c>
      <c r="M8" s="10">
        <v>299.61029052734375</v>
      </c>
      <c r="N8" s="11">
        <v>2.5799999237060547</v>
      </c>
      <c r="O8" s="12">
        <v>6139.8680859374999</v>
      </c>
      <c r="P8" s="11">
        <v>1.02410294440262</v>
      </c>
      <c r="Q8" s="13">
        <v>5888</v>
      </c>
      <c r="V8" t="s">
        <v>21</v>
      </c>
      <c r="W8">
        <v>300.10000000000002</v>
      </c>
      <c r="X8">
        <v>2.58</v>
      </c>
      <c r="Y8">
        <v>6157</v>
      </c>
      <c r="Z8">
        <v>1.03</v>
      </c>
      <c r="AA8">
        <v>5902</v>
      </c>
    </row>
    <row r="9" spans="1:27" ht="16.5" x14ac:dyDescent="0.45">
      <c r="A9" s="19"/>
      <c r="B9" s="7" t="s">
        <v>42</v>
      </c>
      <c r="C9" s="15">
        <f t="shared" si="1"/>
        <v>5.8846403525878994E-4</v>
      </c>
      <c r="D9" s="15" t="s">
        <v>66</v>
      </c>
      <c r="E9" s="15">
        <f t="shared" si="0"/>
        <v>1.8282055909451724E-3</v>
      </c>
      <c r="F9" s="15">
        <f t="shared" si="0"/>
        <v>1.5447001557831144E-2</v>
      </c>
      <c r="G9" s="15">
        <f t="shared" si="0"/>
        <v>4.8449612403100775E-4</v>
      </c>
      <c r="K9" s="19"/>
      <c r="L9" s="7" t="s">
        <v>42</v>
      </c>
      <c r="M9" s="10">
        <v>312.41604614257813</v>
      </c>
      <c r="N9" s="11">
        <v>0.93000000715255737</v>
      </c>
      <c r="O9" s="12">
        <v>5660.6322460937499</v>
      </c>
      <c r="P9" s="11">
        <v>1.0633172383175424</v>
      </c>
      <c r="Q9" s="13">
        <v>6189</v>
      </c>
      <c r="V9" t="s">
        <v>22</v>
      </c>
      <c r="W9">
        <v>312.60000000000002</v>
      </c>
      <c r="X9">
        <v>0.93</v>
      </c>
      <c r="Y9">
        <v>5671</v>
      </c>
      <c r="Z9">
        <v>1.08</v>
      </c>
      <c r="AA9">
        <v>6192</v>
      </c>
    </row>
    <row r="10" spans="1:27" ht="16.5" x14ac:dyDescent="0.45">
      <c r="A10" s="19"/>
      <c r="B10" s="7" t="s">
        <v>43</v>
      </c>
      <c r="C10" s="15">
        <f t="shared" si="1"/>
        <v>3.5783870606081753E-3</v>
      </c>
      <c r="D10" s="15" t="s">
        <v>66</v>
      </c>
      <c r="E10" s="15">
        <f t="shared" si="0"/>
        <v>2.9205599578103667E-4</v>
      </c>
      <c r="F10" s="15">
        <f t="shared" si="0"/>
        <v>2.4405772572148092E-2</v>
      </c>
      <c r="G10" s="15">
        <f t="shared" si="0"/>
        <v>4.8247024766806049E-3</v>
      </c>
      <c r="K10" s="19"/>
      <c r="L10" s="7" t="s">
        <v>43</v>
      </c>
      <c r="M10" s="10">
        <v>317.65921020507813</v>
      </c>
      <c r="N10" s="11">
        <v>2.119999885559082</v>
      </c>
      <c r="O10" s="12">
        <v>6935.0248242187499</v>
      </c>
      <c r="P10" s="11">
        <v>0.8975466892336238</v>
      </c>
      <c r="Q10" s="13">
        <v>6188</v>
      </c>
      <c r="V10" t="s">
        <v>24</v>
      </c>
      <c r="W10">
        <v>318.8</v>
      </c>
      <c r="X10">
        <v>2.12</v>
      </c>
      <c r="Y10">
        <v>6933</v>
      </c>
      <c r="Z10">
        <v>0.92</v>
      </c>
      <c r="AA10">
        <v>6218</v>
      </c>
    </row>
    <row r="11" spans="1:27" ht="16.5" x14ac:dyDescent="0.45">
      <c r="A11" s="19"/>
      <c r="B11" s="6" t="s">
        <v>44</v>
      </c>
      <c r="C11" s="15">
        <f t="shared" si="1"/>
        <v>3.6663759448578468E-3</v>
      </c>
      <c r="D11" s="15" t="s">
        <v>66</v>
      </c>
      <c r="E11" s="15">
        <f t="shared" si="0"/>
        <v>3.5175156200491012E-3</v>
      </c>
      <c r="F11" s="15">
        <f t="shared" si="0"/>
        <v>1.1396450903192416E-2</v>
      </c>
      <c r="G11" s="15">
        <f t="shared" si="0"/>
        <v>3.4348864994026285E-3</v>
      </c>
      <c r="K11" s="19"/>
      <c r="L11" s="6" t="s">
        <v>44</v>
      </c>
      <c r="M11" s="10">
        <v>343.15353393554688</v>
      </c>
      <c r="N11" s="11">
        <v>1.9600000381469727</v>
      </c>
      <c r="O11" s="12">
        <v>6334.2025585937499</v>
      </c>
      <c r="P11" s="11">
        <v>0.74843337366836238</v>
      </c>
      <c r="Q11" s="13">
        <v>6719</v>
      </c>
      <c r="V11" t="s">
        <v>25</v>
      </c>
      <c r="W11">
        <v>341.9</v>
      </c>
      <c r="X11">
        <v>1.96</v>
      </c>
      <c r="Y11">
        <v>6312</v>
      </c>
      <c r="Z11">
        <v>0.74</v>
      </c>
      <c r="AA11">
        <v>6696</v>
      </c>
    </row>
    <row r="12" spans="1:27" ht="16.5" x14ac:dyDescent="0.45">
      <c r="A12" s="19"/>
      <c r="B12" s="4" t="s">
        <v>45</v>
      </c>
      <c r="C12" s="15">
        <f t="shared" si="1"/>
        <v>9.0359774502840901E-3</v>
      </c>
      <c r="D12" s="15" t="s">
        <v>66</v>
      </c>
      <c r="E12" s="15">
        <f t="shared" si="0"/>
        <v>3.6584229471735182E-3</v>
      </c>
      <c r="F12" s="15">
        <f t="shared" si="0"/>
        <v>2.8465805486093058E-2</v>
      </c>
      <c r="G12" s="15">
        <f t="shared" si="0"/>
        <v>7.1451254366465544E-3</v>
      </c>
      <c r="K12" s="19"/>
      <c r="L12" s="4" t="s">
        <v>45</v>
      </c>
      <c r="M12" s="10">
        <v>321.88247680664063</v>
      </c>
      <c r="N12" s="11">
        <v>3.3599998950958252</v>
      </c>
      <c r="O12" s="12">
        <v>5851.5140820312499</v>
      </c>
      <c r="P12" s="11">
        <v>0.73021072189512604</v>
      </c>
      <c r="Q12" s="13">
        <v>6343</v>
      </c>
      <c r="V12" t="s">
        <v>65</v>
      </c>
      <c r="W12">
        <v>319</v>
      </c>
      <c r="X12">
        <v>3.36</v>
      </c>
      <c r="Y12">
        <v>5873</v>
      </c>
      <c r="Z12">
        <v>0.71</v>
      </c>
      <c r="AA12">
        <v>6298</v>
      </c>
    </row>
    <row r="13" spans="1:27" ht="16.5" x14ac:dyDescent="0.45">
      <c r="A13" s="19"/>
      <c r="B13" s="7" t="s">
        <v>46</v>
      </c>
      <c r="C13" s="15">
        <f t="shared" si="1"/>
        <v>8.1539187621004121E-4</v>
      </c>
      <c r="D13" s="15" t="s">
        <v>66</v>
      </c>
      <c r="E13" s="15">
        <f t="shared" si="0"/>
        <v>1.8904588070786856E-3</v>
      </c>
      <c r="F13" s="15">
        <f t="shared" si="0"/>
        <v>1.5359863842845148E-3</v>
      </c>
      <c r="G13" s="15">
        <f t="shared" si="0"/>
        <v>7.1942446043165469E-4</v>
      </c>
      <c r="K13" s="19"/>
      <c r="L13" s="7" t="s">
        <v>46</v>
      </c>
      <c r="M13" s="10">
        <v>283.86834716796875</v>
      </c>
      <c r="N13" s="11">
        <v>1.3600000143051147</v>
      </c>
      <c r="O13" s="12">
        <v>5442.6913281249999</v>
      </c>
      <c r="P13" s="11">
        <v>0.9614745469289131</v>
      </c>
      <c r="Q13" s="13">
        <v>5556</v>
      </c>
      <c r="V13" t="s">
        <v>27</v>
      </c>
      <c r="W13">
        <v>284.10000000000002</v>
      </c>
      <c r="X13">
        <v>1.36</v>
      </c>
      <c r="Y13">
        <v>5453</v>
      </c>
      <c r="Z13">
        <v>0.96</v>
      </c>
      <c r="AA13">
        <v>5560</v>
      </c>
    </row>
    <row r="14" spans="1:27" ht="16.5" x14ac:dyDescent="0.45">
      <c r="A14" s="18"/>
      <c r="B14" s="7" t="s">
        <v>47</v>
      </c>
      <c r="C14" s="15">
        <f t="shared" si="1"/>
        <v>7.084927204771157E-4</v>
      </c>
      <c r="D14" s="15" t="s">
        <v>66</v>
      </c>
      <c r="E14" s="15">
        <f t="shared" si="0"/>
        <v>1.8036508701428948E-3</v>
      </c>
      <c r="F14" s="15">
        <f t="shared" si="0"/>
        <v>5.8727229738139569E-3</v>
      </c>
      <c r="G14" s="15">
        <f t="shared" si="0"/>
        <v>5.2994170641229468E-4</v>
      </c>
      <c r="K14" s="18"/>
      <c r="L14" s="7" t="s">
        <v>47</v>
      </c>
      <c r="M14" s="10">
        <v>289.29489135742188</v>
      </c>
      <c r="N14" s="11">
        <v>1.7999999523162842</v>
      </c>
      <c r="O14" s="12">
        <v>5728.6488476562499</v>
      </c>
      <c r="P14" s="11">
        <v>0.98418600425592417</v>
      </c>
      <c r="Q14" s="13">
        <v>5658</v>
      </c>
      <c r="V14" t="s">
        <v>28</v>
      </c>
      <c r="W14">
        <v>289.5</v>
      </c>
      <c r="X14">
        <v>1.8</v>
      </c>
      <c r="Y14">
        <v>5739</v>
      </c>
      <c r="Z14">
        <v>0.99</v>
      </c>
      <c r="AA14">
        <v>5661</v>
      </c>
    </row>
    <row r="15" spans="1:27" ht="16.5" x14ac:dyDescent="0.45">
      <c r="A15" s="17" t="s">
        <v>33</v>
      </c>
      <c r="B15" s="4" t="s">
        <v>39</v>
      </c>
      <c r="C15" s="15">
        <f t="shared" si="1"/>
        <v>4.9590967325251001E-3</v>
      </c>
      <c r="D15" s="15" t="s">
        <v>66</v>
      </c>
      <c r="E15" s="15">
        <f t="shared" si="0"/>
        <v>5.6932937898757675E-3</v>
      </c>
      <c r="F15" s="15" t="s">
        <v>66</v>
      </c>
      <c r="G15" s="15">
        <f t="shared" si="0"/>
        <v>4.0374677002583976E-3</v>
      </c>
      <c r="K15" s="17" t="s">
        <v>33</v>
      </c>
      <c r="L15" s="4" t="s">
        <v>39</v>
      </c>
      <c r="M15" s="10">
        <v>315.75814819335938</v>
      </c>
      <c r="N15" s="11">
        <v>3.0999999046325684</v>
      </c>
      <c r="O15" s="12">
        <v>5922.0907421874999</v>
      </c>
      <c r="P15" s="11">
        <v>1.7676260992106228E-3</v>
      </c>
      <c r="Q15" s="13">
        <v>6217</v>
      </c>
      <c r="U15" t="s">
        <v>33</v>
      </c>
      <c r="V15" t="s">
        <v>18</v>
      </c>
      <c r="W15">
        <v>314.2</v>
      </c>
      <c r="X15">
        <v>3.1</v>
      </c>
      <c r="Y15">
        <v>5956</v>
      </c>
      <c r="Z15" t="s">
        <v>66</v>
      </c>
      <c r="AA15">
        <v>6192</v>
      </c>
    </row>
    <row r="16" spans="1:27" ht="16.5" x14ac:dyDescent="0.45">
      <c r="A16" s="18"/>
      <c r="B16" s="4" t="s">
        <v>48</v>
      </c>
      <c r="C16" s="15">
        <f t="shared" si="1"/>
        <v>4.9118412332980457E-4</v>
      </c>
      <c r="D16" s="15" t="s">
        <v>66</v>
      </c>
      <c r="E16" s="15">
        <f t="shared" si="0"/>
        <v>3.3906902575498122E-3</v>
      </c>
      <c r="F16" s="15" t="s">
        <v>66</v>
      </c>
      <c r="G16" s="15">
        <f t="shared" si="0"/>
        <v>1.1953143676786994E-3</v>
      </c>
      <c r="K16" s="18"/>
      <c r="L16" s="4" t="s">
        <v>48</v>
      </c>
      <c r="M16" s="10">
        <v>407.69964599609375</v>
      </c>
      <c r="N16" s="11">
        <v>3.2899999618530273</v>
      </c>
      <c r="O16" s="12">
        <v>4653.1688671874999</v>
      </c>
      <c r="P16" s="11">
        <v>3.0659252375593907E-3</v>
      </c>
      <c r="Q16" s="13">
        <v>8356</v>
      </c>
      <c r="V16" t="s">
        <v>34</v>
      </c>
      <c r="W16">
        <v>407.9</v>
      </c>
      <c r="X16">
        <v>3.29</v>
      </c>
      <c r="Y16">
        <v>4669</v>
      </c>
      <c r="Z16" t="s">
        <v>66</v>
      </c>
      <c r="AA16">
        <v>8366</v>
      </c>
    </row>
    <row r="17" spans="1:27" x14ac:dyDescent="0.35">
      <c r="N17" s="8"/>
    </row>
    <row r="20" spans="1:27" ht="16.5" x14ac:dyDescent="0.45">
      <c r="A20" s="22" t="s">
        <v>69</v>
      </c>
      <c r="B20" s="22"/>
      <c r="C20" s="22"/>
      <c r="D20" s="22"/>
      <c r="E20" s="22"/>
      <c r="F20" s="22"/>
      <c r="G20" s="22"/>
      <c r="H20" s="16"/>
      <c r="I20" s="16"/>
      <c r="L20" s="21" t="s">
        <v>58</v>
      </c>
      <c r="M20" s="21"/>
      <c r="N20" s="21"/>
      <c r="O20" s="21"/>
      <c r="P20" s="21"/>
      <c r="Q20" s="21"/>
      <c r="R20" s="21"/>
      <c r="S20" s="21"/>
      <c r="U20" t="s">
        <v>67</v>
      </c>
    </row>
    <row r="21" spans="1:27" ht="16.5" x14ac:dyDescent="0.45">
      <c r="A21" s="9" t="s">
        <v>55</v>
      </c>
      <c r="B21" s="9" t="s">
        <v>51</v>
      </c>
      <c r="C21" s="9" t="s">
        <v>59</v>
      </c>
      <c r="D21" s="9" t="s">
        <v>5</v>
      </c>
      <c r="E21" s="9" t="s">
        <v>57</v>
      </c>
      <c r="F21" s="9" t="s">
        <v>52</v>
      </c>
      <c r="G21" s="9" t="s">
        <v>53</v>
      </c>
      <c r="K21" s="9" t="s">
        <v>55</v>
      </c>
      <c r="L21" s="9" t="s">
        <v>51</v>
      </c>
      <c r="M21" s="9" t="s">
        <v>59</v>
      </c>
      <c r="N21" s="9" t="s">
        <v>5</v>
      </c>
      <c r="O21" s="9" t="s">
        <v>57</v>
      </c>
      <c r="P21" s="9" t="s">
        <v>52</v>
      </c>
      <c r="Q21" s="9" t="s">
        <v>53</v>
      </c>
      <c r="U21" t="s">
        <v>61</v>
      </c>
      <c r="V21" t="s">
        <v>62</v>
      </c>
      <c r="W21" t="s">
        <v>63</v>
      </c>
      <c r="X21" t="s">
        <v>5</v>
      </c>
      <c r="Y21" t="s">
        <v>64</v>
      </c>
      <c r="Z21" t="s">
        <v>52</v>
      </c>
      <c r="AA21" t="s">
        <v>53</v>
      </c>
    </row>
    <row r="22" spans="1:27" ht="16.5" x14ac:dyDescent="0.45">
      <c r="A22" s="17" t="s">
        <v>23</v>
      </c>
      <c r="B22" s="4" t="s">
        <v>37</v>
      </c>
      <c r="C22" s="14">
        <f>ABS(M22-W22)/W22</f>
        <v>5.3282766428044449E-4</v>
      </c>
      <c r="D22" s="14" t="s">
        <v>66</v>
      </c>
      <c r="E22" s="14">
        <f t="shared" ref="E22:G35" si="2">ABS(O22-Y22)/Y22</f>
        <v>8.0625825876298227E-2</v>
      </c>
      <c r="F22" s="14">
        <f t="shared" si="2"/>
        <v>9.4545780134252896E-2</v>
      </c>
      <c r="G22" s="14">
        <f t="shared" si="2"/>
        <v>1.1369443025038324E-2</v>
      </c>
      <c r="K22" s="17" t="s">
        <v>23</v>
      </c>
      <c r="L22" s="4" t="s">
        <v>37</v>
      </c>
      <c r="M22" s="10">
        <v>455.05740356445313</v>
      </c>
      <c r="N22" s="11">
        <v>4.8299999237060547</v>
      </c>
      <c r="O22" s="12">
        <v>4957.2655468749999</v>
      </c>
      <c r="P22" s="11">
        <v>0.28974535035703908</v>
      </c>
      <c r="Q22" s="13">
        <v>7917</v>
      </c>
      <c r="U22" t="s">
        <v>23</v>
      </c>
      <c r="V22" t="s">
        <v>16</v>
      </c>
      <c r="W22">
        <v>455.3</v>
      </c>
      <c r="X22">
        <v>4.83</v>
      </c>
      <c r="Y22">
        <v>5392</v>
      </c>
      <c r="Z22">
        <v>0.32</v>
      </c>
      <c r="AA22">
        <v>7828</v>
      </c>
    </row>
    <row r="23" spans="1:27" ht="16.5" x14ac:dyDescent="0.45">
      <c r="A23" s="19"/>
      <c r="B23" s="5" t="s">
        <v>38</v>
      </c>
      <c r="C23" s="14">
        <f t="shared" ref="C23:C35" si="3">ABS(M23-W23)/W23</f>
        <v>3.7789155041172411E-4</v>
      </c>
      <c r="D23" s="14" t="s">
        <v>66</v>
      </c>
      <c r="E23" s="14">
        <f t="shared" si="2"/>
        <v>1.1949794863597629E-2</v>
      </c>
      <c r="F23" s="14">
        <f t="shared" si="2"/>
        <v>2.3862816217831901</v>
      </c>
      <c r="G23" s="14">
        <f t="shared" si="2"/>
        <v>1.5294117647058824E-2</v>
      </c>
      <c r="K23" s="19"/>
      <c r="L23" s="5" t="s">
        <v>38</v>
      </c>
      <c r="M23" s="10">
        <v>540.0958251953125</v>
      </c>
      <c r="N23" s="11">
        <v>0.9100000262260437</v>
      </c>
      <c r="O23" s="12">
        <v>4635.9315624999999</v>
      </c>
      <c r="P23" s="11">
        <v>0.8127075892279656</v>
      </c>
      <c r="Q23" s="13">
        <v>9207</v>
      </c>
      <c r="V23" t="s">
        <v>17</v>
      </c>
      <c r="W23">
        <v>540.29999999999995</v>
      </c>
      <c r="X23">
        <v>0.91</v>
      </c>
      <c r="Y23">
        <v>4692</v>
      </c>
      <c r="Z23">
        <v>0.24</v>
      </c>
      <c r="AA23">
        <v>9350</v>
      </c>
    </row>
    <row r="24" spans="1:27" ht="16.5" x14ac:dyDescent="0.45">
      <c r="A24" s="19"/>
      <c r="B24" s="4" t="s">
        <v>39</v>
      </c>
      <c r="C24" s="14">
        <f t="shared" si="3"/>
        <v>1.0096859434297297E-3</v>
      </c>
      <c r="D24" s="14" t="s">
        <v>66</v>
      </c>
      <c r="E24" s="14">
        <f t="shared" si="2"/>
        <v>5.4280420725562661E-2</v>
      </c>
      <c r="F24" s="14">
        <f t="shared" si="2"/>
        <v>0.16997253255783534</v>
      </c>
      <c r="G24" s="14">
        <f t="shared" si="2"/>
        <v>8.789386401326699E-3</v>
      </c>
      <c r="K24" s="19"/>
      <c r="L24" s="4" t="s">
        <v>39</v>
      </c>
      <c r="M24" s="10">
        <v>368.52752685546875</v>
      </c>
      <c r="N24" s="11">
        <v>3.4500000476837158</v>
      </c>
      <c r="O24" s="12">
        <v>5630.8143749999999</v>
      </c>
      <c r="P24" s="11">
        <v>0.97107720202300329</v>
      </c>
      <c r="Q24" s="13">
        <v>6083</v>
      </c>
      <c r="V24" t="s">
        <v>18</v>
      </c>
      <c r="W24">
        <v>368.9</v>
      </c>
      <c r="X24">
        <v>3.45</v>
      </c>
      <c r="Y24">
        <v>5954</v>
      </c>
      <c r="Z24">
        <v>0.83</v>
      </c>
      <c r="AA24">
        <v>6030</v>
      </c>
    </row>
    <row r="25" spans="1:27" ht="16.5" x14ac:dyDescent="0.45">
      <c r="A25" s="19"/>
      <c r="B25" s="6" t="s">
        <v>40</v>
      </c>
      <c r="C25" s="14">
        <f t="shared" si="3"/>
        <v>6.5796799694931268E-4</v>
      </c>
      <c r="D25" s="14" t="s">
        <v>66</v>
      </c>
      <c r="E25" s="14">
        <f t="shared" si="2"/>
        <v>5.4149066854592691E-2</v>
      </c>
      <c r="F25" s="14">
        <f t="shared" si="2"/>
        <v>7.789806263151529E-3</v>
      </c>
      <c r="G25" s="14">
        <f t="shared" si="2"/>
        <v>7.3504844637487469E-3</v>
      </c>
      <c r="K25" s="19"/>
      <c r="L25" s="6" t="s">
        <v>40</v>
      </c>
      <c r="M25" s="10">
        <v>365.45938110351563</v>
      </c>
      <c r="N25" s="11">
        <v>3.0999999046325684</v>
      </c>
      <c r="O25" s="12">
        <v>5735.6400585937499</v>
      </c>
      <c r="P25" s="11">
        <v>0.91708872369946792</v>
      </c>
      <c r="Q25" s="13">
        <v>6030</v>
      </c>
      <c r="V25" t="s">
        <v>19</v>
      </c>
      <c r="W25">
        <v>365.7</v>
      </c>
      <c r="X25">
        <v>3.1</v>
      </c>
      <c r="Y25">
        <v>6064</v>
      </c>
      <c r="Z25">
        <v>0.91</v>
      </c>
      <c r="AA25">
        <v>5986</v>
      </c>
    </row>
    <row r="26" spans="1:27" ht="16.5" x14ac:dyDescent="0.45">
      <c r="A26" s="19"/>
      <c r="B26" s="6" t="s">
        <v>41</v>
      </c>
      <c r="C26" s="14">
        <f t="shared" si="3"/>
        <v>8.3030192605817543E-4</v>
      </c>
      <c r="D26" s="14" t="s">
        <v>66</v>
      </c>
      <c r="E26" s="14">
        <f t="shared" si="2"/>
        <v>5.5028849219976465E-2</v>
      </c>
      <c r="F26" s="14">
        <f t="shared" si="2"/>
        <v>7.5241811091584579E-3</v>
      </c>
      <c r="G26" s="14">
        <f t="shared" si="2"/>
        <v>9.0386195562859491E-3</v>
      </c>
      <c r="K26" s="19"/>
      <c r="L26" s="6" t="s">
        <v>41</v>
      </c>
      <c r="M26" s="10">
        <v>370.592041015625</v>
      </c>
      <c r="N26" s="11">
        <v>2.5899999141693115</v>
      </c>
      <c r="O26" s="12">
        <v>6019.4662304687499</v>
      </c>
      <c r="P26" s="11">
        <v>0.89669652118715104</v>
      </c>
      <c r="Q26" s="13">
        <v>6140</v>
      </c>
      <c r="V26" t="s">
        <v>20</v>
      </c>
      <c r="W26">
        <v>370.9</v>
      </c>
      <c r="X26">
        <v>2.59</v>
      </c>
      <c r="Y26">
        <v>6370</v>
      </c>
      <c r="Z26">
        <v>0.89</v>
      </c>
      <c r="AA26">
        <v>6085</v>
      </c>
    </row>
    <row r="27" spans="1:27" x14ac:dyDescent="0.35">
      <c r="A27" s="19"/>
      <c r="B27" s="7" t="s">
        <v>21</v>
      </c>
      <c r="C27" s="14">
        <f t="shared" si="3"/>
        <v>1.4282942217598092E-3</v>
      </c>
      <c r="D27" s="14" t="s">
        <v>66</v>
      </c>
      <c r="E27" s="14">
        <f t="shared" si="2"/>
        <v>5.4252767504434064E-2</v>
      </c>
      <c r="F27" s="14">
        <f t="shared" si="2"/>
        <v>5.7252966964855085E-3</v>
      </c>
      <c r="G27" s="14">
        <f t="shared" si="2"/>
        <v>6.4957264957264957E-3</v>
      </c>
      <c r="K27" s="19"/>
      <c r="L27" s="7" t="s">
        <v>21</v>
      </c>
      <c r="M27" s="10">
        <v>357.68838500976563</v>
      </c>
      <c r="N27" s="11">
        <v>2.7699999809265137</v>
      </c>
      <c r="O27" s="12">
        <v>5865.5243359374999</v>
      </c>
      <c r="P27" s="11">
        <v>1.02410294440262</v>
      </c>
      <c r="Q27" s="13">
        <v>5888</v>
      </c>
      <c r="V27" t="s">
        <v>21</v>
      </c>
      <c r="W27">
        <v>358.2</v>
      </c>
      <c r="X27">
        <v>2.77</v>
      </c>
      <c r="Y27">
        <v>6202</v>
      </c>
      <c r="Z27">
        <v>1.03</v>
      </c>
      <c r="AA27">
        <v>5850</v>
      </c>
    </row>
    <row r="28" spans="1:27" ht="16.5" x14ac:dyDescent="0.45">
      <c r="A28" s="19"/>
      <c r="B28" s="7" t="s">
        <v>42</v>
      </c>
      <c r="C28" s="14">
        <f t="shared" si="3"/>
        <v>4.9233816662732429E-4</v>
      </c>
      <c r="D28" s="14" t="s">
        <v>66</v>
      </c>
      <c r="E28" s="14">
        <f t="shared" si="2"/>
        <v>6.0808599936213278E-2</v>
      </c>
      <c r="F28" s="14">
        <f t="shared" si="2"/>
        <v>5.2789344868853887E-2</v>
      </c>
      <c r="G28" s="14">
        <f t="shared" si="2"/>
        <v>5.6873578160545986E-3</v>
      </c>
      <c r="K28" s="19"/>
      <c r="L28" s="7" t="s">
        <v>42</v>
      </c>
      <c r="M28" s="10">
        <v>369.91778564453125</v>
      </c>
      <c r="N28" s="11">
        <v>0.98000001907348633</v>
      </c>
      <c r="O28" s="12">
        <v>5337.4247265624999</v>
      </c>
      <c r="P28" s="11">
        <v>1.0633172383175424</v>
      </c>
      <c r="Q28" s="13">
        <v>6189</v>
      </c>
      <c r="V28" t="s">
        <v>22</v>
      </c>
      <c r="W28">
        <v>370.1</v>
      </c>
      <c r="X28">
        <v>0.98</v>
      </c>
      <c r="Y28">
        <v>5683</v>
      </c>
      <c r="Z28">
        <v>1.01</v>
      </c>
      <c r="AA28">
        <v>6154</v>
      </c>
    </row>
    <row r="29" spans="1:27" ht="16.5" x14ac:dyDescent="0.45">
      <c r="A29" s="19"/>
      <c r="B29" s="7" t="s">
        <v>43</v>
      </c>
      <c r="C29" s="14">
        <f t="shared" si="3"/>
        <v>3.226826057284876E-3</v>
      </c>
      <c r="D29" s="14" t="s">
        <v>66</v>
      </c>
      <c r="E29" s="14">
        <f t="shared" si="2"/>
        <v>5.2418069412133152E-2</v>
      </c>
      <c r="F29" s="14">
        <f t="shared" si="2"/>
        <v>2.4405772572148092E-2</v>
      </c>
      <c r="G29" s="14">
        <f t="shared" si="2"/>
        <v>4.3443282381335482E-3</v>
      </c>
      <c r="K29" s="19"/>
      <c r="L29" s="7" t="s">
        <v>43</v>
      </c>
      <c r="M29" s="10">
        <v>382.26251220703125</v>
      </c>
      <c r="N29" s="11">
        <v>2.1600000858306885</v>
      </c>
      <c r="O29" s="12">
        <v>6618.8597851562499</v>
      </c>
      <c r="P29" s="11">
        <v>0.8975466892336238</v>
      </c>
      <c r="Q29" s="13">
        <v>6188</v>
      </c>
      <c r="V29" t="s">
        <v>24</v>
      </c>
      <c r="W29">
        <v>383.5</v>
      </c>
      <c r="X29">
        <v>2.16</v>
      </c>
      <c r="Y29">
        <v>6985</v>
      </c>
      <c r="Z29">
        <v>0.92</v>
      </c>
      <c r="AA29">
        <v>6215</v>
      </c>
    </row>
    <row r="30" spans="1:27" ht="16.5" x14ac:dyDescent="0.45">
      <c r="A30" s="19"/>
      <c r="B30" s="6" t="s">
        <v>44</v>
      </c>
      <c r="C30" s="14">
        <f t="shared" si="3"/>
        <v>5.6881548545022241E-3</v>
      </c>
      <c r="D30" s="14" t="s">
        <v>66</v>
      </c>
      <c r="E30" s="14">
        <f t="shared" si="2"/>
        <v>5.4556142115981393E-2</v>
      </c>
      <c r="F30" s="14">
        <f t="shared" si="2"/>
        <v>2.0888351088501622E-3</v>
      </c>
      <c r="G30" s="14">
        <f t="shared" si="2"/>
        <v>4.1859769771266254E-3</v>
      </c>
      <c r="K30" s="19"/>
      <c r="L30" s="6" t="s">
        <v>44</v>
      </c>
      <c r="M30" s="10">
        <v>407.468994140625</v>
      </c>
      <c r="N30" s="11">
        <v>2.059999942779541</v>
      </c>
      <c r="O30" s="12">
        <v>6093.3856640624999</v>
      </c>
      <c r="P30" s="11">
        <v>0.74843337366836238</v>
      </c>
      <c r="Q30" s="13">
        <v>6661</v>
      </c>
      <c r="V30" t="s">
        <v>25</v>
      </c>
      <c r="W30">
        <v>409.8</v>
      </c>
      <c r="X30">
        <v>2.06</v>
      </c>
      <c r="Y30">
        <v>6445</v>
      </c>
      <c r="Z30">
        <v>0.75</v>
      </c>
      <c r="AA30">
        <v>6689</v>
      </c>
    </row>
    <row r="31" spans="1:27" ht="16.5" x14ac:dyDescent="0.45">
      <c r="A31" s="19"/>
      <c r="B31" s="4" t="s">
        <v>45</v>
      </c>
      <c r="C31" s="14">
        <f t="shared" si="3"/>
        <v>1.136427968544137E-3</v>
      </c>
      <c r="D31" s="14" t="s">
        <v>66</v>
      </c>
      <c r="E31" s="14">
        <f t="shared" si="2"/>
        <v>5.5764210634140207E-2</v>
      </c>
      <c r="F31" s="14">
        <f t="shared" si="2"/>
        <v>1.4181558187675088E-2</v>
      </c>
      <c r="G31" s="14">
        <f t="shared" si="2"/>
        <v>1.012210796915167E-2</v>
      </c>
      <c r="K31" s="19"/>
      <c r="L31" s="4" t="s">
        <v>45</v>
      </c>
      <c r="M31" s="10">
        <v>379.0687255859375</v>
      </c>
      <c r="N31" s="11">
        <v>3.630000114440918</v>
      </c>
      <c r="O31" s="12">
        <v>5617.2587109374999</v>
      </c>
      <c r="P31" s="11">
        <v>0.73021072189512604</v>
      </c>
      <c r="Q31" s="13">
        <v>6287</v>
      </c>
      <c r="V31" t="s">
        <v>65</v>
      </c>
      <c r="W31">
        <v>379.5</v>
      </c>
      <c r="X31">
        <v>3.63</v>
      </c>
      <c r="Y31">
        <v>5949</v>
      </c>
      <c r="Z31">
        <v>0.72</v>
      </c>
      <c r="AA31">
        <v>6224</v>
      </c>
    </row>
    <row r="32" spans="1:27" ht="16.5" x14ac:dyDescent="0.45">
      <c r="A32" s="19"/>
      <c r="B32" s="7" t="s">
        <v>46</v>
      </c>
      <c r="C32" s="14">
        <f t="shared" si="3"/>
        <v>2.0331887637867647E-3</v>
      </c>
      <c r="D32" s="14" t="s">
        <v>66</v>
      </c>
      <c r="E32" s="14">
        <f t="shared" si="2"/>
        <v>5.3005875102946576E-2</v>
      </c>
      <c r="F32" s="14">
        <f t="shared" si="2"/>
        <v>1.5359863842845148E-3</v>
      </c>
      <c r="G32" s="14">
        <f t="shared" si="2"/>
        <v>1.9837691614066726E-3</v>
      </c>
      <c r="K32" s="19"/>
      <c r="L32" s="7" t="s">
        <v>46</v>
      </c>
      <c r="M32" s="10">
        <v>339.3087158203125</v>
      </c>
      <c r="N32" s="11">
        <v>1.3999999761581421</v>
      </c>
      <c r="O32" s="12">
        <v>5174.3758984374999</v>
      </c>
      <c r="P32" s="11">
        <v>0.9614745469289131</v>
      </c>
      <c r="Q32" s="13">
        <v>5556</v>
      </c>
      <c r="V32" t="s">
        <v>27</v>
      </c>
      <c r="W32">
        <v>340</v>
      </c>
      <c r="X32">
        <v>1.4</v>
      </c>
      <c r="Y32">
        <v>5464</v>
      </c>
      <c r="Z32">
        <v>0.96</v>
      </c>
      <c r="AA32">
        <v>5545</v>
      </c>
    </row>
    <row r="33" spans="1:27" ht="16.5" x14ac:dyDescent="0.45">
      <c r="A33" s="18"/>
      <c r="B33" s="7" t="s">
        <v>47</v>
      </c>
      <c r="C33" s="14">
        <f t="shared" si="3"/>
        <v>4.308426194215443E-4</v>
      </c>
      <c r="D33" s="14" t="s">
        <v>66</v>
      </c>
      <c r="E33" s="14">
        <f t="shared" si="2"/>
        <v>5.1696525953941669E-2</v>
      </c>
      <c r="F33" s="14">
        <f t="shared" si="2"/>
        <v>5.8727229738139569E-3</v>
      </c>
      <c r="G33" s="14">
        <f t="shared" si="2"/>
        <v>5.509152301403945E-3</v>
      </c>
      <c r="K33" s="18"/>
      <c r="L33" s="7" t="s">
        <v>47</v>
      </c>
      <c r="M33" s="10">
        <v>346.05084228515625</v>
      </c>
      <c r="N33" s="11">
        <v>1.8999999761581421</v>
      </c>
      <c r="O33" s="12">
        <v>5461.2797070312499</v>
      </c>
      <c r="P33" s="11">
        <v>0.98418600425592417</v>
      </c>
      <c r="Q33" s="13">
        <v>5658</v>
      </c>
      <c r="V33" t="s">
        <v>28</v>
      </c>
      <c r="W33">
        <v>346.2</v>
      </c>
      <c r="X33">
        <v>1.9</v>
      </c>
      <c r="Y33">
        <v>5759</v>
      </c>
      <c r="Z33">
        <v>0.99</v>
      </c>
      <c r="AA33">
        <v>5627</v>
      </c>
    </row>
    <row r="34" spans="1:27" ht="16.5" x14ac:dyDescent="0.45">
      <c r="A34" s="17" t="s">
        <v>33</v>
      </c>
      <c r="B34" s="4" t="s">
        <v>39</v>
      </c>
      <c r="C34" s="14">
        <f t="shared" si="3"/>
        <v>3.5002724987483313E-3</v>
      </c>
      <c r="D34" s="14" t="s">
        <v>66</v>
      </c>
      <c r="E34" s="14">
        <f t="shared" si="2"/>
        <v>7.3502358246355218E-2</v>
      </c>
      <c r="F34" s="14" t="s">
        <v>66</v>
      </c>
      <c r="G34" s="14">
        <f t="shared" si="2"/>
        <v>8.8278567925453647E-3</v>
      </c>
      <c r="K34" s="17" t="s">
        <v>33</v>
      </c>
      <c r="L34" s="4" t="s">
        <v>39</v>
      </c>
      <c r="M34" s="10">
        <v>373.18914794921875</v>
      </c>
      <c r="N34" s="11">
        <v>3.4000000953674316</v>
      </c>
      <c r="O34" s="12">
        <v>5592.3397656249999</v>
      </c>
      <c r="P34" s="11">
        <v>1.7676260992106228E-3</v>
      </c>
      <c r="Q34" s="13">
        <v>6171</v>
      </c>
      <c r="U34" t="s">
        <v>33</v>
      </c>
      <c r="V34" t="s">
        <v>18</v>
      </c>
      <c r="W34">
        <v>374.5</v>
      </c>
      <c r="X34">
        <v>3.4</v>
      </c>
      <c r="Y34">
        <v>6036</v>
      </c>
      <c r="Z34" t="s">
        <v>66</v>
      </c>
      <c r="AA34">
        <v>6117</v>
      </c>
    </row>
    <row r="35" spans="1:27" ht="16.5" x14ac:dyDescent="0.45">
      <c r="A35" s="18"/>
      <c r="B35" s="4" t="s">
        <v>48</v>
      </c>
      <c r="C35" s="14">
        <f t="shared" si="3"/>
        <v>3.6924762654986919E-2</v>
      </c>
      <c r="D35" s="14" t="s">
        <v>66</v>
      </c>
      <c r="E35" s="14">
        <f t="shared" si="2"/>
        <v>0.19392500135633681</v>
      </c>
      <c r="F35" s="14" t="s">
        <v>66</v>
      </c>
      <c r="G35" s="14">
        <f t="shared" si="2"/>
        <v>1.1254992133607649E-2</v>
      </c>
      <c r="K35" s="18"/>
      <c r="L35" s="4" t="s">
        <v>48</v>
      </c>
      <c r="M35" s="10">
        <v>474.6004638671875</v>
      </c>
      <c r="N35" s="11">
        <v>3.9200000762939453</v>
      </c>
      <c r="O35" s="12">
        <v>4178.6927929687499</v>
      </c>
      <c r="P35" s="11">
        <v>3.0659252375593907E-3</v>
      </c>
      <c r="Q35" s="13">
        <v>8356</v>
      </c>
      <c r="V35" t="s">
        <v>34</v>
      </c>
      <c r="W35">
        <v>457.7</v>
      </c>
      <c r="X35">
        <v>3.92</v>
      </c>
      <c r="Y35">
        <v>5184</v>
      </c>
      <c r="Z35" t="s">
        <v>66</v>
      </c>
      <c r="AA35">
        <v>8263</v>
      </c>
    </row>
  </sheetData>
  <mergeCells count="12">
    <mergeCell ref="A34:A35"/>
    <mergeCell ref="L1:S1"/>
    <mergeCell ref="K3:K14"/>
    <mergeCell ref="K15:K16"/>
    <mergeCell ref="L20:S20"/>
    <mergeCell ref="K22:K33"/>
    <mergeCell ref="K34:K35"/>
    <mergeCell ref="A1:G1"/>
    <mergeCell ref="A20:G20"/>
    <mergeCell ref="A3:A14"/>
    <mergeCell ref="A15:A16"/>
    <mergeCell ref="A22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SP06A-CequelData</vt:lpstr>
      <vt:lpstr>SP06A-CequelCopied</vt:lpstr>
      <vt:lpstr>SP06A-mine</vt:lpstr>
      <vt:lpstr>SP06A-Original</vt:lpstr>
      <vt:lpstr>SP06A-Comparison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Veronica Loomis</cp:lastModifiedBy>
  <cp:lastPrinted>2023-03-22T22:28:34Z</cp:lastPrinted>
  <dcterms:created xsi:type="dcterms:W3CDTF">2023-03-13T23:38:05Z</dcterms:created>
  <dcterms:modified xsi:type="dcterms:W3CDTF">2023-03-23T00:07:47Z</dcterms:modified>
</cp:coreProperties>
</file>