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ishabh\Desktop\electrica final only CI remain in fancalc\"/>
    </mc:Choice>
  </mc:AlternateContent>
  <bookViews>
    <workbookView xWindow="120" yWindow="12" windowWidth="14172" windowHeight="7872" activeTab="1"/>
  </bookViews>
  <sheets>
    <sheet name="Lighting System" sheetId="1" r:id="rId1"/>
    <sheet name="Ventilation Requriments" sheetId="2" r:id="rId2"/>
    <sheet name="Heating or Cooling Load" sheetId="3" r:id="rId3"/>
    <sheet name="Solar Gain" sheetId="4" r:id="rId4"/>
  </sheets>
  <calcPr calcId="152511"/>
</workbook>
</file>

<file path=xl/calcChain.xml><?xml version="1.0" encoding="utf-8"?>
<calcChain xmlns="http://schemas.openxmlformats.org/spreadsheetml/2006/main">
  <c r="V13" i="2" l="1"/>
  <c r="D14" i="4"/>
  <c r="E12" i="4"/>
  <c r="F13" i="4"/>
  <c r="E19" i="4"/>
  <c r="E18" i="4"/>
  <c r="V12" i="2"/>
  <c r="E13" i="4"/>
  <c r="G9" i="4"/>
  <c r="M12" i="1"/>
  <c r="S15" i="2"/>
  <c r="N15" i="2" l="1"/>
  <c r="N18" i="2"/>
  <c r="N23" i="2"/>
  <c r="L12" i="2"/>
  <c r="N12" i="2" s="1"/>
  <c r="L31" i="3"/>
  <c r="R31" i="3" s="1"/>
  <c r="Q31" i="3"/>
  <c r="M31" i="3"/>
  <c r="H31" i="3"/>
  <c r="G31" i="3"/>
  <c r="F31" i="3"/>
  <c r="C14" i="4"/>
  <c r="E14" i="4" s="1"/>
  <c r="S12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12" i="3"/>
  <c r="F14" i="4"/>
  <c r="G13" i="4"/>
  <c r="H13" i="4" s="1"/>
  <c r="A13" i="4"/>
  <c r="A14" i="4" s="1"/>
  <c r="F12" i="4"/>
  <c r="H27" i="3"/>
  <c r="G27" i="3"/>
  <c r="F27" i="3"/>
  <c r="H26" i="3"/>
  <c r="G26" i="3"/>
  <c r="F26" i="3"/>
  <c r="H25" i="3"/>
  <c r="G25" i="3"/>
  <c r="I25" i="3" s="1"/>
  <c r="F25" i="3"/>
  <c r="H24" i="3"/>
  <c r="G24" i="3"/>
  <c r="F24" i="3"/>
  <c r="J24" i="3" s="1"/>
  <c r="H23" i="3"/>
  <c r="G23" i="3"/>
  <c r="F23" i="3"/>
  <c r="H22" i="3"/>
  <c r="G22" i="3"/>
  <c r="F22" i="3"/>
  <c r="J22" i="3" s="1"/>
  <c r="H21" i="3"/>
  <c r="G21" i="3"/>
  <c r="I21" i="3" s="1"/>
  <c r="F21" i="3"/>
  <c r="H20" i="3"/>
  <c r="G20" i="3"/>
  <c r="F20" i="3"/>
  <c r="J20" i="3" s="1"/>
  <c r="H19" i="3"/>
  <c r="G19" i="3"/>
  <c r="F19" i="3"/>
  <c r="H18" i="3"/>
  <c r="G18" i="3"/>
  <c r="F18" i="3"/>
  <c r="J18" i="3" s="1"/>
  <c r="H17" i="3"/>
  <c r="G17" i="3"/>
  <c r="I17" i="3" s="1"/>
  <c r="F17" i="3"/>
  <c r="H16" i="3"/>
  <c r="G16" i="3"/>
  <c r="F16" i="3"/>
  <c r="J16" i="3" s="1"/>
  <c r="H15" i="3"/>
  <c r="G15" i="3"/>
  <c r="F15" i="3"/>
  <c r="H14" i="3"/>
  <c r="G14" i="3"/>
  <c r="F14" i="3"/>
  <c r="J14" i="3" s="1"/>
  <c r="H13" i="3"/>
  <c r="G13" i="3"/>
  <c r="I13" i="3" s="1"/>
  <c r="F13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H12" i="3"/>
  <c r="G12" i="3"/>
  <c r="F12" i="3"/>
  <c r="L18" i="2"/>
  <c r="L15" i="2"/>
  <c r="L14" i="2"/>
  <c r="N14" i="2" s="1"/>
  <c r="L23" i="2"/>
  <c r="L24" i="2"/>
  <c r="N24" i="2" s="1"/>
  <c r="L25" i="2"/>
  <c r="N25" i="2" s="1"/>
  <c r="L19" i="2"/>
  <c r="N19" i="2" s="1"/>
  <c r="L20" i="2"/>
  <c r="N20" i="2" s="1"/>
  <c r="L21" i="2"/>
  <c r="N21" i="2" s="1"/>
  <c r="L13" i="2"/>
  <c r="N13" i="2" s="1"/>
  <c r="L16" i="2"/>
  <c r="N16" i="2" s="1"/>
  <c r="S12" i="2"/>
  <c r="V27" i="2"/>
  <c r="V26" i="2"/>
  <c r="V24" i="2"/>
  <c r="V23" i="2"/>
  <c r="V22" i="2"/>
  <c r="V18" i="2"/>
  <c r="V17" i="2"/>
  <c r="V15" i="2"/>
  <c r="V14" i="2"/>
  <c r="V16" i="2"/>
  <c r="V19" i="2"/>
  <c r="V20" i="2"/>
  <c r="V21" i="2"/>
  <c r="V25" i="2"/>
  <c r="S17" i="2"/>
  <c r="S18" i="2"/>
  <c r="S19" i="2"/>
  <c r="S20" i="2"/>
  <c r="S21" i="2"/>
  <c r="S22" i="2"/>
  <c r="S23" i="2"/>
  <c r="S24" i="2"/>
  <c r="S25" i="2"/>
  <c r="S26" i="2"/>
  <c r="S27" i="2"/>
  <c r="S16" i="2"/>
  <c r="S13" i="2"/>
  <c r="S14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12" i="2"/>
  <c r="F13" i="2"/>
  <c r="J13" i="2" s="1"/>
  <c r="T13" i="2" s="1"/>
  <c r="F14" i="2"/>
  <c r="J14" i="2" s="1"/>
  <c r="T14" i="2" s="1"/>
  <c r="F15" i="2"/>
  <c r="J15" i="2" s="1"/>
  <c r="T15" i="2" s="1"/>
  <c r="F16" i="2"/>
  <c r="J16" i="2" s="1"/>
  <c r="T16" i="2" s="1"/>
  <c r="F17" i="2"/>
  <c r="J17" i="2" s="1"/>
  <c r="T17" i="2" s="1"/>
  <c r="F18" i="2"/>
  <c r="J18" i="2" s="1"/>
  <c r="T18" i="2" s="1"/>
  <c r="F19" i="2"/>
  <c r="J19" i="2" s="1"/>
  <c r="T19" i="2" s="1"/>
  <c r="F20" i="2"/>
  <c r="J20" i="2" s="1"/>
  <c r="T20" i="2" s="1"/>
  <c r="F21" i="2"/>
  <c r="J21" i="2" s="1"/>
  <c r="T21" i="2" s="1"/>
  <c r="F22" i="2"/>
  <c r="J22" i="2" s="1"/>
  <c r="T22" i="2" s="1"/>
  <c r="F23" i="2"/>
  <c r="J23" i="2" s="1"/>
  <c r="T23" i="2" s="1"/>
  <c r="F24" i="2"/>
  <c r="J24" i="2" s="1"/>
  <c r="T24" i="2" s="1"/>
  <c r="F25" i="2"/>
  <c r="J25" i="2" s="1"/>
  <c r="T25" i="2" s="1"/>
  <c r="F26" i="2"/>
  <c r="I26" i="2" s="1"/>
  <c r="F27" i="2"/>
  <c r="J27" i="2" s="1"/>
  <c r="T27" i="2" s="1"/>
  <c r="F12" i="2"/>
  <c r="J12" i="2" s="1"/>
  <c r="T12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M27" i="1"/>
  <c r="M26" i="1"/>
  <c r="M24" i="1"/>
  <c r="M23" i="1"/>
  <c r="M22" i="1"/>
  <c r="M18" i="1"/>
  <c r="M17" i="1"/>
  <c r="M15" i="1"/>
  <c r="M14" i="1"/>
  <c r="M13" i="1"/>
  <c r="M16" i="1"/>
  <c r="M19" i="1"/>
  <c r="M20" i="1"/>
  <c r="M21" i="1"/>
  <c r="M25" i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12" i="1"/>
  <c r="I12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I15" i="3" l="1"/>
  <c r="I19" i="3"/>
  <c r="I23" i="3"/>
  <c r="I26" i="3"/>
  <c r="S31" i="3"/>
  <c r="L33" i="3"/>
  <c r="J12" i="3"/>
  <c r="I12" i="3"/>
  <c r="G14" i="4"/>
  <c r="H14" i="4" s="1"/>
  <c r="H15" i="4" s="1"/>
  <c r="H16" i="4" s="1"/>
  <c r="H17" i="4" s="1"/>
  <c r="U12" i="2"/>
  <c r="L22" i="2"/>
  <c r="N22" i="2" s="1"/>
  <c r="T23" i="3"/>
  <c r="T19" i="3"/>
  <c r="T15" i="3"/>
  <c r="T26" i="3"/>
  <c r="T22" i="3"/>
  <c r="T18" i="3"/>
  <c r="T14" i="3"/>
  <c r="L17" i="2"/>
  <c r="N17" i="2" s="1"/>
  <c r="L27" i="2"/>
  <c r="T25" i="3"/>
  <c r="T21" i="3"/>
  <c r="T17" i="3"/>
  <c r="T13" i="3"/>
  <c r="T24" i="3"/>
  <c r="T20" i="3"/>
  <c r="T16" i="3"/>
  <c r="T12" i="3"/>
  <c r="T28" i="3" s="1"/>
  <c r="T29" i="3" s="1"/>
  <c r="T30" i="3" s="1"/>
  <c r="T27" i="3"/>
  <c r="T31" i="3"/>
  <c r="T32" i="3" s="1"/>
  <c r="T33" i="3" s="1"/>
  <c r="J31" i="3"/>
  <c r="I31" i="3"/>
  <c r="G12" i="4"/>
  <c r="J13" i="3"/>
  <c r="I14" i="3"/>
  <c r="J15" i="3"/>
  <c r="I16" i="3"/>
  <c r="J17" i="3"/>
  <c r="I18" i="3"/>
  <c r="J19" i="3"/>
  <c r="I20" i="3"/>
  <c r="J21" i="3"/>
  <c r="I22" i="3"/>
  <c r="J23" i="3"/>
  <c r="I24" i="3"/>
  <c r="J25" i="3"/>
  <c r="J27" i="3"/>
  <c r="J26" i="3"/>
  <c r="I27" i="3"/>
  <c r="U15" i="2"/>
  <c r="W15" i="2" s="1"/>
  <c r="U13" i="2"/>
  <c r="W13" i="2" s="1"/>
  <c r="U27" i="2"/>
  <c r="W27" i="2" s="1"/>
  <c r="U25" i="2"/>
  <c r="W25" i="2" s="1"/>
  <c r="U23" i="2"/>
  <c r="W23" i="2" s="1"/>
  <c r="U21" i="2"/>
  <c r="W21" i="2" s="1"/>
  <c r="U19" i="2"/>
  <c r="W19" i="2" s="1"/>
  <c r="U17" i="2"/>
  <c r="W17" i="2" s="1"/>
  <c r="U14" i="2"/>
  <c r="W14" i="2" s="1"/>
  <c r="U16" i="2"/>
  <c r="W16" i="2" s="1"/>
  <c r="U24" i="2"/>
  <c r="W24" i="2" s="1"/>
  <c r="X24" i="2" s="1"/>
  <c r="U22" i="2"/>
  <c r="W22" i="2" s="1"/>
  <c r="U20" i="2"/>
  <c r="W20" i="2" s="1"/>
  <c r="U18" i="2"/>
  <c r="W18" i="2" s="1"/>
  <c r="I27" i="2"/>
  <c r="I25" i="2"/>
  <c r="M25" i="2" s="1"/>
  <c r="I23" i="2"/>
  <c r="M23" i="2" s="1"/>
  <c r="I21" i="2"/>
  <c r="M21" i="2" s="1"/>
  <c r="I19" i="2"/>
  <c r="M19" i="2" s="1"/>
  <c r="I17" i="2"/>
  <c r="I15" i="2"/>
  <c r="M15" i="2" s="1"/>
  <c r="I13" i="2"/>
  <c r="M13" i="2" s="1"/>
  <c r="J26" i="2"/>
  <c r="I12" i="2"/>
  <c r="M12" i="2" s="1"/>
  <c r="I24" i="2"/>
  <c r="M24" i="2" s="1"/>
  <c r="I22" i="2"/>
  <c r="I20" i="2"/>
  <c r="M20" i="2" s="1"/>
  <c r="I18" i="2"/>
  <c r="M18" i="2" s="1"/>
  <c r="I16" i="2"/>
  <c r="M16" i="2" s="1"/>
  <c r="I14" i="2"/>
  <c r="M14" i="2" s="1"/>
  <c r="X18" i="2" l="1"/>
  <c r="X16" i="2"/>
  <c r="X21" i="2"/>
  <c r="X20" i="2"/>
  <c r="X14" i="2"/>
  <c r="X23" i="2"/>
  <c r="X15" i="2"/>
  <c r="M17" i="2"/>
  <c r="M22" i="2"/>
  <c r="T26" i="2"/>
  <c r="U26" i="2" s="1"/>
  <c r="W26" i="2" s="1"/>
  <c r="L26" i="2"/>
  <c r="X19" i="2"/>
  <c r="X22" i="2"/>
  <c r="X17" i="2"/>
  <c r="X25" i="2"/>
  <c r="X12" i="2"/>
  <c r="X13" i="2"/>
</calcChain>
</file>

<file path=xl/sharedStrings.xml><?xml version="1.0" encoding="utf-8"?>
<sst xmlns="http://schemas.openxmlformats.org/spreadsheetml/2006/main" count="223" uniqueCount="111">
  <si>
    <t>Sr.No.</t>
  </si>
  <si>
    <t>Room Name</t>
  </si>
  <si>
    <t>length Ft</t>
  </si>
  <si>
    <t>STP 1 to 12</t>
  </si>
  <si>
    <t>STP 13 to 18</t>
  </si>
  <si>
    <t>Meter Room</t>
  </si>
  <si>
    <t>Society Office</t>
  </si>
  <si>
    <t>STP 19 to 20</t>
  </si>
  <si>
    <t>Entrance Loobby</t>
  </si>
  <si>
    <t>STP 21 to 24</t>
  </si>
  <si>
    <t>STP 27&amp;28</t>
  </si>
  <si>
    <t>STP 25 &amp;26</t>
  </si>
  <si>
    <t>Service Room</t>
  </si>
  <si>
    <t>STP 19 &amp;30</t>
  </si>
  <si>
    <t>Stair Case-1</t>
  </si>
  <si>
    <t>Stair Case-2</t>
  </si>
  <si>
    <t>Lamp Type</t>
  </si>
  <si>
    <t>CFL</t>
  </si>
  <si>
    <t>LED</t>
  </si>
  <si>
    <t>Incadescent Blub</t>
  </si>
  <si>
    <t>Lumen</t>
  </si>
  <si>
    <t>Rating</t>
  </si>
  <si>
    <t>Tube Light</t>
  </si>
  <si>
    <t>Company</t>
  </si>
  <si>
    <t>Cost</t>
  </si>
  <si>
    <t>GE</t>
  </si>
  <si>
    <t>Metal Halide</t>
  </si>
  <si>
    <t>High Pressur</t>
  </si>
  <si>
    <t>Room Index RI</t>
  </si>
  <si>
    <t xml:space="preserve">Light Ceiling m </t>
  </si>
  <si>
    <t>Working Hight Floor m</t>
  </si>
  <si>
    <t>HM m</t>
  </si>
  <si>
    <t>Height ft</t>
  </si>
  <si>
    <t>Width Ft</t>
  </si>
  <si>
    <t>Utilization factor</t>
  </si>
  <si>
    <t>Standard Requirment</t>
  </si>
  <si>
    <t>Lighting loss factor</t>
  </si>
  <si>
    <t>Lights Used</t>
  </si>
  <si>
    <t>MH</t>
  </si>
  <si>
    <t>CFL15</t>
  </si>
  <si>
    <t>LED13</t>
  </si>
  <si>
    <t>Number of Lamps per Luminaire</t>
  </si>
  <si>
    <t>Number of Lights Required</t>
  </si>
  <si>
    <t xml:space="preserve">Number of Occupants </t>
  </si>
  <si>
    <t>length m</t>
  </si>
  <si>
    <t>Width m</t>
  </si>
  <si>
    <t>Height m</t>
  </si>
  <si>
    <t>Volume m3</t>
  </si>
  <si>
    <t>Area m2</t>
  </si>
  <si>
    <t>The Building Material generates pollution</t>
  </si>
  <si>
    <t>Avg Person</t>
  </si>
  <si>
    <t>olf/m2</t>
  </si>
  <si>
    <t>olf</t>
  </si>
  <si>
    <t>Heavy Smoker</t>
  </si>
  <si>
    <t>G</t>
  </si>
  <si>
    <t>Total Human Pollution</t>
  </si>
  <si>
    <t>Pollution Due to Building material</t>
  </si>
  <si>
    <t xml:space="preserve"> </t>
  </si>
  <si>
    <t>PD</t>
  </si>
  <si>
    <t>%</t>
  </si>
  <si>
    <t>Ci</t>
  </si>
  <si>
    <t>Co</t>
  </si>
  <si>
    <t>V liters/sec</t>
  </si>
  <si>
    <t>Number of Air Changes</t>
  </si>
  <si>
    <t>Recommended air supply rate l/sec</t>
  </si>
  <si>
    <t>Avg persons</t>
  </si>
  <si>
    <t>Loobby</t>
  </si>
  <si>
    <t>Air requriments</t>
  </si>
  <si>
    <t xml:space="preserve">Per m2 area </t>
  </si>
  <si>
    <t>Blower/Fan Required</t>
  </si>
  <si>
    <t>Number of Lights</t>
  </si>
  <si>
    <t>Power Rating</t>
  </si>
  <si>
    <t>Metabolic Rate of Common man with normal Activity</t>
  </si>
  <si>
    <t xml:space="preserve">Fresh air Circulation is </t>
  </si>
  <si>
    <t>Inside Temperature</t>
  </si>
  <si>
    <t>Outside temperature</t>
  </si>
  <si>
    <t>oC</t>
  </si>
  <si>
    <t>Absolute Humidty outside</t>
  </si>
  <si>
    <t>Inside Humidity</t>
  </si>
  <si>
    <t>Sensible Load due to fresh air Circulation W</t>
  </si>
  <si>
    <t>Load due to occupants (w)</t>
  </si>
  <si>
    <t>Lighting Load (W)</t>
  </si>
  <si>
    <t>Latent Heat Load on the System (kW)</t>
  </si>
  <si>
    <t>Total Heating Load W</t>
  </si>
  <si>
    <t>Watts</t>
  </si>
  <si>
    <t>kW</t>
  </si>
  <si>
    <t>TR</t>
  </si>
  <si>
    <t>Walls with widows</t>
  </si>
  <si>
    <t>Windows</t>
  </si>
  <si>
    <t>walls excluding windows</t>
  </si>
  <si>
    <t>U Wall</t>
  </si>
  <si>
    <t>U for Windows</t>
  </si>
  <si>
    <t>Solar Insolation</t>
  </si>
  <si>
    <t>kg/kg</t>
  </si>
  <si>
    <t>W/m2oC</t>
  </si>
  <si>
    <t>Fs for Window</t>
  </si>
  <si>
    <t xml:space="preserve">lightly heat absorbing glass </t>
  </si>
  <si>
    <t>W/m2</t>
  </si>
  <si>
    <t>Solar load  W</t>
  </si>
  <si>
    <t>Auditorium</t>
  </si>
  <si>
    <t xml:space="preserve">             </t>
  </si>
  <si>
    <t xml:space="preserve">  </t>
  </si>
  <si>
    <t xml:space="preserve">      </t>
  </si>
  <si>
    <t xml:space="preserve">        </t>
  </si>
  <si>
    <t>Type of Fan</t>
  </si>
  <si>
    <t>Standard CFM</t>
  </si>
  <si>
    <t>Bajaj</t>
  </si>
  <si>
    <t>Crompton</t>
  </si>
  <si>
    <t>D</t>
  </si>
  <si>
    <t>Conversion factor CFM to l/sec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</si>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</sst>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/>
    <xf numFmtId="1" fontId="0" fillId="0" borderId="1" xfId="0" applyNumberFormat="1" applyBorder="1"/>
    <xf numFmtId="9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1" fontId="0" fillId="0" borderId="0" xfId="0" applyNumberFormat="1"/>
    <xf numFmtId="1" fontId="0" fillId="0" borderId="0" xfId="0" applyNumberFormat="1" applyFill="1" applyBorder="1"/>
    <xf numFmtId="2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wrapText="1"/>
    </xf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2" fontId="0" fillId="0" borderId="0" xfId="0" applyNumberFormat="1" applyFill="1" applyBorder="1"/>
    <xf numFmtId="17" fontId="0" fillId="0" borderId="0" xfId="0" applyNumberFormat="1" applyBorder="1" applyAlignment="1">
      <alignment horizontal="center" vertical="top" wrapText="1"/>
    </xf>
    <xf numFmtId="17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F8" workbookViewId="0">
      <selection activeCell="J27" sqref="J27"/>
    </sheetView>
  </sheetViews>
  <sheetFormatPr defaultRowHeight="14.4" x14ac:dyDescent="0.3"/>
  <cols>
    <col min="1" max="1" width="15.88671875" customWidth="1"/>
    <col min="2" max="2" width="21.33203125" customWidth="1"/>
    <col min="3" max="3" width="12.44140625" customWidth="1"/>
    <col min="4" max="4" width="12.6640625" customWidth="1"/>
    <col min="5" max="5" width="11.44140625" customWidth="1"/>
    <col min="6" max="6" width="11.88671875" bestFit="1" customWidth="1"/>
    <col min="7" max="7" width="12.44140625" style="1" customWidth="1"/>
    <col min="10" max="10" width="10.5546875" customWidth="1"/>
    <col min="11" max="11" width="12.33203125" customWidth="1"/>
    <col min="13" max="13" width="12.88671875" customWidth="1"/>
  </cols>
  <sheetData>
    <row r="1" spans="1:13" x14ac:dyDescent="0.3">
      <c r="A1" t="s">
        <v>16</v>
      </c>
      <c r="B1" t="s">
        <v>20</v>
      </c>
      <c r="C1" t="s">
        <v>21</v>
      </c>
      <c r="D1" t="s">
        <v>23</v>
      </c>
      <c r="E1" t="s">
        <v>24</v>
      </c>
    </row>
    <row r="2" spans="1:13" ht="28.8" x14ac:dyDescent="0.3">
      <c r="A2" t="s">
        <v>26</v>
      </c>
      <c r="B2">
        <v>14100</v>
      </c>
      <c r="C2">
        <v>250</v>
      </c>
      <c r="G2" s="1" t="s">
        <v>36</v>
      </c>
      <c r="H2">
        <v>0.9</v>
      </c>
    </row>
    <row r="3" spans="1:13" x14ac:dyDescent="0.3">
      <c r="A3" t="s">
        <v>27</v>
      </c>
      <c r="B3">
        <v>26100</v>
      </c>
      <c r="C3">
        <v>250</v>
      </c>
    </row>
    <row r="4" spans="1:13" ht="43.2" x14ac:dyDescent="0.3">
      <c r="A4" t="s">
        <v>17</v>
      </c>
      <c r="B4">
        <v>800</v>
      </c>
      <c r="C4">
        <v>15</v>
      </c>
      <c r="D4" t="s">
        <v>25</v>
      </c>
      <c r="G4" s="1" t="s">
        <v>41</v>
      </c>
      <c r="H4">
        <v>1</v>
      </c>
    </row>
    <row r="5" spans="1:13" x14ac:dyDescent="0.3">
      <c r="B5">
        <v>1100</v>
      </c>
      <c r="C5">
        <v>20</v>
      </c>
      <c r="D5" t="s">
        <v>25</v>
      </c>
      <c r="E5">
        <v>2.41</v>
      </c>
    </row>
    <row r="6" spans="1:13" x14ac:dyDescent="0.3">
      <c r="B6">
        <v>1750</v>
      </c>
      <c r="C6">
        <v>26</v>
      </c>
      <c r="D6" t="s">
        <v>25</v>
      </c>
      <c r="E6">
        <v>3.13</v>
      </c>
    </row>
    <row r="7" spans="1:13" x14ac:dyDescent="0.3">
      <c r="A7" t="s">
        <v>18</v>
      </c>
      <c r="B7">
        <v>800</v>
      </c>
      <c r="C7">
        <v>13</v>
      </c>
      <c r="D7" t="s">
        <v>25</v>
      </c>
      <c r="E7">
        <v>1.57</v>
      </c>
    </row>
    <row r="8" spans="1:13" x14ac:dyDescent="0.3">
      <c r="A8" t="s">
        <v>19</v>
      </c>
      <c r="B8">
        <v>490</v>
      </c>
      <c r="C8">
        <v>40</v>
      </c>
    </row>
    <row r="9" spans="1:13" x14ac:dyDescent="0.3">
      <c r="A9" t="s">
        <v>22</v>
      </c>
      <c r="B9">
        <v>750</v>
      </c>
      <c r="C9">
        <v>39</v>
      </c>
    </row>
    <row r="11" spans="1:13" ht="43.2" x14ac:dyDescent="0.3">
      <c r="A11" s="4" t="s">
        <v>0</v>
      </c>
      <c r="B11" s="4" t="s">
        <v>1</v>
      </c>
      <c r="C11" s="4" t="s">
        <v>2</v>
      </c>
      <c r="D11" s="4" t="s">
        <v>33</v>
      </c>
      <c r="E11" s="4" t="s">
        <v>32</v>
      </c>
      <c r="F11" s="5" t="s">
        <v>29</v>
      </c>
      <c r="G11" s="5" t="s">
        <v>30</v>
      </c>
      <c r="H11" s="4" t="s">
        <v>31</v>
      </c>
      <c r="I11" s="5" t="s">
        <v>28</v>
      </c>
      <c r="J11" s="5" t="s">
        <v>34</v>
      </c>
      <c r="K11" s="5" t="s">
        <v>35</v>
      </c>
      <c r="L11" s="5" t="s">
        <v>37</v>
      </c>
      <c r="M11" s="5" t="s">
        <v>42</v>
      </c>
    </row>
    <row r="12" spans="1:13" x14ac:dyDescent="0.3">
      <c r="A12" s="4">
        <v>1</v>
      </c>
      <c r="B12" s="4" t="s">
        <v>3</v>
      </c>
      <c r="C12" s="4">
        <v>20</v>
      </c>
      <c r="D12" s="4">
        <v>20</v>
      </c>
      <c r="E12" s="4">
        <v>20</v>
      </c>
      <c r="F12" s="4">
        <v>2</v>
      </c>
      <c r="G12" s="5">
        <v>0</v>
      </c>
      <c r="H12" s="17">
        <f t="shared" ref="H12:H27" si="0">(E12*12/39)-F12-G12</f>
        <v>4.1538461538461542</v>
      </c>
      <c r="I12" s="17">
        <f>((C12*12/39)*(D12*12/39))/((C12*12/39)+(D12*12/39))*H12</f>
        <v>12.781065088757398</v>
      </c>
      <c r="J12" s="4">
        <v>0.34</v>
      </c>
      <c r="K12" s="4">
        <v>80</v>
      </c>
      <c r="L12" s="4" t="s">
        <v>38</v>
      </c>
      <c r="M12" s="16">
        <f>K12*((C12*12/39)*(D12*12/39))/($B$2*$H$2*J12)</f>
        <v>0.70217072238830203</v>
      </c>
    </row>
    <row r="13" spans="1:13" x14ac:dyDescent="0.3">
      <c r="A13" s="4">
        <f>1+A12</f>
        <v>2</v>
      </c>
      <c r="B13" s="4" t="s">
        <v>4</v>
      </c>
      <c r="C13" s="4">
        <v>28.6</v>
      </c>
      <c r="D13" s="4">
        <v>21.1</v>
      </c>
      <c r="E13" s="4">
        <v>11</v>
      </c>
      <c r="F13" s="4">
        <v>0</v>
      </c>
      <c r="G13" s="5">
        <v>0</v>
      </c>
      <c r="H13" s="17">
        <f t="shared" si="0"/>
        <v>3.3846153846153846</v>
      </c>
      <c r="I13" s="17">
        <f t="shared" ref="I13:I27" si="1">((C13*12/39)*(D13*12/39))/((C13*12/39)+(D13*12/39))*H13</f>
        <v>12.644977557653615</v>
      </c>
      <c r="J13" s="4">
        <v>0.34</v>
      </c>
      <c r="K13" s="4">
        <v>80</v>
      </c>
      <c r="L13" s="4" t="s">
        <v>38</v>
      </c>
      <c r="M13" s="16">
        <f>K13*((C13*12/39)*(D13*12/39))/($B$2*$H$2*J13)</f>
        <v>1.0593298603311119</v>
      </c>
    </row>
    <row r="14" spans="1:13" x14ac:dyDescent="0.3">
      <c r="A14" s="4">
        <f t="shared" ref="A14:A27" si="2">1+A13</f>
        <v>3</v>
      </c>
      <c r="B14" s="4" t="s">
        <v>5</v>
      </c>
      <c r="C14" s="4">
        <v>10</v>
      </c>
      <c r="D14" s="4">
        <v>10</v>
      </c>
      <c r="E14" s="4">
        <v>10</v>
      </c>
      <c r="F14" s="4">
        <v>0.3</v>
      </c>
      <c r="G14" s="5">
        <v>0</v>
      </c>
      <c r="H14" s="17">
        <f t="shared" si="0"/>
        <v>2.7769230769230773</v>
      </c>
      <c r="I14" s="17">
        <f t="shared" si="1"/>
        <v>4.272189349112427</v>
      </c>
      <c r="J14" s="4">
        <v>0.32</v>
      </c>
      <c r="K14" s="4">
        <v>240</v>
      </c>
      <c r="L14" s="4" t="s">
        <v>39</v>
      </c>
      <c r="M14" s="16">
        <f>K14*((C14*12/39)*(D14*12/39))/($B$4*$H$2*J14)</f>
        <v>9.8619329388560164</v>
      </c>
    </row>
    <row r="15" spans="1:13" x14ac:dyDescent="0.3">
      <c r="A15" s="4">
        <f t="shared" si="2"/>
        <v>4</v>
      </c>
      <c r="B15" s="4" t="s">
        <v>6</v>
      </c>
      <c r="C15" s="4">
        <v>10</v>
      </c>
      <c r="D15" s="4">
        <v>10</v>
      </c>
      <c r="E15" s="4">
        <v>10</v>
      </c>
      <c r="F15" s="4">
        <v>0.3</v>
      </c>
      <c r="G15" s="5">
        <v>0</v>
      </c>
      <c r="H15" s="17">
        <f t="shared" si="0"/>
        <v>2.7769230769230773</v>
      </c>
      <c r="I15" s="17">
        <f t="shared" si="1"/>
        <v>4.272189349112427</v>
      </c>
      <c r="J15" s="4">
        <v>0.32</v>
      </c>
      <c r="K15" s="4">
        <v>240</v>
      </c>
      <c r="L15" s="4" t="s">
        <v>39</v>
      </c>
      <c r="M15" s="16">
        <f>K15*((C15*12/39)*(D15*12/39))/($B$5*$H$2*J15)</f>
        <v>7.1723148646225567</v>
      </c>
    </row>
    <row r="16" spans="1:13" x14ac:dyDescent="0.3">
      <c r="A16" s="4">
        <f t="shared" si="2"/>
        <v>5</v>
      </c>
      <c r="B16" s="4" t="s">
        <v>7</v>
      </c>
      <c r="C16" s="4">
        <v>10</v>
      </c>
      <c r="D16" s="4">
        <v>10</v>
      </c>
      <c r="E16" s="4">
        <v>11</v>
      </c>
      <c r="F16" s="4">
        <v>0</v>
      </c>
      <c r="G16" s="5">
        <v>0</v>
      </c>
      <c r="H16" s="17">
        <f t="shared" si="0"/>
        <v>3.3846153846153846</v>
      </c>
      <c r="I16" s="17">
        <f t="shared" si="1"/>
        <v>5.2071005917159763</v>
      </c>
      <c r="J16" s="4">
        <v>0.34</v>
      </c>
      <c r="K16" s="4">
        <v>80</v>
      </c>
      <c r="L16" s="4" t="s">
        <v>38</v>
      </c>
      <c r="M16" s="16">
        <f t="shared" ref="M16:M21" si="3">K16*((C16*12/39)*(D16*12/39))/($B$2*$H$2*J16)</f>
        <v>0.17554268059707551</v>
      </c>
    </row>
    <row r="17" spans="1:13" x14ac:dyDescent="0.3">
      <c r="A17" s="4">
        <f t="shared" si="2"/>
        <v>6</v>
      </c>
      <c r="B17" s="4" t="s">
        <v>8</v>
      </c>
      <c r="C17" s="4">
        <v>14</v>
      </c>
      <c r="D17" s="4">
        <v>10</v>
      </c>
      <c r="E17" s="4">
        <v>11</v>
      </c>
      <c r="F17" s="4">
        <v>0</v>
      </c>
      <c r="G17" s="5">
        <v>0</v>
      </c>
      <c r="H17" s="17">
        <f t="shared" si="0"/>
        <v>3.3846153846153846</v>
      </c>
      <c r="I17" s="17">
        <f t="shared" si="1"/>
        <v>6.0749506903353048</v>
      </c>
      <c r="J17" s="4">
        <v>0.34</v>
      </c>
      <c r="K17" s="4">
        <v>160</v>
      </c>
      <c r="L17" s="4" t="s">
        <v>39</v>
      </c>
      <c r="M17" s="16">
        <f>K17*((C17*12/39)*(D17*12/39))/($B$5*$H$2*J17)</f>
        <v>6.3003863908841273</v>
      </c>
    </row>
    <row r="18" spans="1:13" x14ac:dyDescent="0.3">
      <c r="A18" s="4">
        <f t="shared" si="2"/>
        <v>7</v>
      </c>
      <c r="B18" s="4" t="s">
        <v>5</v>
      </c>
      <c r="C18" s="4">
        <v>7.9</v>
      </c>
      <c r="D18" s="4">
        <v>8</v>
      </c>
      <c r="E18" s="4">
        <v>11</v>
      </c>
      <c r="F18" s="4">
        <v>0.3</v>
      </c>
      <c r="G18" s="5">
        <v>0</v>
      </c>
      <c r="H18" s="17">
        <f t="shared" si="0"/>
        <v>3.0846153846153848</v>
      </c>
      <c r="I18" s="17">
        <f t="shared" si="1"/>
        <v>3.772572661977597</v>
      </c>
      <c r="J18" s="4">
        <v>0.32</v>
      </c>
      <c r="K18" s="4">
        <v>240</v>
      </c>
      <c r="L18" s="4" t="s">
        <v>39</v>
      </c>
      <c r="M18" s="16">
        <f>K18*((C18*12/39)*(D18*12/39))/($B$5*$H$2*J18)</f>
        <v>4.5329029944414563</v>
      </c>
    </row>
    <row r="19" spans="1:13" x14ac:dyDescent="0.3">
      <c r="A19" s="4">
        <f t="shared" si="2"/>
        <v>8</v>
      </c>
      <c r="B19" s="4" t="s">
        <v>9</v>
      </c>
      <c r="C19" s="4">
        <v>27.6</v>
      </c>
      <c r="D19" s="4">
        <v>12.5</v>
      </c>
      <c r="E19" s="4">
        <v>11</v>
      </c>
      <c r="F19" s="4">
        <v>0</v>
      </c>
      <c r="G19" s="5">
        <v>0</v>
      </c>
      <c r="H19" s="17">
        <f t="shared" si="0"/>
        <v>3.3846153846153846</v>
      </c>
      <c r="I19" s="17">
        <f t="shared" si="1"/>
        <v>8.9598488984638998</v>
      </c>
      <c r="J19" s="4">
        <v>0.34</v>
      </c>
      <c r="K19" s="4">
        <v>80</v>
      </c>
      <c r="L19" s="4" t="s">
        <v>38</v>
      </c>
      <c r="M19" s="16">
        <f t="shared" si="3"/>
        <v>0.60562224805991061</v>
      </c>
    </row>
    <row r="20" spans="1:13" x14ac:dyDescent="0.3">
      <c r="A20" s="4">
        <f t="shared" si="2"/>
        <v>9</v>
      </c>
      <c r="B20" s="4" t="s">
        <v>11</v>
      </c>
      <c r="C20" s="4">
        <v>8</v>
      </c>
      <c r="D20" s="4">
        <v>15.1</v>
      </c>
      <c r="E20" s="4">
        <v>11</v>
      </c>
      <c r="F20" s="4">
        <v>0</v>
      </c>
      <c r="G20" s="5">
        <v>0</v>
      </c>
      <c r="H20" s="17">
        <f t="shared" si="0"/>
        <v>3.3846153846153846</v>
      </c>
      <c r="I20" s="17">
        <f t="shared" si="1"/>
        <v>5.4460411383488303</v>
      </c>
      <c r="J20" s="4">
        <v>0.34</v>
      </c>
      <c r="K20" s="4">
        <v>80</v>
      </c>
      <c r="L20" s="4" t="s">
        <v>38</v>
      </c>
      <c r="M20" s="16">
        <f t="shared" si="3"/>
        <v>0.21205555816126717</v>
      </c>
    </row>
    <row r="21" spans="1:13" x14ac:dyDescent="0.3">
      <c r="A21" s="4">
        <f t="shared" si="2"/>
        <v>10</v>
      </c>
      <c r="B21" s="4" t="s">
        <v>10</v>
      </c>
      <c r="C21" s="4">
        <v>9.9</v>
      </c>
      <c r="D21" s="4">
        <v>17</v>
      </c>
      <c r="E21" s="4">
        <v>11</v>
      </c>
      <c r="F21" s="4">
        <v>0</v>
      </c>
      <c r="G21" s="5">
        <v>0</v>
      </c>
      <c r="H21" s="17">
        <f t="shared" si="0"/>
        <v>3.3846153846153846</v>
      </c>
      <c r="I21" s="17">
        <f t="shared" si="1"/>
        <v>6.515650777589582</v>
      </c>
      <c r="J21" s="4">
        <v>0.34</v>
      </c>
      <c r="K21" s="4">
        <v>80</v>
      </c>
      <c r="L21" s="4" t="s">
        <v>38</v>
      </c>
      <c r="M21" s="16">
        <f t="shared" si="3"/>
        <v>0.29543833144487813</v>
      </c>
    </row>
    <row r="22" spans="1:13" x14ac:dyDescent="0.3">
      <c r="A22" s="4">
        <f t="shared" si="2"/>
        <v>11</v>
      </c>
      <c r="B22" s="4" t="s">
        <v>8</v>
      </c>
      <c r="C22" s="4">
        <v>10</v>
      </c>
      <c r="D22" s="4">
        <v>14.6</v>
      </c>
      <c r="E22" s="4">
        <v>11</v>
      </c>
      <c r="F22" s="4">
        <v>0.3</v>
      </c>
      <c r="G22" s="5">
        <v>0</v>
      </c>
      <c r="H22" s="17">
        <f t="shared" si="0"/>
        <v>3.0846153846153848</v>
      </c>
      <c r="I22" s="17">
        <f t="shared" si="1"/>
        <v>5.6329436667147741</v>
      </c>
      <c r="J22" s="4">
        <v>0.34</v>
      </c>
      <c r="K22" s="4">
        <v>160</v>
      </c>
      <c r="L22" s="4" t="s">
        <v>39</v>
      </c>
      <c r="M22" s="16">
        <f>K22*((C22*12/39)*(D22*12/39))/($B$5*$H$2*J22)</f>
        <v>6.570402950493448</v>
      </c>
    </row>
    <row r="23" spans="1:13" x14ac:dyDescent="0.3">
      <c r="A23" s="4">
        <f t="shared" si="2"/>
        <v>12</v>
      </c>
      <c r="B23" s="4" t="s">
        <v>5</v>
      </c>
      <c r="C23" s="4">
        <v>7</v>
      </c>
      <c r="D23" s="4">
        <v>9</v>
      </c>
      <c r="E23" s="4">
        <v>11</v>
      </c>
      <c r="F23" s="4">
        <v>0.3</v>
      </c>
      <c r="G23" s="5">
        <v>0</v>
      </c>
      <c r="H23" s="17">
        <f t="shared" si="0"/>
        <v>3.0846153846153848</v>
      </c>
      <c r="I23" s="17">
        <f t="shared" si="1"/>
        <v>3.7371301775147927</v>
      </c>
      <c r="J23" s="4">
        <v>0.32</v>
      </c>
      <c r="K23" s="4">
        <v>240</v>
      </c>
      <c r="L23" s="4" t="s">
        <v>39</v>
      </c>
      <c r="M23" s="16">
        <f>K23*((C23*12/39)*(D23*12/39))/($B$5*$H$2*J23)</f>
        <v>4.5185583647122103</v>
      </c>
    </row>
    <row r="24" spans="1:13" x14ac:dyDescent="0.3">
      <c r="A24" s="4">
        <f t="shared" si="2"/>
        <v>13</v>
      </c>
      <c r="B24" s="4" t="s">
        <v>12</v>
      </c>
      <c r="C24" s="4">
        <v>6.6</v>
      </c>
      <c r="D24" s="4">
        <v>4</v>
      </c>
      <c r="E24" s="4">
        <v>11</v>
      </c>
      <c r="F24" s="4">
        <v>0.3</v>
      </c>
      <c r="G24" s="5">
        <v>0</v>
      </c>
      <c r="H24" s="17">
        <f t="shared" si="0"/>
        <v>3.0846153846153848</v>
      </c>
      <c r="I24" s="17">
        <f t="shared" si="1"/>
        <v>2.3638271742771018</v>
      </c>
      <c r="J24" s="4">
        <v>0.3</v>
      </c>
      <c r="K24" s="4">
        <v>160</v>
      </c>
      <c r="L24" s="4" t="s">
        <v>39</v>
      </c>
      <c r="M24" s="16">
        <f>K24*((C24*12/39)*(D24*12/39))/($B$5*$H$2*J24)</f>
        <v>1.3464825772518081</v>
      </c>
    </row>
    <row r="25" spans="1:13" x14ac:dyDescent="0.3">
      <c r="A25" s="4">
        <f t="shared" si="2"/>
        <v>14</v>
      </c>
      <c r="B25" s="4" t="s">
        <v>13</v>
      </c>
      <c r="C25" s="4">
        <v>9</v>
      </c>
      <c r="D25" s="4">
        <v>13.8</v>
      </c>
      <c r="E25" s="4">
        <v>11</v>
      </c>
      <c r="F25" s="4">
        <v>0</v>
      </c>
      <c r="G25" s="5">
        <v>0</v>
      </c>
      <c r="H25" s="17">
        <f t="shared" si="0"/>
        <v>3.3846153846153846</v>
      </c>
      <c r="I25" s="17">
        <f t="shared" si="1"/>
        <v>5.6729990657116165</v>
      </c>
      <c r="J25" s="4">
        <v>0.34</v>
      </c>
      <c r="K25" s="4">
        <v>80</v>
      </c>
      <c r="L25" s="4" t="s">
        <v>38</v>
      </c>
      <c r="M25" s="16">
        <f>K25*((C25*12/39)*(D25*12/39))/($B$2*$H$2*J25)</f>
        <v>0.21802400930156782</v>
      </c>
    </row>
    <row r="26" spans="1:13" x14ac:dyDescent="0.3">
      <c r="A26" s="4">
        <f t="shared" si="2"/>
        <v>15</v>
      </c>
      <c r="B26" s="4" t="s">
        <v>14</v>
      </c>
      <c r="C26" s="4">
        <v>12</v>
      </c>
      <c r="D26" s="4">
        <v>18.399999999999999</v>
      </c>
      <c r="E26" s="4">
        <v>0</v>
      </c>
      <c r="F26" s="4">
        <v>0</v>
      </c>
      <c r="G26" s="5">
        <v>0</v>
      </c>
      <c r="H26" s="17">
        <f t="shared" si="0"/>
        <v>0</v>
      </c>
      <c r="I26" s="17">
        <f t="shared" si="1"/>
        <v>0</v>
      </c>
      <c r="J26" s="4">
        <v>0.18</v>
      </c>
      <c r="K26" s="4">
        <v>80</v>
      </c>
      <c r="L26" s="4" t="s">
        <v>40</v>
      </c>
      <c r="M26" s="16">
        <f>K26*((C26*12/39)*(D26*12/39))/($B$7*$H$2*J26)</f>
        <v>12.903791365329827</v>
      </c>
    </row>
    <row r="27" spans="1:13" x14ac:dyDescent="0.3">
      <c r="A27" s="4">
        <f t="shared" si="2"/>
        <v>16</v>
      </c>
      <c r="B27" s="4" t="s">
        <v>15</v>
      </c>
      <c r="C27" s="4">
        <v>10</v>
      </c>
      <c r="D27" s="4">
        <v>10</v>
      </c>
      <c r="E27" s="4">
        <v>0</v>
      </c>
      <c r="F27" s="4">
        <v>0</v>
      </c>
      <c r="G27" s="5">
        <v>0</v>
      </c>
      <c r="H27" s="17">
        <f t="shared" si="0"/>
        <v>0</v>
      </c>
      <c r="I27" s="17">
        <f t="shared" si="1"/>
        <v>0</v>
      </c>
      <c r="J27" s="4">
        <v>0.18</v>
      </c>
      <c r="K27" s="4">
        <v>80</v>
      </c>
      <c r="L27" s="4" t="s">
        <v>40</v>
      </c>
      <c r="M27" s="16">
        <f>K27*((C27*12/39)*(D27*12/39))/($B$7*$H$2*J27)</f>
        <v>5.8441084082109729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topLeftCell="B2" zoomScale="85" zoomScaleNormal="85" workbookViewId="0">
      <selection activeCell="V15" sqref="V15"/>
    </sheetView>
  </sheetViews>
  <sheetFormatPr defaultRowHeight="14.4" x14ac:dyDescent="0.3"/>
  <cols>
    <col min="1" max="1" width="43.44140625" customWidth="1"/>
    <col min="2" max="2" width="17.6640625" customWidth="1"/>
    <col min="9" max="9" width="10.109375" customWidth="1"/>
    <col min="11" max="11" width="8.5546875" bestFit="1" customWidth="1"/>
    <col min="14" max="14" width="13.6640625" customWidth="1"/>
  </cols>
  <sheetData>
    <row r="1" spans="1:24" x14ac:dyDescent="0.3">
      <c r="A1" t="s">
        <v>100</v>
      </c>
      <c r="B1" t="s">
        <v>102</v>
      </c>
    </row>
    <row r="2" spans="1:24" x14ac:dyDescent="0.3">
      <c r="A2" s="1" t="s">
        <v>49</v>
      </c>
      <c r="B2" t="s">
        <v>101</v>
      </c>
      <c r="G2" t="s">
        <v>103</v>
      </c>
    </row>
    <row r="3" spans="1:24" ht="28.8" x14ac:dyDescent="0.3">
      <c r="A3" s="1" t="s">
        <v>49</v>
      </c>
      <c r="B3">
        <v>0.7</v>
      </c>
      <c r="C3" t="s">
        <v>51</v>
      </c>
      <c r="D3" s="1" t="s">
        <v>50</v>
      </c>
      <c r="E3">
        <v>5</v>
      </c>
      <c r="F3" t="s">
        <v>52</v>
      </c>
      <c r="G3" s="1" t="s">
        <v>53</v>
      </c>
      <c r="H3">
        <v>20</v>
      </c>
      <c r="I3" t="s">
        <v>52</v>
      </c>
    </row>
    <row r="4" spans="1:24" x14ac:dyDescent="0.3">
      <c r="M4" t="s">
        <v>57</v>
      </c>
    </row>
    <row r="5" spans="1:24" x14ac:dyDescent="0.3">
      <c r="A5" t="s">
        <v>58</v>
      </c>
      <c r="B5">
        <v>5</v>
      </c>
      <c r="C5" t="s">
        <v>59</v>
      </c>
      <c r="G5" t="s">
        <v>61</v>
      </c>
      <c r="H5">
        <v>0.2</v>
      </c>
    </row>
    <row r="6" spans="1:24" x14ac:dyDescent="0.3">
      <c r="B6">
        <v>20</v>
      </c>
      <c r="C6" t="s">
        <v>59</v>
      </c>
    </row>
    <row r="7" spans="1:24" x14ac:dyDescent="0.3">
      <c r="A7" t="s">
        <v>64</v>
      </c>
      <c r="B7" t="s">
        <v>65</v>
      </c>
      <c r="C7">
        <v>5</v>
      </c>
    </row>
    <row r="8" spans="1:24" x14ac:dyDescent="0.3">
      <c r="B8" t="s">
        <v>66</v>
      </c>
      <c r="C8">
        <v>8</v>
      </c>
    </row>
    <row r="9" spans="1:24" x14ac:dyDescent="0.3">
      <c r="A9" t="s">
        <v>68</v>
      </c>
      <c r="C9">
        <v>3</v>
      </c>
      <c r="F9" s="27"/>
    </row>
    <row r="11" spans="1:24" ht="57.6" x14ac:dyDescent="0.3">
      <c r="A11" s="2" t="s">
        <v>0</v>
      </c>
      <c r="B11" s="2" t="s">
        <v>1</v>
      </c>
      <c r="C11" s="2" t="s">
        <v>2</v>
      </c>
      <c r="D11" s="2" t="s">
        <v>33</v>
      </c>
      <c r="E11" s="2" t="s">
        <v>32</v>
      </c>
      <c r="F11" s="2" t="s">
        <v>44</v>
      </c>
      <c r="G11" s="2" t="s">
        <v>45</v>
      </c>
      <c r="H11" s="2" t="s">
        <v>46</v>
      </c>
      <c r="I11" s="2" t="s">
        <v>47</v>
      </c>
      <c r="J11" s="2" t="s">
        <v>48</v>
      </c>
      <c r="K11" s="3" t="s">
        <v>43</v>
      </c>
      <c r="L11" s="3" t="s">
        <v>67</v>
      </c>
      <c r="M11" s="3" t="s">
        <v>63</v>
      </c>
      <c r="N11" s="6" t="s">
        <v>69</v>
      </c>
      <c r="S11" s="7" t="s">
        <v>55</v>
      </c>
      <c r="T11" s="7" t="s">
        <v>56</v>
      </c>
      <c r="U11" s="7" t="s">
        <v>54</v>
      </c>
      <c r="V11" s="7" t="s">
        <v>60</v>
      </c>
      <c r="W11" s="7" t="s">
        <v>62</v>
      </c>
      <c r="X11" s="7" t="s">
        <v>63</v>
      </c>
    </row>
    <row r="12" spans="1:24" x14ac:dyDescent="0.3">
      <c r="A12" s="4">
        <v>1</v>
      </c>
      <c r="B12" s="4" t="s">
        <v>3</v>
      </c>
      <c r="C12" s="4">
        <v>20</v>
      </c>
      <c r="D12" s="4">
        <v>10</v>
      </c>
      <c r="E12" s="4">
        <v>10</v>
      </c>
      <c r="F12" s="17">
        <f>C12*12/39</f>
        <v>6.1538461538461542</v>
      </c>
      <c r="G12" s="17">
        <f>D12*12/39</f>
        <v>3.0769230769230771</v>
      </c>
      <c r="H12" s="17">
        <f>E12*12/39</f>
        <v>3.0769230769230771</v>
      </c>
      <c r="I12" s="17">
        <f>F12*G12*H12</f>
        <v>58.261265361857085</v>
      </c>
      <c r="J12" s="17">
        <f>F12*G12</f>
        <v>18.934911242603551</v>
      </c>
      <c r="K12" s="5">
        <v>12</v>
      </c>
      <c r="L12" s="17">
        <f>K12*$C$7</f>
        <v>60</v>
      </c>
      <c r="M12" s="17">
        <f t="shared" ref="M12:M25" si="0">L12/I12</f>
        <v>1.0298437499999999</v>
      </c>
      <c r="N12" s="4">
        <f>L12/($B$31*$B$37)</f>
        <v>6.3566459793154742E-2</v>
      </c>
      <c r="S12" s="8">
        <f t="shared" ref="S12:S27" si="1">K12*$H$3</f>
        <v>240</v>
      </c>
      <c r="T12" s="8">
        <f t="shared" ref="T12:T27" si="2">$B$3*J12</f>
        <v>13.254437869822485</v>
      </c>
      <c r="U12" s="8">
        <f>S12+T12</f>
        <v>253.25443786982248</v>
      </c>
      <c r="V12" s="8">
        <f>112/(5.98-LN($B$5))^4</f>
        <v>0.30695085406851119</v>
      </c>
      <c r="W12" s="8" t="s">
        <v>110</v>
      </c>
      <c r="X12" s="8" t="e">
        <f t="shared" ref="X12:X25" si="3">W12/I12</f>
        <v>#VALUE!</v>
      </c>
    </row>
    <row r="13" spans="1:24" x14ac:dyDescent="0.3">
      <c r="A13" s="4">
        <f>1+A12</f>
        <v>2</v>
      </c>
      <c r="B13" s="4" t="s">
        <v>4</v>
      </c>
      <c r="C13" s="4">
        <v>10</v>
      </c>
      <c r="D13" s="4">
        <v>10</v>
      </c>
      <c r="E13" s="4">
        <v>10</v>
      </c>
      <c r="F13" s="17">
        <f t="shared" ref="F13:F27" si="4">C13*12/39</f>
        <v>3.0769230769230771</v>
      </c>
      <c r="G13" s="17">
        <f t="shared" ref="G13:G27" si="5">D13*12/39</f>
        <v>3.0769230769230771</v>
      </c>
      <c r="H13" s="17">
        <f t="shared" ref="H13:H27" si="6">E13*12/39</f>
        <v>3.0769230769230771</v>
      </c>
      <c r="I13" s="17">
        <f t="shared" ref="I13:I27" si="7">F13*G13*H13</f>
        <v>29.130632680928542</v>
      </c>
      <c r="J13" s="17">
        <f t="shared" ref="J13:J21" si="8">F13*G13</f>
        <v>9.4674556213017755</v>
      </c>
      <c r="K13" s="5">
        <v>6</v>
      </c>
      <c r="L13" s="17">
        <f t="shared" ref="L13:L16" si="9">K13*$C$7</f>
        <v>30</v>
      </c>
      <c r="M13" s="17">
        <f t="shared" si="0"/>
        <v>1.0298437499999999</v>
      </c>
      <c r="N13" s="4">
        <f t="shared" ref="N13:N25" si="10">L13/($B$31*$B$37)</f>
        <v>3.1783229896577371E-2</v>
      </c>
      <c r="S13" s="8">
        <f t="shared" si="1"/>
        <v>120</v>
      </c>
      <c r="T13" s="8">
        <f t="shared" si="2"/>
        <v>6.6272189349112427</v>
      </c>
      <c r="U13" s="8">
        <f t="shared" ref="U13:U27" si="11">S13+T13</f>
        <v>126.62721893491124</v>
      </c>
      <c r="V13" s="8">
        <f>112/(5.98-LN($B$5))^4</f>
        <v>0.30695085406851119</v>
      </c>
      <c r="W13" s="8">
        <f t="shared" ref="W13:W27" si="12">10*U13/(V13-$H$5)</f>
        <v>11839.757619307618</v>
      </c>
      <c r="X13" s="8">
        <f t="shared" si="3"/>
        <v>406.43667952529427</v>
      </c>
    </row>
    <row r="14" spans="1:24" x14ac:dyDescent="0.3">
      <c r="A14" s="4">
        <f t="shared" ref="A14:A27" si="13">1+A13</f>
        <v>3</v>
      </c>
      <c r="B14" s="4" t="s">
        <v>5</v>
      </c>
      <c r="C14" s="4">
        <v>7.8</v>
      </c>
      <c r="D14" s="4">
        <v>8.6</v>
      </c>
      <c r="E14" s="4">
        <v>11</v>
      </c>
      <c r="F14" s="17">
        <f t="shared" si="4"/>
        <v>2.4</v>
      </c>
      <c r="G14" s="17">
        <f t="shared" si="5"/>
        <v>2.6461538461538461</v>
      </c>
      <c r="H14" s="17">
        <f t="shared" si="6"/>
        <v>3.3846153846153846</v>
      </c>
      <c r="I14" s="17">
        <f t="shared" si="7"/>
        <v>21.494911242603546</v>
      </c>
      <c r="J14" s="17">
        <f t="shared" si="8"/>
        <v>6.3507692307692301</v>
      </c>
      <c r="K14" s="5">
        <v>2</v>
      </c>
      <c r="L14" s="17">
        <f>K14*$C$8</f>
        <v>16</v>
      </c>
      <c r="M14" s="17">
        <f t="shared" si="0"/>
        <v>0.74436222692036658</v>
      </c>
      <c r="N14" s="4">
        <f t="shared" si="10"/>
        <v>1.6951055944841264E-2</v>
      </c>
      <c r="S14" s="8">
        <f t="shared" si="1"/>
        <v>40</v>
      </c>
      <c r="T14" s="8">
        <f t="shared" si="2"/>
        <v>4.4455384615384608</v>
      </c>
      <c r="U14" s="8">
        <f t="shared" si="11"/>
        <v>44.445538461538462</v>
      </c>
      <c r="V14" s="8">
        <f>112/(5.98-LN($B$6))^4</f>
        <v>1.4121046843659653</v>
      </c>
      <c r="W14" s="8">
        <f t="shared" si="12"/>
        <v>366.68069214489748</v>
      </c>
      <c r="X14" s="8">
        <f t="shared" si="3"/>
        <v>17.05895353585483</v>
      </c>
    </row>
    <row r="15" spans="1:24" x14ac:dyDescent="0.3">
      <c r="A15" s="4">
        <f t="shared" si="13"/>
        <v>4</v>
      </c>
      <c r="B15" s="4" t="s">
        <v>6</v>
      </c>
      <c r="C15" s="4">
        <v>6.6</v>
      </c>
      <c r="D15" s="4">
        <v>9</v>
      </c>
      <c r="E15" s="4">
        <v>11</v>
      </c>
      <c r="F15" s="17">
        <f t="shared" si="4"/>
        <v>2.0307692307692307</v>
      </c>
      <c r="G15" s="17">
        <f t="shared" si="5"/>
        <v>2.7692307692307692</v>
      </c>
      <c r="H15" s="17">
        <f t="shared" si="6"/>
        <v>3.3846153846153846</v>
      </c>
      <c r="I15" s="17">
        <f t="shared" si="7"/>
        <v>19.033955393718706</v>
      </c>
      <c r="J15" s="17">
        <f t="shared" si="8"/>
        <v>5.6236686390532542</v>
      </c>
      <c r="K15" s="5">
        <v>10</v>
      </c>
      <c r="L15" s="17">
        <f>K15*$C$8</f>
        <v>80</v>
      </c>
      <c r="M15" s="17">
        <f>L15/I15</f>
        <v>4.203014998469544</v>
      </c>
      <c r="N15" s="4">
        <f t="shared" si="10"/>
        <v>8.4755279724206323E-2</v>
      </c>
      <c r="S15" s="8">
        <f>K15*$H$3</f>
        <v>200</v>
      </c>
      <c r="T15" s="8">
        <f t="shared" si="2"/>
        <v>3.9365680473372775</v>
      </c>
      <c r="U15" s="8">
        <f t="shared" si="11"/>
        <v>203.93656804733729</v>
      </c>
      <c r="V15" s="8">
        <f>112/(5.98-LN($B$6))^4</f>
        <v>1.4121046843659653</v>
      </c>
      <c r="W15" s="8">
        <f t="shared" si="12"/>
        <v>1682.4996279427266</v>
      </c>
      <c r="X15" s="8">
        <f t="shared" si="3"/>
        <v>88.39463963953385</v>
      </c>
    </row>
    <row r="16" spans="1:24" x14ac:dyDescent="0.3">
      <c r="A16" s="4">
        <f t="shared" si="13"/>
        <v>5</v>
      </c>
      <c r="B16" s="4" t="s">
        <v>7</v>
      </c>
      <c r="C16" s="4">
        <v>10</v>
      </c>
      <c r="D16" s="4">
        <v>12.4</v>
      </c>
      <c r="E16" s="4">
        <v>11</v>
      </c>
      <c r="F16" s="17">
        <f t="shared" si="4"/>
        <v>3.0769230769230771</v>
      </c>
      <c r="G16" s="17">
        <f t="shared" si="5"/>
        <v>3.8153846153846156</v>
      </c>
      <c r="H16" s="17">
        <f t="shared" si="6"/>
        <v>3.3846153846153846</v>
      </c>
      <c r="I16" s="17">
        <f t="shared" si="7"/>
        <v>39.734182976786528</v>
      </c>
      <c r="J16" s="17">
        <f t="shared" si="8"/>
        <v>11.739644970414203</v>
      </c>
      <c r="K16" s="5">
        <v>2</v>
      </c>
      <c r="L16" s="17">
        <f t="shared" si="9"/>
        <v>10</v>
      </c>
      <c r="M16" s="17">
        <f t="shared" si="0"/>
        <v>0.25167247067448678</v>
      </c>
      <c r="N16" s="4">
        <f t="shared" si="10"/>
        <v>1.059440996552579E-2</v>
      </c>
      <c r="S16" s="8">
        <f t="shared" si="1"/>
        <v>40</v>
      </c>
      <c r="T16" s="8">
        <f t="shared" si="2"/>
        <v>8.2177514792899409</v>
      </c>
      <c r="U16" s="8">
        <f t="shared" si="11"/>
        <v>48.217751479289944</v>
      </c>
      <c r="V16" s="8">
        <f t="shared" ref="V16:V25" si="14">112/(5.98-LN($B$5))^4</f>
        <v>0.30695085406851119</v>
      </c>
      <c r="W16" s="8">
        <f t="shared" si="12"/>
        <v>4508.4026583277537</v>
      </c>
      <c r="X16" s="8">
        <f t="shared" si="3"/>
        <v>113.46408358167699</v>
      </c>
    </row>
    <row r="17" spans="1:24" x14ac:dyDescent="0.3">
      <c r="A17" s="4">
        <f t="shared" si="13"/>
        <v>6</v>
      </c>
      <c r="B17" s="4" t="s">
        <v>8</v>
      </c>
      <c r="C17" s="4">
        <v>14</v>
      </c>
      <c r="D17" s="4">
        <v>10</v>
      </c>
      <c r="E17" s="4">
        <v>11</v>
      </c>
      <c r="F17" s="17">
        <f t="shared" si="4"/>
        <v>4.3076923076923075</v>
      </c>
      <c r="G17" s="17">
        <f t="shared" si="5"/>
        <v>3.0769230769230771</v>
      </c>
      <c r="H17" s="17">
        <f t="shared" si="6"/>
        <v>3.3846153846153846</v>
      </c>
      <c r="I17" s="17">
        <f t="shared" si="7"/>
        <v>44.86117432862995</v>
      </c>
      <c r="J17" s="17">
        <f t="shared" si="8"/>
        <v>13.254437869822485</v>
      </c>
      <c r="K17" s="5">
        <v>0</v>
      </c>
      <c r="L17" s="17">
        <f>C9*J17</f>
        <v>39.76331360946746</v>
      </c>
      <c r="M17" s="17">
        <f t="shared" si="0"/>
        <v>0.88636363636363646</v>
      </c>
      <c r="N17" s="4">
        <f t="shared" si="10"/>
        <v>4.212688459664693E-2</v>
      </c>
      <c r="S17" s="8">
        <f t="shared" si="1"/>
        <v>0</v>
      </c>
      <c r="T17" s="8">
        <f t="shared" si="2"/>
        <v>9.2781065088757391</v>
      </c>
      <c r="U17" s="8">
        <f t="shared" si="11"/>
        <v>9.2781065088757391</v>
      </c>
      <c r="V17" s="8">
        <f>112/(5.98-LN($B$6))^4</f>
        <v>1.4121046843659653</v>
      </c>
      <c r="W17" s="8">
        <f t="shared" si="12"/>
        <v>76.545422425530717</v>
      </c>
      <c r="X17" s="8">
        <f t="shared" si="3"/>
        <v>1.7062732657152089</v>
      </c>
    </row>
    <row r="18" spans="1:24" x14ac:dyDescent="0.3">
      <c r="A18" s="4">
        <f t="shared" si="13"/>
        <v>7</v>
      </c>
      <c r="B18" s="4" t="s">
        <v>5</v>
      </c>
      <c r="C18" s="4">
        <v>7.9</v>
      </c>
      <c r="D18" s="4">
        <v>8</v>
      </c>
      <c r="E18" s="4">
        <v>11</v>
      </c>
      <c r="F18" s="17">
        <f t="shared" si="4"/>
        <v>2.430769230769231</v>
      </c>
      <c r="G18" s="17">
        <f t="shared" si="5"/>
        <v>2.4615384615384617</v>
      </c>
      <c r="H18" s="17">
        <f t="shared" si="6"/>
        <v>3.3846153846153846</v>
      </c>
      <c r="I18" s="17">
        <f t="shared" si="7"/>
        <v>20.251615839781522</v>
      </c>
      <c r="J18" s="17">
        <f t="shared" si="8"/>
        <v>5.9834319526627224</v>
      </c>
      <c r="K18" s="5">
        <v>4</v>
      </c>
      <c r="L18" s="17">
        <f>K18*$C$7</f>
        <v>20</v>
      </c>
      <c r="M18" s="17">
        <f t="shared" si="0"/>
        <v>0.9875755178365937</v>
      </c>
      <c r="N18" s="4">
        <f t="shared" si="10"/>
        <v>2.1188819931051581E-2</v>
      </c>
      <c r="S18" s="8">
        <f t="shared" si="1"/>
        <v>80</v>
      </c>
      <c r="T18" s="8">
        <f t="shared" si="2"/>
        <v>4.1884023668639054</v>
      </c>
      <c r="U18" s="8">
        <f t="shared" si="11"/>
        <v>84.188402366863912</v>
      </c>
      <c r="V18" s="8">
        <f>112/(5.98-LN($B$6))^4</f>
        <v>1.4121046843659653</v>
      </c>
      <c r="W18" s="8">
        <f t="shared" si="12"/>
        <v>694.5637901803974</v>
      </c>
      <c r="X18" s="8">
        <f t="shared" si="3"/>
        <v>34.296709737897658</v>
      </c>
    </row>
    <row r="19" spans="1:24" x14ac:dyDescent="0.3">
      <c r="A19" s="4">
        <f t="shared" si="13"/>
        <v>8</v>
      </c>
      <c r="B19" s="4" t="s">
        <v>9</v>
      </c>
      <c r="C19" s="4">
        <v>27.6</v>
      </c>
      <c r="D19" s="4">
        <v>12.5</v>
      </c>
      <c r="E19" s="4">
        <v>11</v>
      </c>
      <c r="F19" s="17">
        <f t="shared" si="4"/>
        <v>8.4923076923076941</v>
      </c>
      <c r="G19" s="17">
        <f t="shared" si="5"/>
        <v>3.8461538461538463</v>
      </c>
      <c r="H19" s="17">
        <f t="shared" si="6"/>
        <v>3.3846153846153846</v>
      </c>
      <c r="I19" s="17">
        <f t="shared" si="7"/>
        <v>110.55075102412383</v>
      </c>
      <c r="J19" s="17">
        <f t="shared" si="8"/>
        <v>32.662721893491131</v>
      </c>
      <c r="K19" s="5">
        <v>2</v>
      </c>
      <c r="L19" s="17">
        <f t="shared" ref="L19:L21" si="15">K19*$C$7</f>
        <v>10</v>
      </c>
      <c r="M19" s="17">
        <f t="shared" si="0"/>
        <v>9.0456192358366258E-2</v>
      </c>
      <c r="N19" s="4">
        <f t="shared" si="10"/>
        <v>1.059440996552579E-2</v>
      </c>
      <c r="S19" s="8">
        <f t="shared" si="1"/>
        <v>40</v>
      </c>
      <c r="T19" s="8">
        <f t="shared" si="2"/>
        <v>22.863905325443792</v>
      </c>
      <c r="U19" s="8">
        <f t="shared" si="11"/>
        <v>62.863905325443795</v>
      </c>
      <c r="V19" s="8">
        <f t="shared" si="14"/>
        <v>0.30695085406851119</v>
      </c>
      <c r="W19" s="8">
        <f t="shared" si="12"/>
        <v>5877.8310723142131</v>
      </c>
      <c r="X19" s="8">
        <f t="shared" si="3"/>
        <v>53.168621812723664</v>
      </c>
    </row>
    <row r="20" spans="1:24" x14ac:dyDescent="0.3">
      <c r="A20" s="4">
        <f t="shared" si="13"/>
        <v>9</v>
      </c>
      <c r="B20" s="4" t="s">
        <v>11</v>
      </c>
      <c r="C20" s="4">
        <v>8</v>
      </c>
      <c r="D20" s="4">
        <v>15.1</v>
      </c>
      <c r="E20" s="4">
        <v>11</v>
      </c>
      <c r="F20" s="17">
        <f t="shared" si="4"/>
        <v>2.4615384615384617</v>
      </c>
      <c r="G20" s="17">
        <f t="shared" si="5"/>
        <v>4.6461538461538456</v>
      </c>
      <c r="H20" s="17">
        <f t="shared" si="6"/>
        <v>3.3846153846153846</v>
      </c>
      <c r="I20" s="17">
        <f t="shared" si="7"/>
        <v>38.708784706417838</v>
      </c>
      <c r="J20" s="17">
        <f t="shared" si="8"/>
        <v>11.436686390532543</v>
      </c>
      <c r="K20" s="5">
        <v>2</v>
      </c>
      <c r="L20" s="17">
        <f t="shared" si="15"/>
        <v>10</v>
      </c>
      <c r="M20" s="17">
        <f t="shared" si="0"/>
        <v>0.25833929108970505</v>
      </c>
      <c r="N20" s="4">
        <f t="shared" si="10"/>
        <v>1.059440996552579E-2</v>
      </c>
      <c r="S20" s="8">
        <f t="shared" si="1"/>
        <v>40</v>
      </c>
      <c r="T20" s="8">
        <f t="shared" si="2"/>
        <v>8.0056804733727791</v>
      </c>
      <c r="U20" s="8">
        <f t="shared" si="11"/>
        <v>48.005680473372777</v>
      </c>
      <c r="V20" s="8">
        <f t="shared" si="14"/>
        <v>0.30695085406851119</v>
      </c>
      <c r="W20" s="8">
        <f t="shared" si="12"/>
        <v>4488.5738306139219</v>
      </c>
      <c r="X20" s="8">
        <f t="shared" si="3"/>
        <v>115.95749814046023</v>
      </c>
    </row>
    <row r="21" spans="1:24" x14ac:dyDescent="0.3">
      <c r="A21" s="4">
        <f t="shared" si="13"/>
        <v>10</v>
      </c>
      <c r="B21" s="4" t="s">
        <v>10</v>
      </c>
      <c r="C21" s="4">
        <v>9.9</v>
      </c>
      <c r="D21" s="4">
        <v>17</v>
      </c>
      <c r="E21" s="4">
        <v>11</v>
      </c>
      <c r="F21" s="17">
        <f t="shared" si="4"/>
        <v>3.0461538461538464</v>
      </c>
      <c r="G21" s="17">
        <f t="shared" si="5"/>
        <v>5.2307692307692308</v>
      </c>
      <c r="H21" s="17">
        <f t="shared" si="6"/>
        <v>3.3846153846153846</v>
      </c>
      <c r="I21" s="17">
        <f t="shared" si="7"/>
        <v>53.929540282203014</v>
      </c>
      <c r="J21" s="17">
        <f t="shared" si="8"/>
        <v>15.93372781065089</v>
      </c>
      <c r="K21" s="5">
        <v>2</v>
      </c>
      <c r="L21" s="17">
        <f t="shared" si="15"/>
        <v>10</v>
      </c>
      <c r="M21" s="17">
        <f t="shared" si="0"/>
        <v>0.18542713228542101</v>
      </c>
      <c r="N21" s="4">
        <f t="shared" si="10"/>
        <v>1.059440996552579E-2</v>
      </c>
      <c r="S21" s="8">
        <f t="shared" si="1"/>
        <v>40</v>
      </c>
      <c r="T21" s="8">
        <f t="shared" si="2"/>
        <v>11.153609467455622</v>
      </c>
      <c r="U21" s="8">
        <f t="shared" si="11"/>
        <v>51.153609467455624</v>
      </c>
      <c r="V21" s="8">
        <f t="shared" si="14"/>
        <v>0.30695085406851119</v>
      </c>
      <c r="W21" s="8">
        <f t="shared" si="12"/>
        <v>4782.9079919911028</v>
      </c>
      <c r="X21" s="8">
        <f t="shared" si="3"/>
        <v>88.688091293993168</v>
      </c>
    </row>
    <row r="22" spans="1:24" x14ac:dyDescent="0.3">
      <c r="A22" s="4">
        <f t="shared" si="13"/>
        <v>11</v>
      </c>
      <c r="B22" s="4" t="s">
        <v>8</v>
      </c>
      <c r="C22" s="4">
        <v>10</v>
      </c>
      <c r="D22" s="4">
        <v>14.6</v>
      </c>
      <c r="E22" s="4">
        <v>11</v>
      </c>
      <c r="F22" s="17">
        <f t="shared" si="4"/>
        <v>3.0769230769230771</v>
      </c>
      <c r="G22" s="17">
        <f t="shared" si="5"/>
        <v>4.4923076923076923</v>
      </c>
      <c r="H22" s="17">
        <f t="shared" si="6"/>
        <v>3.3846153846153846</v>
      </c>
      <c r="I22" s="17">
        <f t="shared" si="7"/>
        <v>46.78379608557124</v>
      </c>
      <c r="J22" s="17">
        <f>F22*G22</f>
        <v>13.822485207100593</v>
      </c>
      <c r="K22" s="5">
        <v>0</v>
      </c>
      <c r="L22" s="17">
        <f>C9*J22</f>
        <v>41.467455621301781</v>
      </c>
      <c r="M22" s="17">
        <f t="shared" si="0"/>
        <v>0.88636363636363635</v>
      </c>
      <c r="N22" s="4">
        <f t="shared" si="10"/>
        <v>4.3932322507931804E-2</v>
      </c>
      <c r="S22" s="8">
        <f t="shared" si="1"/>
        <v>0</v>
      </c>
      <c r="T22" s="8">
        <f t="shared" si="2"/>
        <v>9.6757396449704149</v>
      </c>
      <c r="U22" s="8">
        <f t="shared" si="11"/>
        <v>9.6757396449704149</v>
      </c>
      <c r="V22" s="8">
        <f>112/(5.98-LN($B$6))^4</f>
        <v>1.4121046843659653</v>
      </c>
      <c r="W22" s="8">
        <f t="shared" si="12"/>
        <v>79.82594052948204</v>
      </c>
      <c r="X22" s="8">
        <f t="shared" si="3"/>
        <v>1.7062732657152089</v>
      </c>
    </row>
    <row r="23" spans="1:24" x14ac:dyDescent="0.3">
      <c r="A23" s="4">
        <f t="shared" si="13"/>
        <v>12</v>
      </c>
      <c r="B23" s="4" t="s">
        <v>5</v>
      </c>
      <c r="C23" s="4">
        <v>7</v>
      </c>
      <c r="D23" s="4">
        <v>9</v>
      </c>
      <c r="E23" s="4">
        <v>11</v>
      </c>
      <c r="F23" s="17">
        <f t="shared" si="4"/>
        <v>2.1538461538461537</v>
      </c>
      <c r="G23" s="17">
        <f t="shared" si="5"/>
        <v>2.7692307692307692</v>
      </c>
      <c r="H23" s="17">
        <f t="shared" si="6"/>
        <v>3.3846153846153846</v>
      </c>
      <c r="I23" s="17">
        <f t="shared" si="7"/>
        <v>20.187528447883476</v>
      </c>
      <c r="J23" s="17">
        <f t="shared" ref="J23" si="16">F23*G23</f>
        <v>5.9644970414201177</v>
      </c>
      <c r="K23" s="5">
        <v>2</v>
      </c>
      <c r="L23" s="17">
        <f t="shared" ref="L23:L25" si="17">K23*$C$7</f>
        <v>10</v>
      </c>
      <c r="M23" s="17">
        <f t="shared" si="0"/>
        <v>0.49535533910533913</v>
      </c>
      <c r="N23" s="4">
        <f t="shared" si="10"/>
        <v>1.059440996552579E-2</v>
      </c>
      <c r="S23" s="8">
        <f t="shared" si="1"/>
        <v>40</v>
      </c>
      <c r="T23" s="8">
        <f t="shared" si="2"/>
        <v>4.1751479289940825</v>
      </c>
      <c r="U23" s="8">
        <f t="shared" si="11"/>
        <v>44.175147928994079</v>
      </c>
      <c r="V23" s="8">
        <f>112/(5.98-LN($B$6))^4</f>
        <v>1.4121046843659653</v>
      </c>
      <c r="W23" s="8">
        <f t="shared" si="12"/>
        <v>364.44993983421051</v>
      </c>
      <c r="X23" s="8">
        <f t="shared" si="3"/>
        <v>18.053222353349579</v>
      </c>
    </row>
    <row r="24" spans="1:24" x14ac:dyDescent="0.3">
      <c r="A24" s="4">
        <f t="shared" si="13"/>
        <v>13</v>
      </c>
      <c r="B24" s="4" t="s">
        <v>12</v>
      </c>
      <c r="C24" s="4">
        <v>6.6</v>
      </c>
      <c r="D24" s="4">
        <v>4</v>
      </c>
      <c r="E24" s="4">
        <v>11</v>
      </c>
      <c r="F24" s="17">
        <f t="shared" si="4"/>
        <v>2.0307692307692307</v>
      </c>
      <c r="G24" s="17">
        <f t="shared" si="5"/>
        <v>1.2307692307692308</v>
      </c>
      <c r="H24" s="17">
        <f t="shared" si="6"/>
        <v>3.3846153846153846</v>
      </c>
      <c r="I24" s="17">
        <f t="shared" si="7"/>
        <v>8.4595357305416474</v>
      </c>
      <c r="J24" s="17">
        <f>F24*G24</f>
        <v>2.4994082840236684</v>
      </c>
      <c r="K24" s="5">
        <v>3</v>
      </c>
      <c r="L24" s="17">
        <f t="shared" si="17"/>
        <v>15</v>
      </c>
      <c r="M24" s="17">
        <f>L24/I24</f>
        <v>1.7731469524793388</v>
      </c>
      <c r="N24" s="4">
        <f t="shared" si="10"/>
        <v>1.5891614948288686E-2</v>
      </c>
      <c r="S24" s="8">
        <f t="shared" si="1"/>
        <v>60</v>
      </c>
      <c r="T24" s="8">
        <f t="shared" si="2"/>
        <v>1.7495857988165677</v>
      </c>
      <c r="U24" s="8">
        <f t="shared" si="11"/>
        <v>61.749585798816568</v>
      </c>
      <c r="V24" s="8">
        <f>112/(5.98-LN($B$6))^4</f>
        <v>1.4121046843659653</v>
      </c>
      <c r="W24" s="8">
        <f t="shared" si="12"/>
        <v>509.44102927146838</v>
      </c>
      <c r="X24" s="8">
        <f t="shared" si="3"/>
        <v>60.220920568042793</v>
      </c>
    </row>
    <row r="25" spans="1:24" x14ac:dyDescent="0.3">
      <c r="A25" s="4">
        <f t="shared" si="13"/>
        <v>14</v>
      </c>
      <c r="B25" s="4" t="s">
        <v>13</v>
      </c>
      <c r="C25" s="4">
        <v>9</v>
      </c>
      <c r="D25" s="4">
        <v>13.8</v>
      </c>
      <c r="E25" s="4">
        <v>11</v>
      </c>
      <c r="F25" s="17">
        <f t="shared" si="4"/>
        <v>2.7692307692307692</v>
      </c>
      <c r="G25" s="17">
        <f t="shared" si="5"/>
        <v>4.2461538461538471</v>
      </c>
      <c r="H25" s="17">
        <f t="shared" si="6"/>
        <v>3.3846153846153846</v>
      </c>
      <c r="I25" s="17">
        <f t="shared" si="7"/>
        <v>39.798270368684577</v>
      </c>
      <c r="J25" s="17">
        <f t="shared" ref="J25:J27" si="18">F25*G25</f>
        <v>11.758579881656807</v>
      </c>
      <c r="K25" s="5">
        <v>2</v>
      </c>
      <c r="L25" s="17">
        <f t="shared" si="17"/>
        <v>10</v>
      </c>
      <c r="M25" s="17">
        <f t="shared" si="0"/>
        <v>0.25126720099546185</v>
      </c>
      <c r="N25" s="4">
        <f t="shared" si="10"/>
        <v>1.059440996552579E-2</v>
      </c>
      <c r="S25" s="8">
        <f t="shared" si="1"/>
        <v>40</v>
      </c>
      <c r="T25" s="8">
        <f t="shared" si="2"/>
        <v>8.2310059171597647</v>
      </c>
      <c r="U25" s="8">
        <f t="shared" si="11"/>
        <v>48.231005917159763</v>
      </c>
      <c r="V25" s="8">
        <f t="shared" si="14"/>
        <v>0.30695085406851119</v>
      </c>
      <c r="W25" s="8">
        <f t="shared" si="12"/>
        <v>4509.6419600598674</v>
      </c>
      <c r="X25" s="8">
        <f t="shared" si="3"/>
        <v>113.31251127959311</v>
      </c>
    </row>
    <row r="26" spans="1:24" x14ac:dyDescent="0.3">
      <c r="A26" s="4">
        <f t="shared" si="13"/>
        <v>15</v>
      </c>
      <c r="B26" s="4" t="s">
        <v>14</v>
      </c>
      <c r="C26" s="4">
        <v>12</v>
      </c>
      <c r="D26" s="4">
        <v>18.399999999999999</v>
      </c>
      <c r="E26" s="4">
        <v>0</v>
      </c>
      <c r="F26" s="17">
        <f t="shared" si="4"/>
        <v>3.6923076923076925</v>
      </c>
      <c r="G26" s="17">
        <f t="shared" si="5"/>
        <v>5.661538461538461</v>
      </c>
      <c r="H26" s="17">
        <f t="shared" si="6"/>
        <v>0</v>
      </c>
      <c r="I26" s="17">
        <f t="shared" si="7"/>
        <v>0</v>
      </c>
      <c r="J26" s="17">
        <f t="shared" si="18"/>
        <v>20.904142011834317</v>
      </c>
      <c r="K26" s="5">
        <v>0</v>
      </c>
      <c r="L26" s="17">
        <f>J26*C9</f>
        <v>62.712426035502951</v>
      </c>
      <c r="M26" s="17"/>
      <c r="N26" s="4"/>
      <c r="S26" s="8">
        <f t="shared" si="1"/>
        <v>0</v>
      </c>
      <c r="T26" s="8">
        <f t="shared" si="2"/>
        <v>14.63289940828402</v>
      </c>
      <c r="U26" s="8">
        <f t="shared" si="11"/>
        <v>14.63289940828402</v>
      </c>
      <c r="V26" s="8">
        <f>112/(5.98-LN($B$6))^4</f>
        <v>1.4121046843659653</v>
      </c>
      <c r="W26" s="8">
        <f t="shared" si="12"/>
        <v>120.72306622540843</v>
      </c>
      <c r="X26" s="8"/>
    </row>
    <row r="27" spans="1:24" x14ac:dyDescent="0.3">
      <c r="A27" s="4">
        <f t="shared" si="13"/>
        <v>16</v>
      </c>
      <c r="B27" s="4" t="s">
        <v>15</v>
      </c>
      <c r="C27" s="4">
        <v>11.6</v>
      </c>
      <c r="D27" s="4">
        <v>18.11</v>
      </c>
      <c r="E27" s="4">
        <v>0</v>
      </c>
      <c r="F27" s="17">
        <f t="shared" si="4"/>
        <v>3.569230769230769</v>
      </c>
      <c r="G27" s="17">
        <f t="shared" si="5"/>
        <v>5.5723076923076924</v>
      </c>
      <c r="H27" s="17">
        <f t="shared" si="6"/>
        <v>0</v>
      </c>
      <c r="I27" s="17">
        <f t="shared" si="7"/>
        <v>0</v>
      </c>
      <c r="J27" s="17">
        <f t="shared" si="18"/>
        <v>19.888852071005918</v>
      </c>
      <c r="K27" s="5">
        <v>0</v>
      </c>
      <c r="L27" s="17">
        <f>C9*J27</f>
        <v>59.666556213017756</v>
      </c>
      <c r="M27" s="17"/>
      <c r="N27" s="4"/>
      <c r="S27" s="8">
        <f t="shared" si="1"/>
        <v>0</v>
      </c>
      <c r="T27" s="8">
        <f t="shared" si="2"/>
        <v>13.922196449704142</v>
      </c>
      <c r="U27" s="8">
        <f t="shared" si="11"/>
        <v>13.922196449704142</v>
      </c>
      <c r="V27" s="8">
        <f>112/(5.98-LN($B$6))^4</f>
        <v>1.4121046843659653</v>
      </c>
      <c r="W27" s="8">
        <f t="shared" si="12"/>
        <v>114.85968686761281</v>
      </c>
      <c r="X27" s="8"/>
    </row>
    <row r="29" spans="1:24" x14ac:dyDescent="0.3">
      <c r="I29" s="25"/>
    </row>
    <row r="30" spans="1:24" x14ac:dyDescent="0.3">
      <c r="B30" t="s">
        <v>105</v>
      </c>
    </row>
    <row r="31" spans="1:24" x14ac:dyDescent="0.3">
      <c r="A31" t="s">
        <v>104</v>
      </c>
      <c r="B31">
        <v>2000</v>
      </c>
    </row>
    <row r="32" spans="1:24" x14ac:dyDescent="0.3">
      <c r="A32" t="s">
        <v>106</v>
      </c>
      <c r="B32">
        <v>7000</v>
      </c>
    </row>
    <row r="33" spans="1:2" x14ac:dyDescent="0.3">
      <c r="A33" t="s">
        <v>107</v>
      </c>
      <c r="B33">
        <v>8000</v>
      </c>
    </row>
    <row r="34" spans="1:2" x14ac:dyDescent="0.3">
      <c r="A34" t="s">
        <v>107</v>
      </c>
      <c r="B34">
        <v>6000</v>
      </c>
    </row>
    <row r="35" spans="1:2" x14ac:dyDescent="0.3">
      <c r="A35" t="s">
        <v>108</v>
      </c>
    </row>
    <row r="37" spans="1:2" x14ac:dyDescent="0.3">
      <c r="A37" t="s">
        <v>109</v>
      </c>
      <c r="B37">
        <v>0.47194700000000001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33"/>
  <sheetViews>
    <sheetView topLeftCell="F12" workbookViewId="0">
      <selection activeCell="T31" sqref="T31"/>
    </sheetView>
  </sheetViews>
  <sheetFormatPr defaultRowHeight="14.4" x14ac:dyDescent="0.3"/>
  <cols>
    <col min="2" max="2" width="15.6640625" bestFit="1" customWidth="1"/>
    <col min="8" max="8" width="12.33203125" customWidth="1"/>
    <col min="9" max="9" width="11.44140625" customWidth="1"/>
    <col min="11" max="11" width="12.6640625" customWidth="1"/>
    <col min="12" max="12" width="13" customWidth="1"/>
    <col min="13" max="13" width="11.33203125" bestFit="1" customWidth="1"/>
    <col min="18" max="18" width="12" bestFit="1" customWidth="1"/>
    <col min="19" max="19" width="12" customWidth="1"/>
    <col min="20" max="20" width="12" bestFit="1" customWidth="1"/>
  </cols>
  <sheetData>
    <row r="3" spans="1:25" x14ac:dyDescent="0.3">
      <c r="A3" s="28" t="s">
        <v>72</v>
      </c>
      <c r="B3" s="28"/>
      <c r="C3">
        <v>120</v>
      </c>
    </row>
    <row r="4" spans="1:25" x14ac:dyDescent="0.3">
      <c r="A4" t="s">
        <v>73</v>
      </c>
      <c r="C4">
        <v>0.3</v>
      </c>
      <c r="D4" s="10">
        <v>0.3</v>
      </c>
    </row>
    <row r="5" spans="1:25" x14ac:dyDescent="0.3">
      <c r="A5" t="s">
        <v>74</v>
      </c>
      <c r="C5">
        <v>25</v>
      </c>
      <c r="D5" t="s">
        <v>76</v>
      </c>
    </row>
    <row r="6" spans="1:25" x14ac:dyDescent="0.3">
      <c r="A6" t="s">
        <v>75</v>
      </c>
      <c r="C6">
        <v>35</v>
      </c>
      <c r="D6" t="s">
        <v>76</v>
      </c>
    </row>
    <row r="7" spans="1:25" x14ac:dyDescent="0.3">
      <c r="A7" t="s">
        <v>77</v>
      </c>
      <c r="C7">
        <v>1.2999999999999999E-2</v>
      </c>
    </row>
    <row r="8" spans="1:25" x14ac:dyDescent="0.3">
      <c r="A8" t="s">
        <v>78</v>
      </c>
      <c r="C8">
        <v>7.4999999999999997E-3</v>
      </c>
    </row>
    <row r="11" spans="1:25" ht="57.6" x14ac:dyDescent="0.3">
      <c r="A11" s="2" t="s">
        <v>0</v>
      </c>
      <c r="B11" s="2" t="s">
        <v>1</v>
      </c>
      <c r="C11" s="2" t="s">
        <v>2</v>
      </c>
      <c r="D11" s="2" t="s">
        <v>33</v>
      </c>
      <c r="E11" s="2" t="s">
        <v>32</v>
      </c>
      <c r="F11" s="2" t="s">
        <v>44</v>
      </c>
      <c r="G11" s="2" t="s">
        <v>45</v>
      </c>
      <c r="H11" s="2" t="s">
        <v>46</v>
      </c>
      <c r="I11" s="2" t="s">
        <v>47</v>
      </c>
      <c r="J11" s="2" t="s">
        <v>48</v>
      </c>
      <c r="K11" s="3" t="s">
        <v>43</v>
      </c>
      <c r="L11" s="3" t="s">
        <v>67</v>
      </c>
      <c r="M11" s="3" t="s">
        <v>80</v>
      </c>
      <c r="N11" s="11" t="s">
        <v>70</v>
      </c>
      <c r="O11" s="11" t="s">
        <v>37</v>
      </c>
      <c r="P11" s="11" t="s">
        <v>71</v>
      </c>
      <c r="Q11" s="11" t="s">
        <v>81</v>
      </c>
      <c r="R11" s="11" t="s">
        <v>79</v>
      </c>
      <c r="S11" s="11" t="s">
        <v>82</v>
      </c>
      <c r="T11" s="11" t="s">
        <v>83</v>
      </c>
      <c r="V11" s="12"/>
      <c r="W11" s="12"/>
      <c r="X11" s="12"/>
      <c r="Y11" s="12"/>
    </row>
    <row r="12" spans="1:25" x14ac:dyDescent="0.3">
      <c r="A12" s="4">
        <v>1</v>
      </c>
      <c r="B12" s="4" t="s">
        <v>3</v>
      </c>
      <c r="C12" s="4">
        <v>10</v>
      </c>
      <c r="D12" s="4">
        <v>10</v>
      </c>
      <c r="E12" s="4">
        <v>10</v>
      </c>
      <c r="F12" s="17">
        <f>C12*12/39</f>
        <v>3.0769230769230771</v>
      </c>
      <c r="G12" s="17">
        <f>D12*12/39</f>
        <v>3.0769230769230771</v>
      </c>
      <c r="H12" s="17">
        <f>E12*12/39</f>
        <v>3.0769230769230771</v>
      </c>
      <c r="I12" s="17">
        <f>F12*G12*H12</f>
        <v>29.130632680928542</v>
      </c>
      <c r="J12" s="17">
        <f>F12*G12</f>
        <v>9.4674556213017755</v>
      </c>
      <c r="K12" s="5">
        <v>12</v>
      </c>
      <c r="L12" s="16">
        <v>60</v>
      </c>
      <c r="M12" s="4">
        <f>K12*$C$3</f>
        <v>1440</v>
      </c>
      <c r="N12" s="9">
        <v>2</v>
      </c>
      <c r="O12" s="4" t="s">
        <v>38</v>
      </c>
      <c r="P12" s="4">
        <v>250</v>
      </c>
      <c r="Q12" s="9">
        <f>P12*N12</f>
        <v>500</v>
      </c>
      <c r="R12" s="9">
        <f>L12*$C$4*1.226*1058*($C$6-$C$5)/1000</f>
        <v>233.47944000000001</v>
      </c>
      <c r="S12" s="9">
        <f>($C$4*L12*1.226*2257*($C$7-$C$8))*1000/1000</f>
        <v>273.94111799999996</v>
      </c>
      <c r="T12" s="9">
        <f>(M12)+(Q12)+(R12)+S12</f>
        <v>2447.4205579999998</v>
      </c>
      <c r="V12" s="13"/>
      <c r="W12" s="13"/>
      <c r="X12" s="13"/>
    </row>
    <row r="13" spans="1:25" x14ac:dyDescent="0.3">
      <c r="A13" s="4">
        <f>1+A12</f>
        <v>2</v>
      </c>
      <c r="B13" s="4" t="s">
        <v>4</v>
      </c>
      <c r="C13" s="4">
        <v>28.6</v>
      </c>
      <c r="D13" s="4">
        <v>21.1</v>
      </c>
      <c r="E13" s="4">
        <v>11</v>
      </c>
      <c r="F13" s="17">
        <f t="shared" ref="F13:F27" si="0">C13*12/39</f>
        <v>8.8000000000000007</v>
      </c>
      <c r="G13" s="17">
        <f t="shared" ref="G13:H27" si="1">D13*12/39</f>
        <v>6.4923076923076923</v>
      </c>
      <c r="H13" s="17">
        <f t="shared" si="1"/>
        <v>3.3846153846153846</v>
      </c>
      <c r="I13" s="17">
        <f t="shared" ref="I13:I27" si="2">F13*G13*H13</f>
        <v>193.37088757396452</v>
      </c>
      <c r="J13" s="17">
        <f t="shared" ref="J13:J21" si="3">F13*G13</f>
        <v>57.132307692307698</v>
      </c>
      <c r="K13" s="5">
        <v>6</v>
      </c>
      <c r="L13" s="16">
        <v>30</v>
      </c>
      <c r="M13" s="4">
        <f t="shared" ref="M13:M27" si="4">K13*$C$3</f>
        <v>720</v>
      </c>
      <c r="N13" s="9">
        <v>1.0593298603311119</v>
      </c>
      <c r="O13" s="4" t="s">
        <v>38</v>
      </c>
      <c r="P13" s="4">
        <v>250</v>
      </c>
      <c r="Q13" s="9">
        <f t="shared" ref="Q13:Q27" si="5">P13*N13</f>
        <v>264.83246508277796</v>
      </c>
      <c r="R13" s="9">
        <f t="shared" ref="R13:R27" si="6">L13*$C$4*1.226*1058*($C$6-$C$5)/1000</f>
        <v>116.73972000000001</v>
      </c>
      <c r="S13" s="9">
        <f t="shared" ref="S13:S27" si="7">$C$4*L13*1.226*2257*($C$7-$C$8)</f>
        <v>136.97055899999998</v>
      </c>
      <c r="T13" s="9">
        <f t="shared" ref="T13:T26" si="8">(M13)+(Q13)+(R13)+S13</f>
        <v>1238.542744082778</v>
      </c>
      <c r="V13" s="13"/>
      <c r="W13" s="13"/>
      <c r="X13" s="13"/>
    </row>
    <row r="14" spans="1:25" x14ac:dyDescent="0.3">
      <c r="A14" s="4">
        <f t="shared" ref="A14:A27" si="9">1+A13</f>
        <v>3</v>
      </c>
      <c r="B14" s="4" t="s">
        <v>5</v>
      </c>
      <c r="C14" s="4">
        <v>7.8</v>
      </c>
      <c r="D14" s="4">
        <v>8.6</v>
      </c>
      <c r="E14" s="4">
        <v>11</v>
      </c>
      <c r="F14" s="17">
        <f t="shared" si="0"/>
        <v>2.4</v>
      </c>
      <c r="G14" s="17">
        <f t="shared" si="1"/>
        <v>2.6461538461538461</v>
      </c>
      <c r="H14" s="17">
        <f t="shared" si="1"/>
        <v>3.3846153846153846</v>
      </c>
      <c r="I14" s="17">
        <f t="shared" si="2"/>
        <v>21.494911242603546</v>
      </c>
      <c r="J14" s="17">
        <f t="shared" si="3"/>
        <v>6.3507692307692301</v>
      </c>
      <c r="K14" s="5">
        <v>2</v>
      </c>
      <c r="L14" s="16">
        <v>16</v>
      </c>
      <c r="M14" s="4">
        <f t="shared" si="4"/>
        <v>240</v>
      </c>
      <c r="N14" s="9">
        <v>6.6153846153846141</v>
      </c>
      <c r="O14" s="4" t="s">
        <v>39</v>
      </c>
      <c r="P14" s="4">
        <v>15</v>
      </c>
      <c r="Q14" s="9">
        <f t="shared" si="5"/>
        <v>99.230769230769212</v>
      </c>
      <c r="R14" s="9">
        <f t="shared" si="6"/>
        <v>62.261183999999993</v>
      </c>
      <c r="S14" s="9">
        <f t="shared" si="7"/>
        <v>73.050964799999988</v>
      </c>
      <c r="T14" s="9">
        <f t="shared" si="8"/>
        <v>474.54291803076921</v>
      </c>
      <c r="V14" s="13"/>
      <c r="W14" s="13"/>
      <c r="X14" s="13"/>
    </row>
    <row r="15" spans="1:25" x14ac:dyDescent="0.3">
      <c r="A15" s="4">
        <f t="shared" si="9"/>
        <v>4</v>
      </c>
      <c r="B15" s="4" t="s">
        <v>6</v>
      </c>
      <c r="C15" s="4">
        <v>6.6</v>
      </c>
      <c r="D15" s="4">
        <v>9</v>
      </c>
      <c r="E15" s="4">
        <v>11</v>
      </c>
      <c r="F15" s="17">
        <f t="shared" si="0"/>
        <v>2.0307692307692307</v>
      </c>
      <c r="G15" s="17">
        <f t="shared" si="1"/>
        <v>2.7692307692307692</v>
      </c>
      <c r="H15" s="17">
        <f t="shared" si="1"/>
        <v>3.3846153846153846</v>
      </c>
      <c r="I15" s="17">
        <f t="shared" si="2"/>
        <v>19.033955393718706</v>
      </c>
      <c r="J15" s="17">
        <f t="shared" si="3"/>
        <v>5.6236686390532542</v>
      </c>
      <c r="K15" s="5">
        <v>10</v>
      </c>
      <c r="L15" s="16">
        <v>80</v>
      </c>
      <c r="M15" s="4">
        <f t="shared" si="4"/>
        <v>1200</v>
      </c>
      <c r="N15" s="9">
        <v>4.2603550295857984</v>
      </c>
      <c r="O15" s="4" t="s">
        <v>39</v>
      </c>
      <c r="P15" s="4">
        <v>15</v>
      </c>
      <c r="Q15" s="9">
        <f t="shared" si="5"/>
        <v>63.905325443786978</v>
      </c>
      <c r="R15" s="9">
        <f t="shared" si="6"/>
        <v>311.30591999999996</v>
      </c>
      <c r="S15" s="9">
        <f t="shared" si="7"/>
        <v>365.25482399999993</v>
      </c>
      <c r="T15" s="9">
        <f t="shared" si="8"/>
        <v>1940.4660694437869</v>
      </c>
      <c r="V15" s="13"/>
      <c r="W15" s="13"/>
      <c r="X15" s="13"/>
    </row>
    <row r="16" spans="1:25" x14ac:dyDescent="0.3">
      <c r="A16" s="4">
        <f t="shared" si="9"/>
        <v>5</v>
      </c>
      <c r="B16" s="4" t="s">
        <v>7</v>
      </c>
      <c r="C16" s="4">
        <v>10</v>
      </c>
      <c r="D16" s="4">
        <v>12.4</v>
      </c>
      <c r="E16" s="4">
        <v>11</v>
      </c>
      <c r="F16" s="17">
        <f t="shared" si="0"/>
        <v>3.0769230769230771</v>
      </c>
      <c r="G16" s="17">
        <f t="shared" si="1"/>
        <v>3.8153846153846156</v>
      </c>
      <c r="H16" s="17">
        <f t="shared" si="1"/>
        <v>3.3846153846153846</v>
      </c>
      <c r="I16" s="17">
        <f t="shared" si="2"/>
        <v>39.734182976786528</v>
      </c>
      <c r="J16" s="17">
        <f t="shared" si="3"/>
        <v>11.739644970414203</v>
      </c>
      <c r="K16" s="5">
        <v>2</v>
      </c>
      <c r="L16" s="16">
        <v>10</v>
      </c>
      <c r="M16" s="4">
        <f t="shared" si="4"/>
        <v>240</v>
      </c>
      <c r="N16" s="9">
        <v>0.21767292394037366</v>
      </c>
      <c r="O16" s="4" t="s">
        <v>38</v>
      </c>
      <c r="P16" s="4">
        <v>250</v>
      </c>
      <c r="Q16" s="9">
        <f t="shared" si="5"/>
        <v>54.418230985093416</v>
      </c>
      <c r="R16" s="9">
        <f t="shared" si="6"/>
        <v>38.913239999999995</v>
      </c>
      <c r="S16" s="9">
        <f t="shared" si="7"/>
        <v>45.656852999999991</v>
      </c>
      <c r="T16" s="9">
        <f t="shared" si="8"/>
        <v>378.98832398509342</v>
      </c>
      <c r="V16" s="13"/>
      <c r="W16" s="13"/>
      <c r="X16" s="13"/>
    </row>
    <row r="17" spans="1:24" x14ac:dyDescent="0.3">
      <c r="A17" s="4">
        <f t="shared" si="9"/>
        <v>6</v>
      </c>
      <c r="B17" s="4" t="s">
        <v>8</v>
      </c>
      <c r="C17" s="4">
        <v>14</v>
      </c>
      <c r="D17" s="4">
        <v>10</v>
      </c>
      <c r="E17" s="4">
        <v>11</v>
      </c>
      <c r="F17" s="17">
        <f t="shared" si="0"/>
        <v>4.3076923076923075</v>
      </c>
      <c r="G17" s="17">
        <f t="shared" si="1"/>
        <v>3.0769230769230771</v>
      </c>
      <c r="H17" s="17">
        <f t="shared" si="1"/>
        <v>3.3846153846153846</v>
      </c>
      <c r="I17" s="17">
        <f t="shared" si="2"/>
        <v>44.86117432862995</v>
      </c>
      <c r="J17" s="17">
        <f t="shared" si="3"/>
        <v>13.254437869822485</v>
      </c>
      <c r="K17" s="5">
        <v>0</v>
      </c>
      <c r="L17" s="16">
        <v>39.76331360946746</v>
      </c>
      <c r="M17" s="4">
        <f t="shared" si="4"/>
        <v>0</v>
      </c>
      <c r="N17" s="9">
        <v>6.3003863908841273</v>
      </c>
      <c r="O17" s="4" t="s">
        <v>39</v>
      </c>
      <c r="P17" s="4">
        <v>15</v>
      </c>
      <c r="Q17" s="9">
        <f t="shared" si="5"/>
        <v>94.505795863261909</v>
      </c>
      <c r="R17" s="9">
        <f t="shared" si="6"/>
        <v>154.73193656804736</v>
      </c>
      <c r="S17" s="9">
        <f t="shared" si="7"/>
        <v>181.54677642603548</v>
      </c>
      <c r="T17" s="9">
        <f t="shared" si="8"/>
        <v>430.78450885734475</v>
      </c>
      <c r="V17" s="13"/>
      <c r="W17" s="13"/>
      <c r="X17" s="13"/>
    </row>
    <row r="18" spans="1:24" x14ac:dyDescent="0.3">
      <c r="A18" s="4">
        <f t="shared" si="9"/>
        <v>7</v>
      </c>
      <c r="B18" s="4" t="s">
        <v>5</v>
      </c>
      <c r="C18" s="4">
        <v>7.9</v>
      </c>
      <c r="D18" s="4">
        <v>8</v>
      </c>
      <c r="E18" s="4">
        <v>11</v>
      </c>
      <c r="F18" s="17">
        <f t="shared" si="0"/>
        <v>2.430769230769231</v>
      </c>
      <c r="G18" s="17">
        <f t="shared" si="1"/>
        <v>2.4615384615384617</v>
      </c>
      <c r="H18" s="17">
        <f t="shared" si="1"/>
        <v>3.3846153846153846</v>
      </c>
      <c r="I18" s="17">
        <f t="shared" si="2"/>
        <v>20.251615839781522</v>
      </c>
      <c r="J18" s="17">
        <f t="shared" si="3"/>
        <v>5.9834319526627224</v>
      </c>
      <c r="K18" s="5">
        <v>4</v>
      </c>
      <c r="L18" s="16">
        <v>20</v>
      </c>
      <c r="M18" s="4">
        <f t="shared" si="4"/>
        <v>480</v>
      </c>
      <c r="N18" s="9">
        <v>4.5329029944414563</v>
      </c>
      <c r="O18" s="4" t="s">
        <v>39</v>
      </c>
      <c r="P18" s="4">
        <v>15</v>
      </c>
      <c r="Q18" s="9">
        <f t="shared" si="5"/>
        <v>67.993544916621843</v>
      </c>
      <c r="R18" s="9">
        <f t="shared" si="6"/>
        <v>77.826479999999989</v>
      </c>
      <c r="S18" s="9">
        <f t="shared" si="7"/>
        <v>91.313705999999982</v>
      </c>
      <c r="T18" s="9">
        <f t="shared" si="8"/>
        <v>717.13373091662186</v>
      </c>
      <c r="V18" s="13"/>
      <c r="W18" s="13"/>
      <c r="X18" s="13"/>
    </row>
    <row r="19" spans="1:24" x14ac:dyDescent="0.3">
      <c r="A19" s="4">
        <f t="shared" si="9"/>
        <v>8</v>
      </c>
      <c r="B19" s="4" t="s">
        <v>9</v>
      </c>
      <c r="C19" s="4">
        <v>27.6</v>
      </c>
      <c r="D19" s="4">
        <v>12.5</v>
      </c>
      <c r="E19" s="4">
        <v>11</v>
      </c>
      <c r="F19" s="17">
        <f t="shared" si="0"/>
        <v>8.4923076923076941</v>
      </c>
      <c r="G19" s="17">
        <f t="shared" si="1"/>
        <v>3.8461538461538463</v>
      </c>
      <c r="H19" s="17">
        <f t="shared" si="1"/>
        <v>3.3846153846153846</v>
      </c>
      <c r="I19" s="17">
        <f t="shared" si="2"/>
        <v>110.55075102412383</v>
      </c>
      <c r="J19" s="17">
        <f t="shared" si="3"/>
        <v>32.662721893491131</v>
      </c>
      <c r="K19" s="5">
        <v>2</v>
      </c>
      <c r="L19" s="16">
        <v>10</v>
      </c>
      <c r="M19" s="4">
        <f t="shared" si="4"/>
        <v>240</v>
      </c>
      <c r="N19" s="9">
        <v>0.60562224805991061</v>
      </c>
      <c r="O19" s="4" t="s">
        <v>38</v>
      </c>
      <c r="P19" s="4">
        <v>250</v>
      </c>
      <c r="Q19" s="9">
        <f t="shared" si="5"/>
        <v>151.40556201497765</v>
      </c>
      <c r="R19" s="9">
        <f t="shared" si="6"/>
        <v>38.913239999999995</v>
      </c>
      <c r="S19" s="9">
        <f t="shared" si="7"/>
        <v>45.656852999999991</v>
      </c>
      <c r="T19" s="9">
        <f t="shared" si="8"/>
        <v>475.97565501497763</v>
      </c>
      <c r="V19" s="13"/>
      <c r="W19" s="13"/>
      <c r="X19" s="13"/>
    </row>
    <row r="20" spans="1:24" x14ac:dyDescent="0.3">
      <c r="A20" s="4">
        <f t="shared" si="9"/>
        <v>9</v>
      </c>
      <c r="B20" s="4" t="s">
        <v>11</v>
      </c>
      <c r="C20" s="4">
        <v>8</v>
      </c>
      <c r="D20" s="4">
        <v>15.1</v>
      </c>
      <c r="E20" s="4">
        <v>11</v>
      </c>
      <c r="F20" s="17">
        <f t="shared" si="0"/>
        <v>2.4615384615384617</v>
      </c>
      <c r="G20" s="17">
        <f t="shared" si="1"/>
        <v>4.6461538461538456</v>
      </c>
      <c r="H20" s="17">
        <f t="shared" si="1"/>
        <v>3.3846153846153846</v>
      </c>
      <c r="I20" s="17">
        <f t="shared" si="2"/>
        <v>38.708784706417838</v>
      </c>
      <c r="J20" s="17">
        <f t="shared" si="3"/>
        <v>11.436686390532543</v>
      </c>
      <c r="K20" s="5">
        <v>2</v>
      </c>
      <c r="L20" s="16">
        <v>10</v>
      </c>
      <c r="M20" s="4">
        <f t="shared" si="4"/>
        <v>240</v>
      </c>
      <c r="N20" s="9">
        <v>0.21205555816126717</v>
      </c>
      <c r="O20" s="4" t="s">
        <v>38</v>
      </c>
      <c r="P20" s="4">
        <v>250</v>
      </c>
      <c r="Q20" s="9">
        <f t="shared" si="5"/>
        <v>53.013889540316789</v>
      </c>
      <c r="R20" s="9">
        <f t="shared" si="6"/>
        <v>38.913239999999995</v>
      </c>
      <c r="S20" s="9">
        <f t="shared" si="7"/>
        <v>45.656852999999991</v>
      </c>
      <c r="T20" s="9">
        <f t="shared" si="8"/>
        <v>377.58398254031675</v>
      </c>
      <c r="V20" s="13"/>
      <c r="W20" s="13"/>
      <c r="X20" s="13"/>
    </row>
    <row r="21" spans="1:24" x14ac:dyDescent="0.3">
      <c r="A21" s="4">
        <f t="shared" si="9"/>
        <v>10</v>
      </c>
      <c r="B21" s="4" t="s">
        <v>10</v>
      </c>
      <c r="C21" s="4">
        <v>9.9</v>
      </c>
      <c r="D21" s="4">
        <v>17</v>
      </c>
      <c r="E21" s="4">
        <v>11</v>
      </c>
      <c r="F21" s="17">
        <f t="shared" si="0"/>
        <v>3.0461538461538464</v>
      </c>
      <c r="G21" s="17">
        <f t="shared" si="1"/>
        <v>5.2307692307692308</v>
      </c>
      <c r="H21" s="17">
        <f t="shared" si="1"/>
        <v>3.3846153846153846</v>
      </c>
      <c r="I21" s="17">
        <f t="shared" si="2"/>
        <v>53.929540282203014</v>
      </c>
      <c r="J21" s="17">
        <f t="shared" si="3"/>
        <v>15.93372781065089</v>
      </c>
      <c r="K21" s="5">
        <v>2</v>
      </c>
      <c r="L21" s="16">
        <v>10</v>
      </c>
      <c r="M21" s="4">
        <f t="shared" si="4"/>
        <v>240</v>
      </c>
      <c r="N21" s="9">
        <v>0.29543833144487813</v>
      </c>
      <c r="O21" s="4" t="s">
        <v>38</v>
      </c>
      <c r="P21" s="4">
        <v>250</v>
      </c>
      <c r="Q21" s="9">
        <f t="shared" si="5"/>
        <v>73.859582861219536</v>
      </c>
      <c r="R21" s="9">
        <f t="shared" si="6"/>
        <v>38.913239999999995</v>
      </c>
      <c r="S21" s="9">
        <f t="shared" si="7"/>
        <v>45.656852999999991</v>
      </c>
      <c r="T21" s="9">
        <f t="shared" si="8"/>
        <v>398.42967586121955</v>
      </c>
      <c r="V21" s="13"/>
      <c r="W21" s="13"/>
      <c r="X21" s="13"/>
    </row>
    <row r="22" spans="1:24" x14ac:dyDescent="0.3">
      <c r="A22" s="4">
        <f t="shared" si="9"/>
        <v>11</v>
      </c>
      <c r="B22" s="4" t="s">
        <v>8</v>
      </c>
      <c r="C22" s="4">
        <v>10</v>
      </c>
      <c r="D22" s="4">
        <v>14.6</v>
      </c>
      <c r="E22" s="4">
        <v>11</v>
      </c>
      <c r="F22" s="17">
        <f t="shared" si="0"/>
        <v>3.0769230769230771</v>
      </c>
      <c r="G22" s="17">
        <f t="shared" si="1"/>
        <v>4.4923076923076923</v>
      </c>
      <c r="H22" s="17">
        <f t="shared" si="1"/>
        <v>3.3846153846153846</v>
      </c>
      <c r="I22" s="17">
        <f t="shared" si="2"/>
        <v>46.78379608557124</v>
      </c>
      <c r="J22" s="17">
        <f>F22*G22</f>
        <v>13.822485207100593</v>
      </c>
      <c r="K22" s="5">
        <v>0</v>
      </c>
      <c r="L22" s="16">
        <v>41.467455621301781</v>
      </c>
      <c r="M22" s="4">
        <f t="shared" si="4"/>
        <v>0</v>
      </c>
      <c r="N22" s="9">
        <v>6.570402950493448</v>
      </c>
      <c r="O22" s="4" t="s">
        <v>39</v>
      </c>
      <c r="P22" s="4">
        <v>15</v>
      </c>
      <c r="Q22" s="9">
        <f t="shared" si="5"/>
        <v>98.556044257401723</v>
      </c>
      <c r="R22" s="9">
        <f t="shared" si="6"/>
        <v>161.36330527810654</v>
      </c>
      <c r="S22" s="9">
        <f t="shared" si="7"/>
        <v>189.32735255857986</v>
      </c>
      <c r="T22" s="9">
        <f t="shared" si="8"/>
        <v>449.24670209408816</v>
      </c>
      <c r="V22" s="13"/>
      <c r="W22" s="13"/>
      <c r="X22" s="13"/>
    </row>
    <row r="23" spans="1:24" x14ac:dyDescent="0.3">
      <c r="A23" s="4">
        <f t="shared" si="9"/>
        <v>12</v>
      </c>
      <c r="B23" s="4" t="s">
        <v>5</v>
      </c>
      <c r="C23" s="4">
        <v>7</v>
      </c>
      <c r="D23" s="4">
        <v>9</v>
      </c>
      <c r="E23" s="4">
        <v>11</v>
      </c>
      <c r="F23" s="17">
        <f t="shared" si="0"/>
        <v>2.1538461538461537</v>
      </c>
      <c r="G23" s="17">
        <f t="shared" si="1"/>
        <v>2.7692307692307692</v>
      </c>
      <c r="H23" s="17">
        <f t="shared" si="1"/>
        <v>3.3846153846153846</v>
      </c>
      <c r="I23" s="17">
        <f t="shared" si="2"/>
        <v>20.187528447883476</v>
      </c>
      <c r="J23" s="17">
        <f t="shared" ref="J23" si="10">F23*G23</f>
        <v>5.9644970414201177</v>
      </c>
      <c r="K23" s="5">
        <v>2</v>
      </c>
      <c r="L23" s="16">
        <v>10</v>
      </c>
      <c r="M23" s="4">
        <f t="shared" si="4"/>
        <v>240</v>
      </c>
      <c r="N23" s="9">
        <v>4.5185583647122103</v>
      </c>
      <c r="O23" s="4" t="s">
        <v>39</v>
      </c>
      <c r="P23" s="4">
        <v>15</v>
      </c>
      <c r="Q23" s="9">
        <f t="shared" si="5"/>
        <v>67.778375470683159</v>
      </c>
      <c r="R23" s="9">
        <f t="shared" si="6"/>
        <v>38.913239999999995</v>
      </c>
      <c r="S23" s="9">
        <f t="shared" si="7"/>
        <v>45.656852999999991</v>
      </c>
      <c r="T23" s="9">
        <f t="shared" si="8"/>
        <v>392.34846847068314</v>
      </c>
      <c r="V23" s="13"/>
      <c r="W23" s="13"/>
      <c r="X23" s="13"/>
    </row>
    <row r="24" spans="1:24" x14ac:dyDescent="0.3">
      <c r="A24" s="4">
        <f t="shared" si="9"/>
        <v>13</v>
      </c>
      <c r="B24" s="4" t="s">
        <v>12</v>
      </c>
      <c r="C24" s="4">
        <v>6.6</v>
      </c>
      <c r="D24" s="4">
        <v>4</v>
      </c>
      <c r="E24" s="4">
        <v>11</v>
      </c>
      <c r="F24" s="17">
        <f t="shared" si="0"/>
        <v>2.0307692307692307</v>
      </c>
      <c r="G24" s="17">
        <f t="shared" si="1"/>
        <v>1.2307692307692308</v>
      </c>
      <c r="H24" s="17">
        <f t="shared" si="1"/>
        <v>3.3846153846153846</v>
      </c>
      <c r="I24" s="17">
        <f t="shared" si="2"/>
        <v>8.4595357305416474</v>
      </c>
      <c r="J24" s="17">
        <f>F24*G24</f>
        <v>2.4994082840236684</v>
      </c>
      <c r="K24" s="5">
        <v>3</v>
      </c>
      <c r="L24" s="16">
        <v>15</v>
      </c>
      <c r="M24" s="4">
        <f t="shared" si="4"/>
        <v>360</v>
      </c>
      <c r="N24" s="9">
        <v>1.3464825772518081</v>
      </c>
      <c r="O24" s="4" t="s">
        <v>39</v>
      </c>
      <c r="P24" s="4">
        <v>15</v>
      </c>
      <c r="Q24" s="9">
        <f t="shared" si="5"/>
        <v>20.19723865877712</v>
      </c>
      <c r="R24" s="9">
        <f t="shared" si="6"/>
        <v>58.369860000000003</v>
      </c>
      <c r="S24" s="9">
        <f t="shared" si="7"/>
        <v>68.48527949999999</v>
      </c>
      <c r="T24" s="9">
        <f t="shared" si="8"/>
        <v>507.05237815877712</v>
      </c>
      <c r="V24" s="13"/>
      <c r="W24" s="13"/>
      <c r="X24" s="13"/>
    </row>
    <row r="25" spans="1:24" x14ac:dyDescent="0.3">
      <c r="A25" s="4">
        <f t="shared" si="9"/>
        <v>14</v>
      </c>
      <c r="B25" s="4" t="s">
        <v>13</v>
      </c>
      <c r="C25" s="4">
        <v>9</v>
      </c>
      <c r="D25" s="4">
        <v>13.8</v>
      </c>
      <c r="E25" s="4">
        <v>11</v>
      </c>
      <c r="F25" s="17">
        <f t="shared" si="0"/>
        <v>2.7692307692307692</v>
      </c>
      <c r="G25" s="17">
        <f t="shared" si="1"/>
        <v>4.2461538461538471</v>
      </c>
      <c r="H25" s="17">
        <f t="shared" si="1"/>
        <v>3.3846153846153846</v>
      </c>
      <c r="I25" s="17">
        <f t="shared" si="2"/>
        <v>39.798270368684577</v>
      </c>
      <c r="J25" s="17">
        <f t="shared" ref="J25:J27" si="11">F25*G25</f>
        <v>11.758579881656807</v>
      </c>
      <c r="K25" s="5">
        <v>2</v>
      </c>
      <c r="L25" s="16">
        <v>10</v>
      </c>
      <c r="M25" s="4">
        <f t="shared" si="4"/>
        <v>240</v>
      </c>
      <c r="N25" s="9">
        <v>0.21802400930156782</v>
      </c>
      <c r="O25" s="4" t="s">
        <v>38</v>
      </c>
      <c r="P25" s="4">
        <v>250</v>
      </c>
      <c r="Q25" s="9">
        <f t="shared" si="5"/>
        <v>54.506002325391954</v>
      </c>
      <c r="R25" s="9">
        <f t="shared" si="6"/>
        <v>38.913239999999995</v>
      </c>
      <c r="S25" s="9">
        <f t="shared" si="7"/>
        <v>45.656852999999991</v>
      </c>
      <c r="T25" s="9">
        <f t="shared" si="8"/>
        <v>379.07609532539192</v>
      </c>
      <c r="V25" s="13"/>
      <c r="W25" s="13"/>
      <c r="X25" s="13"/>
    </row>
    <row r="26" spans="1:24" x14ac:dyDescent="0.3">
      <c r="A26" s="4">
        <f t="shared" si="9"/>
        <v>15</v>
      </c>
      <c r="B26" s="4" t="s">
        <v>14</v>
      </c>
      <c r="C26" s="4">
        <v>12</v>
      </c>
      <c r="D26" s="4">
        <v>18.399999999999999</v>
      </c>
      <c r="E26" s="4">
        <v>0</v>
      </c>
      <c r="F26" s="17">
        <f t="shared" si="0"/>
        <v>3.6923076923076925</v>
      </c>
      <c r="G26" s="17">
        <f t="shared" si="1"/>
        <v>5.661538461538461</v>
      </c>
      <c r="H26" s="17">
        <f t="shared" si="1"/>
        <v>0</v>
      </c>
      <c r="I26" s="17">
        <f t="shared" si="2"/>
        <v>0</v>
      </c>
      <c r="J26" s="17">
        <f t="shared" si="11"/>
        <v>20.904142011834317</v>
      </c>
      <c r="K26" s="5">
        <v>0</v>
      </c>
      <c r="L26" s="16">
        <v>62.712426035502951</v>
      </c>
      <c r="M26" s="4">
        <f t="shared" si="4"/>
        <v>0</v>
      </c>
      <c r="N26" s="9">
        <v>12.903791365329827</v>
      </c>
      <c r="O26" s="4" t="s">
        <v>40</v>
      </c>
      <c r="P26" s="4">
        <v>13</v>
      </c>
      <c r="Q26" s="9">
        <f t="shared" si="5"/>
        <v>167.74928774928776</v>
      </c>
      <c r="R26" s="9">
        <f t="shared" si="6"/>
        <v>244.03436853017749</v>
      </c>
      <c r="S26" s="9">
        <f t="shared" si="7"/>
        <v>286.32520167763312</v>
      </c>
      <c r="T26" s="9">
        <f t="shared" si="8"/>
        <v>698.10885795709839</v>
      </c>
      <c r="V26" s="13"/>
      <c r="W26" s="13"/>
      <c r="X26" s="13"/>
    </row>
    <row r="27" spans="1:24" x14ac:dyDescent="0.3">
      <c r="A27" s="4">
        <f t="shared" si="9"/>
        <v>16</v>
      </c>
      <c r="B27" s="4" t="s">
        <v>15</v>
      </c>
      <c r="C27" s="4">
        <v>11.6</v>
      </c>
      <c r="D27" s="4">
        <v>18.11</v>
      </c>
      <c r="E27" s="4">
        <v>0</v>
      </c>
      <c r="F27" s="17">
        <f t="shared" si="0"/>
        <v>3.569230769230769</v>
      </c>
      <c r="G27" s="17">
        <f t="shared" si="1"/>
        <v>5.5723076923076924</v>
      </c>
      <c r="H27" s="17">
        <f t="shared" si="1"/>
        <v>0</v>
      </c>
      <c r="I27" s="17">
        <f t="shared" si="2"/>
        <v>0</v>
      </c>
      <c r="J27" s="17">
        <f t="shared" si="11"/>
        <v>19.888852071005918</v>
      </c>
      <c r="K27" s="5">
        <v>0</v>
      </c>
      <c r="L27" s="16">
        <v>59.666556213017756</v>
      </c>
      <c r="M27" s="4">
        <f t="shared" si="4"/>
        <v>0</v>
      </c>
      <c r="N27" s="9">
        <v>12.277069179633283</v>
      </c>
      <c r="O27" s="4" t="s">
        <v>40</v>
      </c>
      <c r="P27" s="4">
        <v>13</v>
      </c>
      <c r="Q27" s="9">
        <f t="shared" si="5"/>
        <v>159.60189933523267</v>
      </c>
      <c r="R27" s="9">
        <f t="shared" si="6"/>
        <v>232.18190218906511</v>
      </c>
      <c r="S27" s="9">
        <f t="shared" si="7"/>
        <v>272.41871860339882</v>
      </c>
      <c r="T27" s="9">
        <f>(M27)+(Q27)+(R27)+S27</f>
        <v>664.20252012769663</v>
      </c>
      <c r="V27" s="13"/>
      <c r="W27" s="13"/>
      <c r="X27" s="13"/>
    </row>
    <row r="28" spans="1:24" x14ac:dyDescent="0.3">
      <c r="T28" s="13">
        <f>SUM(T12:T27)</f>
        <v>11969.903188866645</v>
      </c>
      <c r="U28" t="s">
        <v>84</v>
      </c>
    </row>
    <row r="29" spans="1:24" x14ac:dyDescent="0.3">
      <c r="T29" s="14">
        <f>T28/1000</f>
        <v>11.969903188866645</v>
      </c>
      <c r="U29" t="s">
        <v>85</v>
      </c>
    </row>
    <row r="30" spans="1:24" x14ac:dyDescent="0.3">
      <c r="T30" s="15">
        <f>T29/3.5</f>
        <v>3.4199723396761845</v>
      </c>
      <c r="U30" t="s">
        <v>86</v>
      </c>
    </row>
    <row r="31" spans="1:24" x14ac:dyDescent="0.3">
      <c r="A31" s="4">
        <v>1</v>
      </c>
      <c r="B31" s="4" t="s">
        <v>99</v>
      </c>
      <c r="C31" s="4">
        <v>130</v>
      </c>
      <c r="D31" s="4">
        <v>81</v>
      </c>
      <c r="E31" s="4">
        <v>25</v>
      </c>
      <c r="F31" s="17">
        <f>C31*12/39</f>
        <v>40</v>
      </c>
      <c r="G31" s="17">
        <f>D31*12/39</f>
        <v>24.923076923076923</v>
      </c>
      <c r="H31" s="17">
        <f>E31*12/39</f>
        <v>7.6923076923076925</v>
      </c>
      <c r="I31" s="17">
        <f>F31*G31*H31</f>
        <v>7668.6390532544383</v>
      </c>
      <c r="J31" s="17">
        <f>F31*G31</f>
        <v>996.92307692307691</v>
      </c>
      <c r="K31" s="5">
        <v>450</v>
      </c>
      <c r="L31" s="16">
        <f>450*7.5</f>
        <v>3375</v>
      </c>
      <c r="M31" s="4">
        <f>K31*$C$3</f>
        <v>54000</v>
      </c>
      <c r="N31" s="9">
        <v>1.9464172424603701</v>
      </c>
      <c r="O31" s="4" t="s">
        <v>38</v>
      </c>
      <c r="P31" s="4">
        <v>250</v>
      </c>
      <c r="Q31" s="9">
        <f>P31*N31</f>
        <v>486.60431061509252</v>
      </c>
      <c r="R31" s="9">
        <f>L31*$C$4*1.226*1058*($C$6-$C$5)/1000</f>
        <v>13133.218500000001</v>
      </c>
      <c r="S31" s="9">
        <f>($C$4*L31*1.226*2257*($C$7-$C$8))*1000/1000</f>
        <v>15409.187887499998</v>
      </c>
      <c r="T31" s="9">
        <f>(M31)+(Q31)+(R31)+S31</f>
        <v>83029.010698115089</v>
      </c>
      <c r="U31" t="s">
        <v>99</v>
      </c>
    </row>
    <row r="32" spans="1:24" x14ac:dyDescent="0.3">
      <c r="T32">
        <f>T31/1000</f>
        <v>83.029010698115087</v>
      </c>
      <c r="U32" t="s">
        <v>85</v>
      </c>
    </row>
    <row r="33" spans="12:21" x14ac:dyDescent="0.3">
      <c r="L33">
        <f>L31/(0.4*6000)</f>
        <v>1.40625</v>
      </c>
      <c r="T33">
        <f>T32/3.5</f>
        <v>23.722574485175738</v>
      </c>
      <c r="U33" t="s">
        <v>86</v>
      </c>
    </row>
  </sheetData>
  <mergeCells count="1">
    <mergeCell ref="A3:B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opLeftCell="B1" workbookViewId="0">
      <selection activeCell="E12" sqref="E12"/>
    </sheetView>
  </sheetViews>
  <sheetFormatPr defaultRowHeight="14.4" x14ac:dyDescent="0.3"/>
  <cols>
    <col min="2" max="2" width="17.6640625" customWidth="1"/>
    <col min="3" max="3" width="11.33203125" customWidth="1"/>
    <col min="5" max="5" width="12.109375" customWidth="1"/>
    <col min="8" max="8" width="12.88671875" customWidth="1"/>
    <col min="10" max="10" width="11.5546875" bestFit="1" customWidth="1"/>
  </cols>
  <sheetData>
    <row r="1" spans="1:20" x14ac:dyDescent="0.3">
      <c r="A1" t="s">
        <v>74</v>
      </c>
      <c r="C1">
        <v>25</v>
      </c>
      <c r="D1" t="s">
        <v>76</v>
      </c>
    </row>
    <row r="2" spans="1:20" x14ac:dyDescent="0.3">
      <c r="A2" t="s">
        <v>75</v>
      </c>
      <c r="C2">
        <v>35</v>
      </c>
      <c r="D2" t="s">
        <v>76</v>
      </c>
    </row>
    <row r="3" spans="1:20" x14ac:dyDescent="0.3">
      <c r="A3" t="s">
        <v>77</v>
      </c>
      <c r="C3">
        <v>1.2999999999999999E-2</v>
      </c>
      <c r="D3" t="s">
        <v>93</v>
      </c>
    </row>
    <row r="4" spans="1:20" x14ac:dyDescent="0.3">
      <c r="A4" t="s">
        <v>78</v>
      </c>
      <c r="C4">
        <v>7.4999999999999997E-3</v>
      </c>
      <c r="D4" t="s">
        <v>93</v>
      </c>
    </row>
    <row r="5" spans="1:20" x14ac:dyDescent="0.3">
      <c r="A5" t="s">
        <v>90</v>
      </c>
      <c r="C5">
        <v>0.7</v>
      </c>
      <c r="D5" t="s">
        <v>94</v>
      </c>
    </row>
    <row r="6" spans="1:20" x14ac:dyDescent="0.3">
      <c r="A6" t="s">
        <v>91</v>
      </c>
      <c r="C6">
        <v>5.6</v>
      </c>
      <c r="D6" t="s">
        <v>94</v>
      </c>
    </row>
    <row r="7" spans="1:20" x14ac:dyDescent="0.3">
      <c r="A7" t="s">
        <v>92</v>
      </c>
      <c r="C7">
        <v>150</v>
      </c>
      <c r="D7" t="s">
        <v>97</v>
      </c>
    </row>
    <row r="8" spans="1:20" x14ac:dyDescent="0.3">
      <c r="A8" t="s">
        <v>95</v>
      </c>
      <c r="B8">
        <v>0.51</v>
      </c>
      <c r="C8" t="s">
        <v>96</v>
      </c>
    </row>
    <row r="9" spans="1:20" x14ac:dyDescent="0.3">
      <c r="G9">
        <f>17.8*3.4</f>
        <v>60.52</v>
      </c>
    </row>
    <row r="11" spans="1:20" x14ac:dyDescent="0.3">
      <c r="A11" s="3" t="s">
        <v>0</v>
      </c>
      <c r="B11" s="3" t="s">
        <v>1</v>
      </c>
      <c r="C11" s="3" t="s">
        <v>2</v>
      </c>
      <c r="D11" s="3" t="s">
        <v>32</v>
      </c>
      <c r="E11" s="3" t="s">
        <v>44</v>
      </c>
      <c r="F11" s="3" t="s">
        <v>46</v>
      </c>
      <c r="G11" s="3" t="s">
        <v>48</v>
      </c>
      <c r="H11" s="3" t="s">
        <v>98</v>
      </c>
      <c r="I11" s="3"/>
      <c r="J11" s="26"/>
      <c r="K11" s="24"/>
      <c r="L11" s="23"/>
      <c r="M11" s="24"/>
      <c r="N11" s="24"/>
      <c r="O11" s="24"/>
      <c r="P11" s="24"/>
      <c r="Q11" s="24"/>
      <c r="R11" s="24"/>
      <c r="S11" s="24"/>
      <c r="T11" s="24"/>
    </row>
    <row r="12" spans="1:20" x14ac:dyDescent="0.3">
      <c r="A12" s="4">
        <v>1</v>
      </c>
      <c r="B12" s="4" t="s">
        <v>87</v>
      </c>
      <c r="C12" s="4">
        <v>10</v>
      </c>
      <c r="D12" s="4">
        <v>10</v>
      </c>
      <c r="E12" s="16">
        <f>C12*12/39</f>
        <v>3.0769230769230771</v>
      </c>
      <c r="F12" s="16">
        <f t="shared" ref="E12:F14" si="0">D12*12/39</f>
        <v>3.0769230769230771</v>
      </c>
      <c r="G12" s="17">
        <f>E12*F12</f>
        <v>9.4674556213017755</v>
      </c>
      <c r="H12" s="5"/>
      <c r="I12" s="16"/>
      <c r="J12" s="21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0" x14ac:dyDescent="0.3">
      <c r="A13" s="4">
        <f>1+A12</f>
        <v>2</v>
      </c>
      <c r="B13" s="4" t="s">
        <v>88</v>
      </c>
      <c r="C13" s="4">
        <v>2</v>
      </c>
      <c r="D13" s="4">
        <v>3</v>
      </c>
      <c r="E13" s="16">
        <f t="shared" si="0"/>
        <v>0.61538461538461542</v>
      </c>
      <c r="F13" s="16">
        <f>D13*12/39</f>
        <v>0.92307692307692313</v>
      </c>
      <c r="G13" s="17">
        <f>E13*F13</f>
        <v>0.56804733727810652</v>
      </c>
      <c r="H13" s="18">
        <f>G13*C7*C6</f>
        <v>477.15976331360946</v>
      </c>
      <c r="I13" s="16"/>
      <c r="J13" s="21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0" x14ac:dyDescent="0.3">
      <c r="A14" s="4">
        <f t="shared" ref="A14" si="1">1+A13</f>
        <v>3</v>
      </c>
      <c r="B14" s="4" t="s">
        <v>89</v>
      </c>
      <c r="C14" s="4">
        <f>C12-C13</f>
        <v>8</v>
      </c>
      <c r="D14" s="4">
        <f>D12-D13</f>
        <v>7</v>
      </c>
      <c r="E14" s="16">
        <f t="shared" si="0"/>
        <v>2.4615384615384617</v>
      </c>
      <c r="F14" s="16">
        <f t="shared" si="0"/>
        <v>2.1538461538461537</v>
      </c>
      <c r="G14" s="17">
        <f>E14*F14</f>
        <v>5.3017751479289945</v>
      </c>
      <c r="H14" s="18">
        <f>C5*G14*(C2-C1)</f>
        <v>37.112426035502956</v>
      </c>
      <c r="I14" s="16"/>
      <c r="J14" s="21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0" x14ac:dyDescent="0.3">
      <c r="A15" s="4"/>
      <c r="B15" s="4"/>
      <c r="C15" s="4"/>
      <c r="D15" s="4"/>
      <c r="E15" s="16"/>
      <c r="F15" s="16"/>
      <c r="G15" s="17"/>
      <c r="H15" s="18">
        <f>H13+H14</f>
        <v>514.27218934911241</v>
      </c>
      <c r="I15" s="16"/>
      <c r="J15" s="21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0" x14ac:dyDescent="0.3">
      <c r="A16" s="4"/>
      <c r="B16" s="4"/>
      <c r="C16" s="4"/>
      <c r="D16" s="4"/>
      <c r="E16" s="16"/>
      <c r="F16" s="16"/>
      <c r="G16" s="17"/>
      <c r="H16" s="18">
        <f>H15/1000</f>
        <v>0.51427218934911245</v>
      </c>
      <c r="I16" s="16" t="s">
        <v>85</v>
      </c>
      <c r="J16" s="21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3" x14ac:dyDescent="0.3">
      <c r="A17" s="4"/>
      <c r="B17" s="4"/>
      <c r="C17" s="4"/>
      <c r="D17" s="4"/>
      <c r="E17" s="16"/>
      <c r="F17" s="16"/>
      <c r="G17" s="17"/>
      <c r="H17" s="18">
        <f>H16/3.5</f>
        <v>0.14693491124260355</v>
      </c>
      <c r="I17" s="16" t="s">
        <v>86</v>
      </c>
      <c r="J17" s="21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3" x14ac:dyDescent="0.3">
      <c r="A18" s="19"/>
      <c r="B18" s="19"/>
      <c r="C18" s="19"/>
      <c r="D18" s="19"/>
      <c r="E18" s="20">
        <f>12/39</f>
        <v>0.30769230769230771</v>
      </c>
      <c r="F18" s="20"/>
      <c r="G18" s="21"/>
      <c r="H18" s="22"/>
      <c r="I18" s="20"/>
      <c r="J18" s="21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x14ac:dyDescent="0.3">
      <c r="A19" s="19"/>
      <c r="B19" s="19"/>
      <c r="C19" s="19"/>
      <c r="D19" s="19"/>
      <c r="E19" s="20">
        <f>12/39</f>
        <v>0.30769230769230771</v>
      </c>
      <c r="F19" s="20"/>
      <c r="G19" s="21"/>
      <c r="H19" s="22"/>
      <c r="I19" s="20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x14ac:dyDescent="0.3">
      <c r="A20" s="19"/>
      <c r="B20" s="19"/>
      <c r="C20" s="19"/>
      <c r="D20" s="19"/>
      <c r="E20" s="20"/>
      <c r="F20" s="20"/>
      <c r="G20" s="21"/>
      <c r="H20" s="22"/>
      <c r="I20" s="20"/>
      <c r="J20" s="21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x14ac:dyDescent="0.3">
      <c r="A21" s="19"/>
      <c r="B21" s="19"/>
      <c r="C21" s="19"/>
      <c r="D21" s="19"/>
      <c r="E21" s="20"/>
      <c r="F21" s="20"/>
      <c r="G21" s="21"/>
      <c r="H21" s="22"/>
      <c r="I21" s="20"/>
      <c r="J21" s="21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x14ac:dyDescent="0.3">
      <c r="A22" s="19"/>
      <c r="B22" s="19"/>
      <c r="C22" s="19"/>
      <c r="D22" s="19"/>
      <c r="E22" s="20"/>
      <c r="F22" s="20"/>
      <c r="G22" s="21"/>
      <c r="H22" s="22"/>
      <c r="I22" s="20"/>
      <c r="J22" s="21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x14ac:dyDescent="0.3">
      <c r="A23" s="19"/>
      <c r="B23" s="19"/>
      <c r="C23" s="19"/>
      <c r="D23" s="19"/>
      <c r="E23" s="20"/>
      <c r="F23" s="20"/>
      <c r="G23" s="21"/>
      <c r="H23" s="22"/>
      <c r="I23" s="20"/>
      <c r="J23" s="21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x14ac:dyDescent="0.3">
      <c r="A24" s="19"/>
      <c r="B24" s="19"/>
      <c r="C24" s="19"/>
      <c r="D24" s="19"/>
      <c r="E24" s="20"/>
      <c r="F24" s="20"/>
      <c r="G24" s="21"/>
      <c r="H24" s="22"/>
      <c r="I24" s="20"/>
      <c r="J24" s="21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x14ac:dyDescent="0.3">
      <c r="A25" s="19"/>
      <c r="B25" s="19"/>
      <c r="C25" s="19"/>
      <c r="D25" s="19"/>
      <c r="E25" s="20"/>
      <c r="F25" s="20"/>
      <c r="G25" s="21"/>
      <c r="H25" s="22"/>
      <c r="I25" s="20"/>
      <c r="J25" s="21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3">
      <c r="A26" s="19"/>
      <c r="B26" s="19"/>
      <c r="C26" s="19"/>
      <c r="D26" s="19"/>
      <c r="E26" s="20"/>
      <c r="F26" s="20"/>
      <c r="G26" s="21"/>
      <c r="H26" s="22"/>
      <c r="I26" s="20"/>
      <c r="J26" s="21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 x14ac:dyDescent="0.3">
      <c r="A27" s="19"/>
      <c r="B27" s="19"/>
      <c r="C27" s="19"/>
      <c r="D27" s="19"/>
      <c r="E27" s="20"/>
      <c r="F27" s="20"/>
      <c r="G27" s="21"/>
      <c r="H27" s="22"/>
      <c r="I27" s="20"/>
      <c r="J27" s="21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Lighting System</vt:lpstr>
      <vt:lpstr>Ventilation Requriments</vt:lpstr>
      <vt:lpstr>Heating or Cooling Load</vt:lpstr>
      <vt:lpstr>Solar Gain</vt:lpstr>
    </vt:vector>
  </TitlesOfParts>
  <Company>kjsce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cadcam</dc:creator>
  <cp:lastModifiedBy>Vrishabh Lakhani</cp:lastModifiedBy>
  <dcterms:created xsi:type="dcterms:W3CDTF">2014-11-27T07:33:04Z</dcterms:created>
  <dcterms:modified xsi:type="dcterms:W3CDTF">2016-06-07T06:00:42Z</dcterms:modified>
</cp:coreProperties>
</file>