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240" windowHeight="12435" tabRatio="867"/>
  </bookViews>
  <sheets>
    <sheet name="Ընդամենը ծրագրերով" sheetId="1" r:id="rId1"/>
    <sheet name="Ընդամենը հիմնարկներով" sheetId="13" state="hidden" r:id="rId2"/>
    <sheet name="Գ.Լուսավորիչ" sheetId="2" state="hidden" r:id="rId3"/>
    <sheet name="Արամյանց" sheetId="3" state="hidden" r:id="rId4"/>
    <sheet name="Նատալի" sheetId="4" state="hidden" r:id="rId5"/>
    <sheet name="Հերացի" sheetId="5" state="hidden" r:id="rId6"/>
    <sheet name="Նորք--Մարաշ" sheetId="6" state="hidden" r:id="rId7"/>
    <sheet name="Էրեբունի" sheetId="7" state="hidden" r:id="rId8"/>
    <sheet name="Քանկոր" sheetId="8" state="hidden" r:id="rId9"/>
    <sheet name="Արմենիա" sheetId="9" state="hidden" r:id="rId10"/>
    <sheet name="Սրտաբանություն" sheetId="10" state="hidden" r:id="rId11"/>
    <sheet name="Գյումրի" sheetId="11" state="hidden" r:id="rId12"/>
    <sheet name="Գորիս" sheetId="12" state="hidden" r:id="rId13"/>
  </sheets>
  <definedNames>
    <definedName name="_xlnm.Print_Area" localSheetId="3">Արամյանց!$A$1:$L$13</definedName>
    <definedName name="_xlnm.Print_Area" localSheetId="9">Արմենիա!$A$1:$L$11</definedName>
    <definedName name="_xlnm.Print_Area" localSheetId="2">Գ.Լուսավորիչ!$A$1:$L$14</definedName>
    <definedName name="_xlnm.Print_Area" localSheetId="11">Գյումրի!$A$1:$L$11</definedName>
    <definedName name="_xlnm.Print_Area" localSheetId="12">Գորիս!$A$1:$L$12</definedName>
    <definedName name="_xlnm.Print_Area" localSheetId="7">Էրեբունի!$A$1:$L$11</definedName>
    <definedName name="_xlnm.Print_Area" localSheetId="0">'Ընդամենը ծրագրերով'!$A$1:$L$17</definedName>
    <definedName name="_xlnm.Print_Area" localSheetId="5">Հերացի!$A$1:$L$11</definedName>
    <definedName name="_xlnm.Print_Area" localSheetId="4">Նատալի!$A$1:$L$11</definedName>
    <definedName name="_xlnm.Print_Area" localSheetId="6">'Նորք--Մարաշ'!$A$1:$L$13</definedName>
    <definedName name="_xlnm.Print_Area" localSheetId="10">Սրտաբանություն!$A$1:$L$11</definedName>
    <definedName name="_xlnm.Print_Area" localSheetId="8">Քանկոր!$A$1:$L$11</definedName>
  </definedNames>
  <calcPr calcId="124519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/>
  <c r="I17"/>
  <c r="J16" i="13" l="1"/>
  <c r="J15"/>
  <c r="J8"/>
  <c r="J9"/>
  <c r="J6"/>
  <c r="J7"/>
  <c r="J10"/>
  <c r="J13"/>
  <c r="J12"/>
  <c r="J11"/>
  <c r="J14"/>
  <c r="G16"/>
  <c r="G15"/>
  <c r="G8"/>
  <c r="G9"/>
  <c r="G6"/>
  <c r="G7"/>
  <c r="G10"/>
  <c r="G13"/>
  <c r="G12"/>
  <c r="G11"/>
  <c r="G14"/>
  <c r="D16"/>
  <c r="D15"/>
  <c r="D8"/>
  <c r="D9"/>
  <c r="D6"/>
  <c r="D7"/>
  <c r="D10"/>
  <c r="D13"/>
  <c r="D12"/>
  <c r="D11"/>
  <c r="D14"/>
  <c r="L5"/>
  <c r="K5"/>
  <c r="I5"/>
  <c r="H5"/>
  <c r="F5"/>
  <c r="E5"/>
  <c r="D5" l="1"/>
  <c r="J5"/>
  <c r="G5"/>
  <c r="M14"/>
  <c r="M11"/>
  <c r="M12"/>
  <c r="M13"/>
  <c r="M10"/>
  <c r="M7"/>
  <c r="M6"/>
  <c r="M9"/>
  <c r="M8"/>
  <c r="M15"/>
  <c r="M16"/>
  <c r="I5" i="12" l="1"/>
  <c r="I7"/>
  <c r="I9"/>
  <c r="I12"/>
  <c r="F6"/>
  <c r="F4"/>
  <c r="C5"/>
  <c r="C7"/>
  <c r="C9"/>
  <c r="C11"/>
  <c r="C12"/>
  <c r="C4"/>
  <c r="I5" i="11"/>
  <c r="I7"/>
  <c r="I9"/>
  <c r="I11"/>
  <c r="F6"/>
  <c r="F4"/>
  <c r="C5"/>
  <c r="C7"/>
  <c r="C9"/>
  <c r="C11"/>
  <c r="I7" i="10"/>
  <c r="I9"/>
  <c r="I10"/>
  <c r="I4"/>
  <c r="F6"/>
  <c r="F8"/>
  <c r="F9"/>
  <c r="F4"/>
  <c r="C7"/>
  <c r="C8"/>
  <c r="C10"/>
  <c r="C4"/>
  <c r="I5" i="9"/>
  <c r="I7"/>
  <c r="I9"/>
  <c r="I11"/>
  <c r="I4"/>
  <c r="F6"/>
  <c r="F4"/>
  <c r="C5"/>
  <c r="C7"/>
  <c r="C9"/>
  <c r="C11"/>
  <c r="C4"/>
  <c r="I5" i="8"/>
  <c r="I7"/>
  <c r="I9"/>
  <c r="I11"/>
  <c r="F6"/>
  <c r="F9"/>
  <c r="F4"/>
  <c r="C5"/>
  <c r="C7"/>
  <c r="C9"/>
  <c r="C11"/>
  <c r="I5" i="7"/>
  <c r="I7"/>
  <c r="I9"/>
  <c r="I11"/>
  <c r="F6"/>
  <c r="F8"/>
  <c r="F9"/>
  <c r="C5"/>
  <c r="C7"/>
  <c r="C9"/>
  <c r="C11"/>
  <c r="I12" i="6"/>
  <c r="I5"/>
  <c r="I7"/>
  <c r="I9"/>
  <c r="I11"/>
  <c r="F6"/>
  <c r="F8"/>
  <c r="F9"/>
  <c r="F4"/>
  <c r="C5"/>
  <c r="C7"/>
  <c r="C8"/>
  <c r="C11"/>
  <c r="C12"/>
  <c r="I5" i="5"/>
  <c r="I7"/>
  <c r="I9"/>
  <c r="I11"/>
  <c r="F6"/>
  <c r="F8"/>
  <c r="F9"/>
  <c r="F4"/>
  <c r="C5"/>
  <c r="C7"/>
  <c r="C9"/>
  <c r="C11"/>
  <c r="I5" i="4"/>
  <c r="I7"/>
  <c r="I9"/>
  <c r="I11"/>
  <c r="F4"/>
  <c r="F6"/>
  <c r="F8"/>
  <c r="F9"/>
  <c r="C5"/>
  <c r="C7"/>
  <c r="C9"/>
  <c r="C11"/>
  <c r="I7" i="2"/>
  <c r="I9"/>
  <c r="I11"/>
  <c r="I12"/>
  <c r="I14"/>
  <c r="F6"/>
  <c r="F8"/>
  <c r="C7"/>
  <c r="C9"/>
  <c r="C11"/>
  <c r="C12"/>
  <c r="C14"/>
  <c r="H3" i="12" l="1"/>
  <c r="F3" s="1"/>
  <c r="G3"/>
  <c r="K10"/>
  <c r="I10" s="1"/>
  <c r="J10"/>
  <c r="E10"/>
  <c r="C10" s="1"/>
  <c r="D10"/>
  <c r="K8"/>
  <c r="I8" s="1"/>
  <c r="J8"/>
  <c r="E8"/>
  <c r="C8" s="1"/>
  <c r="D8"/>
  <c r="K6"/>
  <c r="I6" s="1"/>
  <c r="J6"/>
  <c r="E6"/>
  <c r="D6"/>
  <c r="D3" s="1"/>
  <c r="K4"/>
  <c r="I4" s="1"/>
  <c r="J4"/>
  <c r="J3" s="1"/>
  <c r="H3" i="11"/>
  <c r="F3" s="1"/>
  <c r="G3"/>
  <c r="K10"/>
  <c r="I10" s="1"/>
  <c r="J10"/>
  <c r="E10"/>
  <c r="C10" s="1"/>
  <c r="D10"/>
  <c r="K8"/>
  <c r="J8"/>
  <c r="E8"/>
  <c r="C8" s="1"/>
  <c r="D8"/>
  <c r="K6"/>
  <c r="I6" s="1"/>
  <c r="J6"/>
  <c r="E6"/>
  <c r="C6" s="1"/>
  <c r="D6"/>
  <c r="K4"/>
  <c r="I4" s="1"/>
  <c r="J4"/>
  <c r="J3" s="1"/>
  <c r="E4"/>
  <c r="D4"/>
  <c r="D3" s="1"/>
  <c r="H3" i="10"/>
  <c r="F3" s="1"/>
  <c r="G3"/>
  <c r="E3"/>
  <c r="C3" s="1"/>
  <c r="D3"/>
  <c r="K8"/>
  <c r="I8" s="1"/>
  <c r="J8"/>
  <c r="K6"/>
  <c r="I6" s="1"/>
  <c r="J6"/>
  <c r="J3" s="1"/>
  <c r="E6"/>
  <c r="C6" s="1"/>
  <c r="D6"/>
  <c r="H3" i="9"/>
  <c r="F3" s="1"/>
  <c r="G3"/>
  <c r="K10"/>
  <c r="J10"/>
  <c r="E10"/>
  <c r="C10" s="1"/>
  <c r="D10"/>
  <c r="K8"/>
  <c r="J8"/>
  <c r="E8"/>
  <c r="C8" s="1"/>
  <c r="D8"/>
  <c r="K6"/>
  <c r="J6"/>
  <c r="J3" s="1"/>
  <c r="E6"/>
  <c r="D6"/>
  <c r="D3" s="1"/>
  <c r="H3" i="8"/>
  <c r="F3" s="1"/>
  <c r="G3"/>
  <c r="K10"/>
  <c r="J10"/>
  <c r="E10"/>
  <c r="C10" s="1"/>
  <c r="D10"/>
  <c r="K8"/>
  <c r="J8"/>
  <c r="E8"/>
  <c r="C8" s="1"/>
  <c r="D8"/>
  <c r="K6"/>
  <c r="J6"/>
  <c r="E6"/>
  <c r="C6" s="1"/>
  <c r="D6"/>
  <c r="K4"/>
  <c r="J4"/>
  <c r="J3" s="1"/>
  <c r="E4"/>
  <c r="D4"/>
  <c r="D3" s="1"/>
  <c r="F4" i="7"/>
  <c r="H3"/>
  <c r="G3"/>
  <c r="K10"/>
  <c r="I10" s="1"/>
  <c r="J10"/>
  <c r="E10"/>
  <c r="C10" s="1"/>
  <c r="D10"/>
  <c r="K8"/>
  <c r="I8" s="1"/>
  <c r="J8"/>
  <c r="E8"/>
  <c r="C8" s="1"/>
  <c r="D8"/>
  <c r="K6"/>
  <c r="I6" s="1"/>
  <c r="J6"/>
  <c r="E6"/>
  <c r="C6" s="1"/>
  <c r="D6"/>
  <c r="K4"/>
  <c r="K3" s="1"/>
  <c r="J4"/>
  <c r="J3" s="1"/>
  <c r="E4"/>
  <c r="E3" s="1"/>
  <c r="D4"/>
  <c r="H3" i="6"/>
  <c r="G3"/>
  <c r="K10"/>
  <c r="I10" s="1"/>
  <c r="J10"/>
  <c r="E10"/>
  <c r="C10" s="1"/>
  <c r="D10"/>
  <c r="K8"/>
  <c r="I8" s="1"/>
  <c r="J8"/>
  <c r="K6"/>
  <c r="I6" s="1"/>
  <c r="J6"/>
  <c r="E6"/>
  <c r="C6" s="1"/>
  <c r="D6"/>
  <c r="K4"/>
  <c r="I4" s="1"/>
  <c r="J4"/>
  <c r="E4"/>
  <c r="D4"/>
  <c r="D3" s="1"/>
  <c r="H3" i="5"/>
  <c r="F3" s="1"/>
  <c r="G3"/>
  <c r="K10"/>
  <c r="I10" s="1"/>
  <c r="J10"/>
  <c r="E10"/>
  <c r="D10"/>
  <c r="K8"/>
  <c r="I8" s="1"/>
  <c r="J8"/>
  <c r="E8"/>
  <c r="D8"/>
  <c r="K6"/>
  <c r="I6" s="1"/>
  <c r="J6"/>
  <c r="E6"/>
  <c r="D6"/>
  <c r="D3" s="1"/>
  <c r="K4"/>
  <c r="I4" s="1"/>
  <c r="J4"/>
  <c r="E4"/>
  <c r="E3" s="1"/>
  <c r="D4"/>
  <c r="H3" i="4"/>
  <c r="F3" s="1"/>
  <c r="G3"/>
  <c r="H5" i="2"/>
  <c r="F5" s="1"/>
  <c r="G5"/>
  <c r="J5" i="3"/>
  <c r="H5"/>
  <c r="G5"/>
  <c r="D5"/>
  <c r="K4" i="4"/>
  <c r="I4" s="1"/>
  <c r="J4"/>
  <c r="E4"/>
  <c r="C4" s="1"/>
  <c r="D4"/>
  <c r="K10"/>
  <c r="I10" s="1"/>
  <c r="J10"/>
  <c r="E10"/>
  <c r="C10" s="1"/>
  <c r="D10"/>
  <c r="K8"/>
  <c r="I8" s="1"/>
  <c r="J8"/>
  <c r="D8"/>
  <c r="E8"/>
  <c r="K6"/>
  <c r="I6" s="1"/>
  <c r="J6"/>
  <c r="E6"/>
  <c r="C6" s="1"/>
  <c r="D6"/>
  <c r="K12" i="3"/>
  <c r="I12" s="1"/>
  <c r="E12"/>
  <c r="C12" s="1"/>
  <c r="K10"/>
  <c r="I10" s="1"/>
  <c r="E10"/>
  <c r="K8"/>
  <c r="K10" i="2"/>
  <c r="I10" s="1"/>
  <c r="E10"/>
  <c r="C10" s="1"/>
  <c r="E8"/>
  <c r="C8" s="1"/>
  <c r="K8"/>
  <c r="I8" s="1"/>
  <c r="J6"/>
  <c r="J5" s="1"/>
  <c r="K6"/>
  <c r="D6"/>
  <c r="D5" s="1"/>
  <c r="E6"/>
  <c r="E5" s="1"/>
  <c r="C5" s="1"/>
  <c r="K11" i="12"/>
  <c r="I11" s="1"/>
  <c r="J11"/>
  <c r="I8" i="11" l="1"/>
  <c r="K3"/>
  <c r="E3" i="12"/>
  <c r="C3" s="1"/>
  <c r="C6"/>
  <c r="C4" i="5"/>
  <c r="C6"/>
  <c r="C8"/>
  <c r="C10"/>
  <c r="I4" i="8"/>
  <c r="I6"/>
  <c r="I8"/>
  <c r="I10"/>
  <c r="K3"/>
  <c r="K3" i="9"/>
  <c r="I6"/>
  <c r="I8"/>
  <c r="I10"/>
  <c r="I6" i="2"/>
  <c r="E3" i="11"/>
  <c r="C4"/>
  <c r="C3" i="5"/>
  <c r="E3" i="8"/>
  <c r="C4"/>
  <c r="E3" i="9"/>
  <c r="C3" s="1"/>
  <c r="C6"/>
  <c r="J3" i="4"/>
  <c r="C8"/>
  <c r="D3"/>
  <c r="K5" i="2"/>
  <c r="L8" s="1"/>
  <c r="C6"/>
  <c r="L10"/>
  <c r="K3" i="12"/>
  <c r="L4" s="1"/>
  <c r="C3" i="11"/>
  <c r="I3"/>
  <c r="L6"/>
  <c r="K3" i="10"/>
  <c r="I3" i="9"/>
  <c r="L4"/>
  <c r="L10"/>
  <c r="L8"/>
  <c r="L6"/>
  <c r="C3" i="8"/>
  <c r="L10"/>
  <c r="L4"/>
  <c r="F3" i="7"/>
  <c r="J3" i="6"/>
  <c r="K3"/>
  <c r="E3"/>
  <c r="C4"/>
  <c r="K3" i="5"/>
  <c r="I3" s="1"/>
  <c r="J3"/>
  <c r="E3" i="4"/>
  <c r="C3" s="1"/>
  <c r="K3"/>
  <c r="K5" i="3"/>
  <c r="L12" s="1"/>
  <c r="E5"/>
  <c r="L6"/>
  <c r="L8"/>
  <c r="I8"/>
  <c r="C10"/>
  <c r="I3" i="7"/>
  <c r="C4"/>
  <c r="L6"/>
  <c r="L10"/>
  <c r="L4"/>
  <c r="L8"/>
  <c r="I4"/>
  <c r="D3"/>
  <c r="C3" s="1"/>
  <c r="L6" i="8"/>
  <c r="I3" i="4"/>
  <c r="L6"/>
  <c r="L3" i="9" l="1"/>
  <c r="L10" i="11"/>
  <c r="L4"/>
  <c r="L3"/>
  <c r="L10" i="12"/>
  <c r="L6" i="2"/>
  <c r="I3" i="8"/>
  <c r="L8"/>
  <c r="L3" s="1"/>
  <c r="L3" i="7"/>
  <c r="L8" i="11"/>
  <c r="L10" i="3"/>
  <c r="L5" s="1"/>
  <c r="L14" i="2"/>
  <c r="L12"/>
  <c r="I5"/>
  <c r="L8" i="12"/>
  <c r="L6"/>
  <c r="I3"/>
  <c r="L8" i="10"/>
  <c r="L10"/>
  <c r="I3"/>
  <c r="L4"/>
  <c r="L6"/>
  <c r="L6" i="5"/>
  <c r="L8"/>
  <c r="L10"/>
  <c r="L4"/>
  <c r="L4" i="4"/>
  <c r="L10"/>
  <c r="L8"/>
  <c r="F3" i="6"/>
  <c r="C3"/>
  <c r="L3" i="10" l="1"/>
  <c r="L5" i="2"/>
  <c r="L3" i="4"/>
  <c r="L3" i="12"/>
  <c r="L17" i="1"/>
  <c r="L3" i="5"/>
  <c r="L12" i="6"/>
  <c r="L8"/>
  <c r="L6"/>
  <c r="L10"/>
  <c r="L4"/>
  <c r="I3"/>
  <c r="L3" l="1"/>
</calcChain>
</file>

<file path=xl/sharedStrings.xml><?xml version="1.0" encoding="utf-8"?>
<sst xmlns="http://schemas.openxmlformats.org/spreadsheetml/2006/main" count="324" uniqueCount="51">
  <si>
    <t xml:space="preserve">Սրտի վիրահատության դեպքերն  ըստ բուժհիմնարկների և ծրագրերի </t>
  </si>
  <si>
    <t>Ժամանակահատված: 16/12/2014 - 15/12/2015</t>
  </si>
  <si>
    <t>Անվանումը</t>
  </si>
  <si>
    <t>Փոխհատուցված ամբողջությամբ</t>
  </si>
  <si>
    <t>Փոխհատուցված մասնակի</t>
  </si>
  <si>
    <t>ԸՆԴԱՄԵՆԸ</t>
  </si>
  <si>
    <t xml:space="preserve">Միջին գինը ( դրամ) </t>
  </si>
  <si>
    <t>Դեպքերի թիվ</t>
  </si>
  <si>
    <t>Գումար (դրամ)</t>
  </si>
  <si>
    <t xml:space="preserve">Միջին գինը (դրամ) </t>
  </si>
  <si>
    <t>Բնակչության սոցանապահով խմբերում ընդգրկվածներին բուժօգնության ծրագիր</t>
  </si>
  <si>
    <t>Զինծառայողների և նրանց ընտանիքի անդամների բուժօգնության ծրագիր</t>
  </si>
  <si>
    <t>Սոցփաթեթի շահառուների բուժօգնության ծրագիր</t>
  </si>
  <si>
    <t>Երեխաների բժշկական օգնության ծրագիր</t>
  </si>
  <si>
    <t>Սրտի անհետաձգելի վիրահատության  ծրագիր</t>
  </si>
  <si>
    <t>ՍՈՒՐԲ ԳՐԻԳՈՐ ԼՈՒՍԱՎՈՐԻՉ ԲԿ ՓԲԸ</t>
  </si>
  <si>
    <t>0301019</t>
  </si>
  <si>
    <t>Ստենտավորում դեղածածկույթ չունեցող 1 ստենտով /մեծ/</t>
  </si>
  <si>
    <t>ԱՐԱՄՅԱՆՑ ԲԿ ՓԲԸ</t>
  </si>
  <si>
    <t>ՆԱՏԱԼԻ ՖԱՐՄ ՍՊԸ</t>
  </si>
  <si>
    <t>ՄԽԻԹԱՐ ՀԵՐԱՑՈՒ ԱՆՎԱՆ ԵՊԲՀ ՊՈԱԿ</t>
  </si>
  <si>
    <t>ՍՐՏԱԲԱՆՈՒԹՅԱՆ ԳՀԻ ՓԲԸ</t>
  </si>
  <si>
    <t>ՆՈՐՔ-ՄԱՐԱՇ ԲԺՇԿ. ԿԵՆՏՐՈՆ ՓԲԸ</t>
  </si>
  <si>
    <t>ԷՐԵԲՈՒՆԻ ԲԿ ՓԲԸ</t>
  </si>
  <si>
    <t>ՔԱՆԿՈՐ ՍԻՐՏ-ԱՆՈԹԱՅԻՆ ԲԿ ՍՊԸ</t>
  </si>
  <si>
    <t>ԱՐՄԵՆԻԱ ԲԿ</t>
  </si>
  <si>
    <t>ԳՅՈՒՄՐՈՒ ԲԿ</t>
  </si>
  <si>
    <t>ՖՐԱՆՍ-ՀԱՅԿԱԿԱՆ ՍՐՏԱՆՈԹԱՅԻՆ ԿԵՆՏՐՈՆ</t>
  </si>
  <si>
    <t>Բնակչության սոցանապահով խմբերում ընդգրկվածներին բուժօգնության ծրագիր`այդ թվում</t>
  </si>
  <si>
    <t>22</t>
  </si>
  <si>
    <t>Կորոնարոանգիոգրաֆիա</t>
  </si>
  <si>
    <t>Անհետաձգելի բժշկական օգնության ծառայություններ ծրագիր Կորոնարոանգիոգրաֆիա</t>
  </si>
  <si>
    <t>Զինծառայողների և նրանց ընտանիքի անդամների բուժօգնության ծրագիր`այդ թվում</t>
  </si>
  <si>
    <t>Սրտի անհետաձգելի վիրահատության  ծրագիր`այդ թվում</t>
  </si>
  <si>
    <t>0</t>
  </si>
  <si>
    <t>%</t>
  </si>
  <si>
    <t xml:space="preserve">Միջին գինը  (դրամ) </t>
  </si>
  <si>
    <t>Սոցփաթեթի շահառուների բուժօգնության ծրագիր`այդ թվում</t>
  </si>
  <si>
    <t>-</t>
  </si>
  <si>
    <t>Երեխաների բժշկական օգնության ծրագիր`այդ թվում.</t>
  </si>
  <si>
    <t>Սրտի անհետաձգելի վիրահատության  ծրագիր`այդ թվում.</t>
  </si>
  <si>
    <t>Սոցփաթեթի շահառուների բուժօգնության ծրագիր`այդ թվում.</t>
  </si>
  <si>
    <t>Զինծառայողների և նրանց ընտանիքի անդամների բուժօգնության ծրագիր`այդ թվում.</t>
  </si>
  <si>
    <t>Բնակչության սոցանապահով խմբերում ընդգրկվածներին բուժօգնության ծրագիր`այդ թվում.</t>
  </si>
  <si>
    <t>այդ թվում` կորոնարոանգիոգրաֆիա</t>
  </si>
  <si>
    <t>Կորոնարոանգիոգրաֆիա (դժվարամատչելի ախտորոշիչ հետազոտությունների ծրագրով)</t>
  </si>
  <si>
    <t xml:space="preserve">Միջին գինը    ( դրամ) </t>
  </si>
  <si>
    <t xml:space="preserve">Միջին գինը   (դրամ) </t>
  </si>
  <si>
    <t xml:space="preserve"> </t>
  </si>
  <si>
    <t>Սրտի վիրահատությունների և ինտերվենցիոն սրտաբանական միջամտությունների դեպքերն ըստ բժշկական կազմակերպությունների</t>
  </si>
  <si>
    <t xml:space="preserve">2015 ԹՎԱԿԱՆԻՆ ՊԵՏԱԿԱՆ ՊԱՏՎԵՐԻ ՇՐՋԱՆԱԿՆԵՐՈՒՄ ԻՐԱԿԱՆԱՑՎԱԾ ՍՐՏԻ ՎԻՐԱՀԱՏՈՒԹՅՈՒՆՆԵՐԻ ԵՎ ԻՆՏԵՐՎԵՆՑԻՈՆ ՍՐՏԱԲԱՆԱԿԱՆ ՄԻՋԱՄՏՈՒԹՅՈՒՆՆԵՐԻ ԴԵՊՔԵՐՆ ԸՍՏ ՀՀ ՊԵՏԱԿԱՆ ԲՅՈՒՋԵԻ ԾՐԱԳՐԵՐԻ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</si>
</sst>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[$-10409]#,##0;\(#,##0\)"/>
    <numFmt numFmtId="166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GHEA Grapalat"/>
      <family val="3"/>
    </font>
    <font>
      <b/>
      <sz val="14"/>
      <name val="GHEA Grapalat"/>
      <family val="3"/>
    </font>
    <font>
      <sz val="12"/>
      <name val="GHEA Grapalat"/>
      <family val="3"/>
    </font>
    <font>
      <b/>
      <sz val="12"/>
      <name val="GHEA Grapalat"/>
      <family val="3"/>
    </font>
    <font>
      <sz val="11"/>
      <name val="Calibri"/>
      <family val="2"/>
      <scheme val="minor"/>
    </font>
    <font>
      <i/>
      <sz val="12"/>
      <name val="GHEA Grapalat"/>
      <family val="3"/>
    </font>
    <font>
      <b/>
      <i/>
      <sz val="12"/>
      <name val="GHEA Grapalat"/>
      <family val="3"/>
    </font>
    <font>
      <i/>
      <sz val="12"/>
      <color rgb="FFFF0000"/>
      <name val="GHEA Grapalat"/>
      <family val="3"/>
    </font>
    <font>
      <i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color indexed="8"/>
      <name val="Sylfaen"/>
      <family val="1"/>
    </font>
    <font>
      <i/>
      <sz val="11"/>
      <color theme="1"/>
      <name val="Calibri"/>
      <family val="2"/>
      <scheme val="minor"/>
    </font>
    <font>
      <i/>
      <sz val="12"/>
      <name val="Sylfaen"/>
      <family val="1"/>
    </font>
    <font>
      <sz val="12"/>
      <color theme="1"/>
      <name val="GHEA Grapalat"/>
      <family val="3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5" fillId="2" borderId="1" xfId="1" applyNumberFormat="1" applyFont="1" applyFill="1" applyBorder="1" applyAlignment="1" applyProtection="1">
      <alignment horizontal="center" vertical="center" wrapText="1" readingOrder="1"/>
      <protection locked="0"/>
    </xf>
    <xf numFmtId="0" fontId="5" fillId="2" borderId="0" xfId="0" applyFont="1" applyFill="1" applyAlignment="1">
      <alignment horizontal="center" vertical="center" wrapText="1"/>
    </xf>
    <xf numFmtId="164" fontId="5" fillId="2" borderId="6" xfId="1" applyNumberFormat="1" applyFont="1" applyFill="1" applyBorder="1" applyAlignment="1" applyProtection="1">
      <alignment horizontal="right" vertical="center" wrapText="1" readingOrder="1"/>
      <protection locked="0"/>
    </xf>
    <xf numFmtId="164" fontId="5" fillId="2" borderId="6" xfId="1" applyNumberFormat="1" applyFont="1" applyFill="1" applyBorder="1" applyAlignment="1">
      <alignment horizontal="center" vertical="center" wrapText="1" readingOrder="1"/>
    </xf>
    <xf numFmtId="0" fontId="6" fillId="2" borderId="0" xfId="0" applyFont="1" applyFill="1"/>
    <xf numFmtId="164" fontId="4" fillId="2" borderId="6" xfId="1" applyNumberFormat="1" applyFont="1" applyFill="1" applyBorder="1" applyAlignment="1" applyProtection="1">
      <alignment horizontal="center" vertical="center" wrapText="1" readingOrder="1"/>
      <protection locked="0"/>
    </xf>
    <xf numFmtId="164" fontId="4" fillId="2" borderId="6" xfId="1" applyNumberFormat="1" applyFont="1" applyFill="1" applyBorder="1" applyAlignment="1">
      <alignment horizontal="center" vertical="center" wrapText="1" readingOrder="1"/>
    </xf>
    <xf numFmtId="0" fontId="4" fillId="2" borderId="0" xfId="0" applyFont="1" applyFill="1"/>
    <xf numFmtId="49" fontId="4" fillId="2" borderId="6" xfId="1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0" xfId="0" applyFont="1" applyFill="1"/>
    <xf numFmtId="164" fontId="7" fillId="2" borderId="6" xfId="1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0" xfId="0" applyFont="1" applyFill="1" applyBorder="1"/>
    <xf numFmtId="164" fontId="7" fillId="2" borderId="6" xfId="1" applyNumberFormat="1" applyFont="1" applyFill="1" applyBorder="1" applyAlignment="1">
      <alignment horizontal="center" vertical="center" wrapText="1" readingOrder="1"/>
    </xf>
    <xf numFmtId="164" fontId="4" fillId="2" borderId="6" xfId="1" applyNumberFormat="1" applyFont="1" applyFill="1" applyBorder="1" applyAlignment="1">
      <alignment horizontal="center" vertical="center" readingOrder="1"/>
    </xf>
    <xf numFmtId="49" fontId="7" fillId="2" borderId="6" xfId="1" applyNumberFormat="1" applyFont="1" applyFill="1" applyBorder="1" applyAlignment="1" applyProtection="1">
      <alignment horizontal="center" vertical="center" wrapText="1" readingOrder="1"/>
      <protection locked="0"/>
    </xf>
    <xf numFmtId="164" fontId="4" fillId="2" borderId="6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6" xfId="1" applyNumberFormat="1" applyFont="1" applyFill="1" applyBorder="1" applyAlignment="1">
      <alignment horizontal="center" vertical="center" wrapText="1" readingOrder="1"/>
    </xf>
    <xf numFmtId="164" fontId="4" fillId="2" borderId="0" xfId="1" applyNumberFormat="1" applyFont="1" applyFill="1" applyAlignment="1">
      <alignment horizontal="center" vertical="center" wrapText="1" readingOrder="1"/>
    </xf>
    <xf numFmtId="164" fontId="4" fillId="2" borderId="6" xfId="1" applyNumberFormat="1" applyFont="1" applyFill="1" applyBorder="1" applyAlignment="1" applyProtection="1">
      <alignment horizontal="right" vertical="center" wrapText="1" readingOrder="1"/>
      <protection locked="0"/>
    </xf>
    <xf numFmtId="49" fontId="4" fillId="2" borderId="6" xfId="1" applyNumberFormat="1" applyFont="1" applyFill="1" applyBorder="1" applyAlignment="1" applyProtection="1">
      <alignment horizontal="right" vertical="center" wrapText="1" readingOrder="1"/>
      <protection locked="0"/>
    </xf>
    <xf numFmtId="164" fontId="4" fillId="2" borderId="6" xfId="1" applyNumberFormat="1" applyFont="1" applyFill="1" applyBorder="1" applyAlignment="1">
      <alignment horizontal="right" vertical="center" wrapText="1" readingOrder="1"/>
    </xf>
    <xf numFmtId="164" fontId="7" fillId="2" borderId="6" xfId="1" applyNumberFormat="1" applyFont="1" applyFill="1" applyBorder="1" applyAlignment="1" applyProtection="1">
      <alignment horizontal="right" vertical="center" wrapText="1" readingOrder="1"/>
      <protection locked="0"/>
    </xf>
    <xf numFmtId="1" fontId="5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/>
    <xf numFmtId="0" fontId="7" fillId="2" borderId="6" xfId="0" applyFont="1" applyFill="1" applyBorder="1" applyAlignment="1" applyProtection="1">
      <alignment horizontal="left" vertical="center" wrapText="1" readingOrder="1"/>
      <protection locked="0"/>
    </xf>
    <xf numFmtId="164" fontId="5" fillId="2" borderId="6" xfId="1" applyNumberFormat="1" applyFont="1" applyFill="1" applyBorder="1" applyAlignment="1" applyProtection="1">
      <alignment horizontal="center" vertical="center" wrapText="1" readingOrder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 readingOrder="1"/>
    </xf>
    <xf numFmtId="0" fontId="4" fillId="2" borderId="0" xfId="0" applyFont="1" applyFill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/>
    </xf>
    <xf numFmtId="164" fontId="8" fillId="2" borderId="6" xfId="1" applyNumberFormat="1" applyFont="1" applyFill="1" applyBorder="1" applyAlignment="1" applyProtection="1">
      <alignment horizontal="center" vertical="center" wrapText="1" readingOrder="1"/>
      <protection locked="0"/>
    </xf>
    <xf numFmtId="164" fontId="9" fillId="2" borderId="0" xfId="1" applyNumberFormat="1" applyFont="1" applyFill="1" applyAlignment="1">
      <alignment horizontal="center" vertical="center" wrapText="1"/>
    </xf>
    <xf numFmtId="0" fontId="10" fillId="2" borderId="0" xfId="0" applyFont="1" applyFill="1" applyBorder="1"/>
    <xf numFmtId="164" fontId="7" fillId="2" borderId="6" xfId="1" applyNumberFormat="1" applyFont="1" applyFill="1" applyBorder="1" applyAlignment="1">
      <alignment horizontal="right" vertical="center" wrapText="1" readingOrder="1"/>
    </xf>
    <xf numFmtId="1" fontId="11" fillId="2" borderId="6" xfId="0" applyNumberFormat="1" applyFont="1" applyFill="1" applyBorder="1"/>
    <xf numFmtId="0" fontId="10" fillId="2" borderId="0" xfId="0" applyFont="1" applyFill="1"/>
    <xf numFmtId="164" fontId="7" fillId="2" borderId="0" xfId="1" applyNumberFormat="1" applyFont="1" applyFill="1" applyAlignment="1">
      <alignment horizontal="center" vertical="center" wrapText="1"/>
    </xf>
    <xf numFmtId="1" fontId="5" fillId="2" borderId="15" xfId="0" applyNumberFormat="1" applyFont="1" applyFill="1" applyBorder="1" applyAlignment="1">
      <alignment horizontal="center" vertical="center" wrapText="1"/>
    </xf>
    <xf numFmtId="1" fontId="11" fillId="2" borderId="15" xfId="0" applyNumberFormat="1" applyFont="1" applyFill="1" applyBorder="1"/>
    <xf numFmtId="0" fontId="7" fillId="2" borderId="15" xfId="0" applyFont="1" applyFill="1" applyBorder="1"/>
    <xf numFmtId="164" fontId="4" fillId="2" borderId="17" xfId="1" applyNumberFormat="1" applyFont="1" applyFill="1" applyBorder="1" applyAlignment="1" applyProtection="1">
      <alignment horizontal="right" vertical="center" wrapText="1" readingOrder="1"/>
      <protection locked="0"/>
    </xf>
    <xf numFmtId="164" fontId="7" fillId="2" borderId="17" xfId="1" applyNumberFormat="1" applyFont="1" applyFill="1" applyBorder="1" applyAlignment="1" applyProtection="1">
      <alignment horizontal="right" vertical="center" wrapText="1" readingOrder="1"/>
      <protection locked="0"/>
    </xf>
    <xf numFmtId="164" fontId="7" fillId="2" borderId="17" xfId="1" applyNumberFormat="1" applyFont="1" applyFill="1" applyBorder="1" applyAlignment="1">
      <alignment horizontal="right" vertical="center" wrapText="1" readingOrder="1"/>
    </xf>
    <xf numFmtId="1" fontId="8" fillId="2" borderId="18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49" fontId="7" fillId="2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13" fillId="2" borderId="0" xfId="0" applyFont="1" applyFill="1"/>
    <xf numFmtId="49" fontId="7" fillId="2" borderId="6" xfId="1" applyNumberFormat="1" applyFont="1" applyFill="1" applyBorder="1" applyAlignment="1">
      <alignment horizontal="center" vertical="center" wrapText="1" readingOrder="1"/>
    </xf>
    <xf numFmtId="0" fontId="14" fillId="2" borderId="0" xfId="0" applyFont="1" applyFill="1"/>
    <xf numFmtId="1" fontId="11" fillId="2" borderId="6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/>
    <xf numFmtId="164" fontId="4" fillId="2" borderId="17" xfId="1" applyNumberFormat="1" applyFont="1" applyFill="1" applyBorder="1" applyAlignment="1" applyProtection="1">
      <alignment horizontal="center" vertical="center" wrapText="1" readingOrder="1"/>
      <protection locked="0"/>
    </xf>
    <xf numFmtId="164" fontId="7" fillId="2" borderId="6" xfId="1" applyNumberFormat="1" applyFont="1" applyFill="1" applyBorder="1" applyAlignment="1">
      <alignment horizontal="center" vertical="center" readingOrder="1"/>
    </xf>
    <xf numFmtId="164" fontId="7" fillId="2" borderId="17" xfId="1" applyNumberFormat="1" applyFont="1" applyFill="1" applyBorder="1" applyAlignment="1" applyProtection="1">
      <alignment horizontal="center" vertical="center" wrapText="1" readingOrder="1"/>
      <protection locked="0"/>
    </xf>
    <xf numFmtId="49" fontId="7" fillId="2" borderId="17" xfId="1" applyNumberFormat="1" applyFont="1" applyFill="1" applyBorder="1" applyAlignment="1" applyProtection="1">
      <alignment horizontal="center" vertical="center" wrapText="1" readingOrder="1"/>
      <protection locked="0"/>
    </xf>
    <xf numFmtId="164" fontId="7" fillId="2" borderId="17" xfId="1" applyNumberFormat="1" applyFont="1" applyFill="1" applyBorder="1" applyAlignment="1">
      <alignment horizontal="center" vertical="center" readingOrder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 applyProtection="1">
      <alignment horizontal="center" vertical="top" wrapText="1" readingOrder="1"/>
      <protection locked="0"/>
    </xf>
    <xf numFmtId="165" fontId="15" fillId="2" borderId="17" xfId="0" applyNumberFormat="1" applyFont="1" applyFill="1" applyBorder="1" applyAlignment="1" applyProtection="1">
      <alignment horizontal="center" vertical="top" wrapText="1" readingOrder="1"/>
      <protection locked="0"/>
    </xf>
    <xf numFmtId="164" fontId="7" fillId="2" borderId="17" xfId="1" applyNumberFormat="1" applyFont="1" applyFill="1" applyBorder="1" applyAlignment="1">
      <alignment horizontal="center" vertical="center" wrapText="1" readingOrder="1"/>
    </xf>
    <xf numFmtId="0" fontId="16" fillId="2" borderId="0" xfId="0" applyFont="1" applyFill="1"/>
    <xf numFmtId="0" fontId="17" fillId="2" borderId="6" xfId="0" applyFont="1" applyFill="1" applyBorder="1" applyAlignment="1" applyProtection="1">
      <alignment horizontal="center" vertical="center" wrapText="1" readingOrder="1"/>
      <protection locked="0"/>
    </xf>
    <xf numFmtId="165" fontId="17" fillId="2" borderId="6" xfId="0" applyNumberFormat="1" applyFont="1" applyFill="1" applyBorder="1" applyAlignment="1" applyProtection="1">
      <alignment horizontal="center" vertical="center" wrapText="1" readingOrder="1"/>
      <protection locked="0"/>
    </xf>
    <xf numFmtId="0" fontId="13" fillId="2" borderId="6" xfId="0" applyFont="1" applyFill="1" applyBorder="1" applyAlignment="1">
      <alignment horizontal="center"/>
    </xf>
    <xf numFmtId="49" fontId="7" fillId="2" borderId="17" xfId="1" applyNumberFormat="1" applyFont="1" applyFill="1" applyBorder="1" applyAlignment="1">
      <alignment horizontal="center" vertical="center" wrapText="1" readingOrder="1"/>
    </xf>
    <xf numFmtId="0" fontId="7" fillId="2" borderId="14" xfId="0" applyFont="1" applyFill="1" applyBorder="1" applyAlignment="1" applyProtection="1">
      <alignment horizontal="left" vertical="center" wrapText="1" readingOrder="1"/>
      <protection locked="0"/>
    </xf>
    <xf numFmtId="0" fontId="7" fillId="2" borderId="18" xfId="0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 applyProtection="1">
      <alignment horizontal="center" vertical="center" wrapText="1" readingOrder="1"/>
      <protection locked="0"/>
    </xf>
    <xf numFmtId="164" fontId="5" fillId="2" borderId="15" xfId="0" applyNumberFormat="1" applyFont="1" applyFill="1" applyBorder="1" applyAlignment="1">
      <alignment horizontal="center" vertical="center" wrapText="1" readingOrder="1"/>
    </xf>
    <xf numFmtId="166" fontId="4" fillId="2" borderId="15" xfId="0" applyNumberFormat="1" applyFont="1" applyFill="1" applyBorder="1" applyAlignment="1">
      <alignment horizontal="center" vertical="center" wrapText="1" readingOrder="1"/>
    </xf>
    <xf numFmtId="0" fontId="7" fillId="2" borderId="15" xfId="0" applyFont="1" applyFill="1" applyBorder="1" applyAlignment="1">
      <alignment horizontal="center" vertical="center" wrapText="1" readingOrder="1"/>
    </xf>
    <xf numFmtId="164" fontId="8" fillId="2" borderId="17" xfId="1" applyNumberFormat="1" applyFont="1" applyFill="1" applyBorder="1" applyAlignment="1" applyProtection="1">
      <alignment horizontal="center" vertical="center" wrapText="1" readingOrder="1"/>
      <protection locked="0"/>
    </xf>
    <xf numFmtId="1" fontId="8" fillId="2" borderId="18" xfId="0" applyNumberFormat="1" applyFont="1" applyFill="1" applyBorder="1" applyAlignment="1">
      <alignment horizontal="center" vertical="center" wrapText="1" readingOrder="1"/>
    </xf>
    <xf numFmtId="164" fontId="5" fillId="2" borderId="6" xfId="1" applyNumberFormat="1" applyFont="1" applyFill="1" applyBorder="1" applyAlignment="1" applyProtection="1">
      <alignment horizontal="center" vertical="center" wrapText="1" readingOrder="1"/>
      <protection locked="0"/>
    </xf>
    <xf numFmtId="1" fontId="18" fillId="0" borderId="0" xfId="0" applyNumberFormat="1" applyFont="1"/>
    <xf numFmtId="164" fontId="18" fillId="0" borderId="6" xfId="1" applyNumberFormat="1" applyFont="1" applyBorder="1"/>
    <xf numFmtId="1" fontId="18" fillId="0" borderId="15" xfId="0" applyNumberFormat="1" applyFont="1" applyBorder="1"/>
    <xf numFmtId="164" fontId="18" fillId="0" borderId="17" xfId="1" applyNumberFormat="1" applyFont="1" applyBorder="1"/>
    <xf numFmtId="1" fontId="18" fillId="0" borderId="18" xfId="0" applyNumberFormat="1" applyFont="1" applyBorder="1"/>
    <xf numFmtId="0" fontId="5" fillId="2" borderId="21" xfId="0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 applyProtection="1">
      <alignment horizontal="center" vertical="center" wrapText="1" readingOrder="1"/>
      <protection locked="0"/>
    </xf>
    <xf numFmtId="164" fontId="18" fillId="0" borderId="5" xfId="1" applyNumberFormat="1" applyFont="1" applyBorder="1"/>
    <xf numFmtId="1" fontId="18" fillId="0" borderId="26" xfId="0" applyNumberFormat="1" applyFont="1" applyBorder="1"/>
    <xf numFmtId="0" fontId="19" fillId="0" borderId="2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7" fillId="2" borderId="27" xfId="1" applyNumberFormat="1" applyFont="1" applyFill="1" applyBorder="1" applyAlignment="1" applyProtection="1">
      <alignment horizontal="left" vertical="center" wrapText="1" readingOrder="1"/>
      <protection locked="0"/>
    </xf>
    <xf numFmtId="164" fontId="7" fillId="2" borderId="20" xfId="1" applyNumberFormat="1" applyFont="1" applyFill="1" applyBorder="1" applyAlignment="1" applyProtection="1">
      <alignment horizontal="left" vertical="center" wrapText="1" readingOrder="1"/>
      <protection locked="0"/>
    </xf>
    <xf numFmtId="0" fontId="7" fillId="2" borderId="14" xfId="0" applyFont="1" applyFill="1" applyBorder="1" applyAlignment="1" applyProtection="1">
      <alignment horizontal="left" vertical="center" wrapText="1" readingOrder="1"/>
      <protection locked="0"/>
    </xf>
    <xf numFmtId="0" fontId="7" fillId="2" borderId="6" xfId="0" applyFont="1" applyFill="1" applyBorder="1" applyAlignment="1" applyProtection="1">
      <alignment horizontal="left" vertical="center" wrapText="1" readingOrder="1"/>
      <protection locked="0"/>
    </xf>
    <xf numFmtId="0" fontId="5" fillId="2" borderId="11" xfId="0" applyFont="1" applyFill="1" applyBorder="1" applyAlignment="1" applyProtection="1">
      <alignment horizontal="center" vertical="center" wrapText="1" readingOrder="1"/>
      <protection locked="0"/>
    </xf>
    <xf numFmtId="0" fontId="5" fillId="2" borderId="12" xfId="0" applyFont="1" applyFill="1" applyBorder="1" applyAlignment="1" applyProtection="1">
      <alignment horizontal="center" vertical="center" wrapText="1" readingOrder="1"/>
      <protection locked="0"/>
    </xf>
    <xf numFmtId="0" fontId="5" fillId="2" borderId="14" xfId="0" applyFont="1" applyFill="1" applyBorder="1" applyAlignment="1" applyProtection="1">
      <alignment horizontal="center" vertical="center" wrapText="1" readingOrder="1"/>
      <protection locked="0"/>
    </xf>
    <xf numFmtId="0" fontId="5" fillId="2" borderId="6" xfId="0" applyFont="1" applyFill="1" applyBorder="1" applyAlignment="1" applyProtection="1">
      <alignment horizontal="center" vertical="center" wrapText="1" readingOrder="1"/>
      <protection locked="0"/>
    </xf>
    <xf numFmtId="0" fontId="4" fillId="2" borderId="1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 applyProtection="1">
      <alignment horizontal="left" vertical="center" wrapText="1" readingOrder="1"/>
      <protection locked="0"/>
    </xf>
    <xf numFmtId="0" fontId="4" fillId="2" borderId="6" xfId="0" applyFont="1" applyFill="1" applyBorder="1" applyAlignment="1" applyProtection="1">
      <alignment horizontal="left" vertical="center" wrapText="1" readingOrder="1"/>
      <protection locked="0"/>
    </xf>
    <xf numFmtId="0" fontId="5" fillId="2" borderId="14" xfId="0" applyFont="1" applyFill="1" applyBorder="1" applyAlignment="1" applyProtection="1">
      <alignment horizontal="left" vertical="center" wrapText="1" readingOrder="1"/>
      <protection locked="0"/>
    </xf>
    <xf numFmtId="0" fontId="5" fillId="2" borderId="6" xfId="0" applyFont="1" applyFill="1" applyBorder="1" applyAlignment="1" applyProtection="1">
      <alignment horizontal="left" vertical="center" wrapText="1" readingOrder="1"/>
      <protection locked="0"/>
    </xf>
    <xf numFmtId="0" fontId="5" fillId="2" borderId="0" xfId="0" applyFont="1" applyFill="1" applyAlignment="1" applyProtection="1">
      <alignment horizontal="center" vertical="center" wrapText="1" readingOrder="1"/>
      <protection locked="0"/>
    </xf>
    <xf numFmtId="0" fontId="3" fillId="2" borderId="0" xfId="0" applyFont="1" applyFill="1" applyAlignment="1" applyProtection="1">
      <alignment horizontal="center" vertical="center" wrapText="1" readingOrder="1"/>
      <protection locked="0"/>
    </xf>
    <xf numFmtId="0" fontId="5" fillId="2" borderId="0" xfId="0" applyFont="1" applyFill="1" applyBorder="1" applyAlignment="1" applyProtection="1">
      <alignment horizontal="left" vertical="center" wrapText="1" readingOrder="1"/>
      <protection locked="0"/>
    </xf>
    <xf numFmtId="164" fontId="5" fillId="2" borderId="12" xfId="1" applyNumberFormat="1" applyFont="1" applyFill="1" applyBorder="1" applyAlignment="1" applyProtection="1">
      <alignment horizontal="center" vertical="center" wrapText="1" readingOrder="1"/>
      <protection locked="0"/>
    </xf>
    <xf numFmtId="164" fontId="5" fillId="2" borderId="13" xfId="1" applyNumberFormat="1" applyFont="1" applyFill="1" applyBorder="1" applyAlignment="1" applyProtection="1">
      <alignment horizontal="center" vertical="center" wrapText="1" readingOrder="1"/>
      <protection locked="0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 applyProtection="1">
      <alignment horizontal="center" vertical="center" wrapText="1" readingOrder="1"/>
      <protection locked="0"/>
    </xf>
    <xf numFmtId="0" fontId="5" fillId="2" borderId="4" xfId="0" applyFont="1" applyFill="1" applyBorder="1" applyAlignment="1" applyProtection="1">
      <alignment horizontal="center" vertical="center" wrapText="1" readingOrder="1"/>
      <protection locked="0"/>
    </xf>
    <xf numFmtId="0" fontId="5" fillId="2" borderId="6" xfId="0" applyFont="1" applyFill="1" applyBorder="1" applyAlignment="1" applyProtection="1">
      <alignment vertical="center" wrapText="1" readingOrder="1"/>
      <protection locked="0"/>
    </xf>
    <xf numFmtId="164" fontId="5" fillId="2" borderId="20" xfId="1" applyNumberFormat="1" applyFont="1" applyFill="1" applyBorder="1" applyAlignment="1" applyProtection="1">
      <alignment vertical="center" wrapText="1" readingOrder="1"/>
      <protection locked="0"/>
    </xf>
    <xf numFmtId="164" fontId="5" fillId="2" borderId="17" xfId="1" applyNumberFormat="1" applyFont="1" applyFill="1" applyBorder="1" applyAlignment="1" applyProtection="1">
      <alignment vertical="center" wrapText="1" readingOrder="1"/>
      <protection locked="0"/>
    </xf>
    <xf numFmtId="0" fontId="5" fillId="2" borderId="10" xfId="0" applyFont="1" applyFill="1" applyBorder="1" applyAlignment="1" applyProtection="1">
      <alignment vertical="center" wrapText="1" readingOrder="1"/>
      <protection locked="0"/>
    </xf>
    <xf numFmtId="0" fontId="5" fillId="2" borderId="5" xfId="0" applyFont="1" applyFill="1" applyBorder="1" applyAlignment="1" applyProtection="1">
      <alignment vertical="center" wrapText="1" readingOrder="1"/>
      <protection locked="0"/>
    </xf>
    <xf numFmtId="0" fontId="5" fillId="2" borderId="4" xfId="0" applyFont="1" applyFill="1" applyBorder="1" applyAlignment="1" applyProtection="1">
      <alignment vertical="center" wrapText="1" readingOrder="1"/>
      <protection locked="0"/>
    </xf>
    <xf numFmtId="164" fontId="5" fillId="2" borderId="4" xfId="1" applyNumberFormat="1" applyFont="1" applyFill="1" applyBorder="1" applyAlignment="1" applyProtection="1">
      <alignment vertical="center" wrapText="1" readingOrder="1"/>
      <protection locked="0"/>
    </xf>
    <xf numFmtId="164" fontId="5" fillId="2" borderId="6" xfId="1" applyNumberFormat="1" applyFont="1" applyFill="1" applyBorder="1" applyAlignment="1" applyProtection="1">
      <alignment vertical="center" wrapText="1" readingOrder="1"/>
      <protection locked="0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64" fontId="5" fillId="2" borderId="14" xfId="1" applyNumberFormat="1" applyFont="1" applyFill="1" applyBorder="1" applyAlignment="1" applyProtection="1">
      <alignment horizontal="center" vertical="center" wrapText="1" readingOrder="1"/>
      <protection locked="0"/>
    </xf>
    <xf numFmtId="164" fontId="5" fillId="2" borderId="6" xfId="1" applyNumberFormat="1" applyFont="1" applyFill="1" applyBorder="1" applyAlignment="1" applyProtection="1">
      <alignment horizontal="center" vertical="center" wrapText="1" readingOrder="1"/>
      <protection locked="0"/>
    </xf>
    <xf numFmtId="164" fontId="7" fillId="2" borderId="16" xfId="1" applyNumberFormat="1" applyFont="1" applyFill="1" applyBorder="1" applyAlignment="1" applyProtection="1">
      <alignment horizontal="left" vertical="center" wrapText="1" readingOrder="1"/>
      <protection locked="0"/>
    </xf>
    <xf numFmtId="164" fontId="7" fillId="2" borderId="17" xfId="1" applyNumberFormat="1" applyFont="1" applyFill="1" applyBorder="1" applyAlignment="1" applyProtection="1">
      <alignment horizontal="left" vertical="center" wrapText="1" readingOrder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left" vertical="center" wrapText="1" readingOrder="1"/>
      <protection locked="0"/>
    </xf>
    <xf numFmtId="0" fontId="7" fillId="2" borderId="4" xfId="0" applyFont="1" applyFill="1" applyBorder="1" applyAlignment="1" applyProtection="1">
      <alignment horizontal="left" vertical="center" wrapText="1" readingOrder="1"/>
      <protection locked="0"/>
    </xf>
    <xf numFmtId="164" fontId="5" fillId="2" borderId="2" xfId="1" applyNumberFormat="1" applyFont="1" applyFill="1" applyBorder="1" applyAlignment="1" applyProtection="1">
      <alignment horizontal="center" vertical="center" wrapText="1" readingOrder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 readingOrder="1"/>
      <protection locked="0"/>
    </xf>
    <xf numFmtId="164" fontId="5" fillId="2" borderId="4" xfId="1" applyNumberFormat="1" applyFont="1" applyFill="1" applyBorder="1" applyAlignment="1" applyProtection="1">
      <alignment horizontal="center" vertical="center" wrapText="1" readingOrder="1"/>
      <protection locked="0"/>
    </xf>
    <xf numFmtId="0" fontId="5" fillId="2" borderId="7" xfId="0" applyFont="1" applyFill="1" applyBorder="1" applyAlignment="1" applyProtection="1">
      <alignment horizontal="center" vertical="center" wrapText="1" readingOrder="1"/>
      <protection locked="0"/>
    </xf>
    <xf numFmtId="0" fontId="5" fillId="2" borderId="8" xfId="0" applyFont="1" applyFill="1" applyBorder="1" applyAlignment="1" applyProtection="1">
      <alignment horizontal="center" vertical="center" wrapText="1" readingOrder="1"/>
      <protection locked="0"/>
    </xf>
    <xf numFmtId="0" fontId="5" fillId="2" borderId="9" xfId="0" applyFont="1" applyFill="1" applyBorder="1" applyAlignment="1" applyProtection="1">
      <alignment horizontal="center" vertical="center" wrapText="1" readingOrder="1"/>
      <protection locked="0"/>
    </xf>
    <xf numFmtId="0" fontId="5" fillId="2" borderId="10" xfId="0" applyFont="1" applyFill="1" applyBorder="1" applyAlignment="1" applyProtection="1">
      <alignment horizontal="center" vertical="center" wrapText="1" readingOrder="1"/>
      <protection locked="0"/>
    </xf>
    <xf numFmtId="0" fontId="5" fillId="2" borderId="2" xfId="0" applyFont="1" applyFill="1" applyBorder="1" applyAlignment="1" applyProtection="1">
      <alignment horizontal="center" vertical="center" wrapText="1" readingOrder="1"/>
      <protection locked="0"/>
    </xf>
    <xf numFmtId="0" fontId="7" fillId="2" borderId="16" xfId="0" applyFont="1" applyFill="1" applyBorder="1" applyAlignment="1" applyProtection="1">
      <alignment horizontal="left" vertical="center" wrapText="1" readingOrder="1"/>
      <protection locked="0"/>
    </xf>
    <xf numFmtId="0" fontId="7" fillId="2" borderId="17" xfId="0" applyFont="1" applyFill="1" applyBorder="1" applyAlignment="1" applyProtection="1">
      <alignment horizontal="left" vertical="center" wrapText="1" readingOrder="1"/>
      <protection locked="0"/>
    </xf>
    <xf numFmtId="0" fontId="4" fillId="2" borderId="14" xfId="0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SheetLayoutView="100" workbookViewId="0">
      <selection activeCell="C5" sqref="C5:L16"/>
    </sheetView>
  </sheetViews>
  <sheetFormatPr defaultRowHeight="17.25"/>
  <cols>
    <col min="1" max="1" width="12.5703125" style="2" customWidth="1"/>
    <col min="2" max="2" width="32" style="2" customWidth="1"/>
    <col min="3" max="3" width="15.5703125" style="20" customWidth="1"/>
    <col min="4" max="4" width="12.5703125" style="20" customWidth="1"/>
    <col min="5" max="5" width="19.28515625" style="20" customWidth="1"/>
    <col min="6" max="6" width="16.7109375" style="20" customWidth="1"/>
    <col min="7" max="7" width="12.85546875" style="20" customWidth="1"/>
    <col min="8" max="8" width="17.140625" style="20" customWidth="1"/>
    <col min="9" max="9" width="18" style="20" customWidth="1"/>
    <col min="10" max="10" width="14.140625" style="20" customWidth="1"/>
    <col min="11" max="11" width="19.28515625" style="20" customWidth="1"/>
    <col min="12" max="12" width="7.28515625" style="31" customWidth="1"/>
    <col min="13" max="16384" width="9.140625" style="2"/>
  </cols>
  <sheetData>
    <row r="1" spans="1:12" s="1" customFormat="1" ht="47.25" customHeight="1">
      <c r="A1" s="108" t="s">
        <v>50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30"/>
    </row>
    <row r="2" spans="1:12" ht="14.25" customHeight="1" thickBo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30.75" customHeight="1">
      <c r="A3" s="98" t="s">
        <v>2</v>
      </c>
      <c r="B3" s="99"/>
      <c r="C3" s="111" t="s">
        <v>3</v>
      </c>
      <c r="D3" s="111"/>
      <c r="E3" s="111"/>
      <c r="F3" s="111" t="s">
        <v>4</v>
      </c>
      <c r="G3" s="111"/>
      <c r="H3" s="111"/>
      <c r="I3" s="111" t="s">
        <v>5</v>
      </c>
      <c r="J3" s="111"/>
      <c r="K3" s="111"/>
      <c r="L3" s="112"/>
    </row>
    <row r="4" spans="1:12" ht="65.25" customHeight="1">
      <c r="A4" s="100"/>
      <c r="B4" s="101"/>
      <c r="C4" s="28" t="s">
        <v>47</v>
      </c>
      <c r="D4" s="28" t="s">
        <v>7</v>
      </c>
      <c r="E4" s="28" t="s">
        <v>8</v>
      </c>
      <c r="F4" s="28" t="s">
        <v>9</v>
      </c>
      <c r="G4" s="28" t="s">
        <v>7</v>
      </c>
      <c r="H4" s="28" t="s">
        <v>8</v>
      </c>
      <c r="I4" s="28" t="s">
        <v>9</v>
      </c>
      <c r="J4" s="28" t="s">
        <v>7</v>
      </c>
      <c r="K4" s="28" t="s">
        <v>8</v>
      </c>
      <c r="L4" s="74" t="s">
        <v>35</v>
      </c>
    </row>
    <row r="5" spans="1:12" s="4" customFormat="1" ht="24.75" customHeight="1">
      <c r="A5" s="100" t="s">
        <v>5</v>
      </c>
      <c r="B5" s="101"/>
      <c r="C5" s="28">
        <v>703587.46130030963</v>
      </c>
      <c r="D5" s="28">
        <v>3876</v>
      </c>
      <c r="E5" s="28">
        <v>2727105000</v>
      </c>
      <c r="F5" s="28">
        <v>535020.87912087911</v>
      </c>
      <c r="G5" s="28">
        <v>1365</v>
      </c>
      <c r="H5" s="28">
        <v>730303500</v>
      </c>
      <c r="I5" s="28">
        <v>659381.86498855834</v>
      </c>
      <c r="J5" s="28">
        <v>5244</v>
      </c>
      <c r="K5" s="28">
        <v>3457798500</v>
      </c>
      <c r="L5" s="75">
        <v>100</v>
      </c>
    </row>
    <row r="6" spans="1:12" s="4" customFormat="1" ht="35.25" customHeight="1">
      <c r="A6" s="106" t="s">
        <v>44</v>
      </c>
      <c r="B6" s="107"/>
      <c r="C6" s="28">
        <v>175000</v>
      </c>
      <c r="D6" s="28">
        <v>1691</v>
      </c>
      <c r="E6" s="28">
        <v>295925000</v>
      </c>
      <c r="F6" s="28">
        <v>130000</v>
      </c>
      <c r="G6" s="28">
        <v>117</v>
      </c>
      <c r="H6" s="28">
        <v>15210000</v>
      </c>
      <c r="I6" s="28">
        <v>172087.94247787612</v>
      </c>
      <c r="J6" s="28">
        <v>1808</v>
      </c>
      <c r="K6" s="28">
        <v>311135000</v>
      </c>
      <c r="L6" s="75"/>
    </row>
    <row r="7" spans="1:12" ht="63" customHeight="1">
      <c r="A7" s="104" t="s">
        <v>43</v>
      </c>
      <c r="B7" s="105"/>
      <c r="C7" s="8">
        <v>373731.10151187907</v>
      </c>
      <c r="D7" s="8">
        <v>926</v>
      </c>
      <c r="E7" s="8">
        <v>346075000</v>
      </c>
      <c r="F7" s="8">
        <v>458280</v>
      </c>
      <c r="G7" s="8">
        <v>950</v>
      </c>
      <c r="H7" s="8">
        <v>435366000</v>
      </c>
      <c r="I7" s="8">
        <v>416546.3752665245</v>
      </c>
      <c r="J7" s="8">
        <v>1876</v>
      </c>
      <c r="K7" s="8">
        <v>781441000</v>
      </c>
      <c r="L7" s="76">
        <v>22.59937934497918</v>
      </c>
    </row>
    <row r="8" spans="1:12" s="32" customFormat="1" ht="64.5" customHeight="1">
      <c r="A8" s="96" t="s">
        <v>45</v>
      </c>
      <c r="B8" s="97"/>
      <c r="C8" s="13">
        <v>175000</v>
      </c>
      <c r="D8" s="13">
        <v>822</v>
      </c>
      <c r="E8" s="13">
        <v>143850000</v>
      </c>
      <c r="F8" s="13"/>
      <c r="G8" s="13">
        <v>0</v>
      </c>
      <c r="H8" s="13">
        <v>0</v>
      </c>
      <c r="I8" s="13">
        <v>175000</v>
      </c>
      <c r="J8" s="13">
        <v>822</v>
      </c>
      <c r="K8" s="13">
        <v>143850000</v>
      </c>
      <c r="L8" s="77"/>
    </row>
    <row r="9" spans="1:12" ht="60" customHeight="1">
      <c r="A9" s="104" t="s">
        <v>42</v>
      </c>
      <c r="B9" s="105"/>
      <c r="C9" s="8">
        <v>451171.30307467055</v>
      </c>
      <c r="D9" s="8">
        <v>683</v>
      </c>
      <c r="E9" s="8">
        <v>308150000</v>
      </c>
      <c r="F9" s="8">
        <v>930622.92358803982</v>
      </c>
      <c r="G9" s="8">
        <v>301</v>
      </c>
      <c r="H9" s="8">
        <v>280117500</v>
      </c>
      <c r="I9" s="8">
        <v>597832.82520325202</v>
      </c>
      <c r="J9" s="8">
        <v>984</v>
      </c>
      <c r="K9" s="8">
        <v>588267500</v>
      </c>
      <c r="L9" s="76">
        <v>17.012775614310666</v>
      </c>
    </row>
    <row r="10" spans="1:12" s="32" customFormat="1" ht="21.75" customHeight="1">
      <c r="A10" s="96" t="s">
        <v>30</v>
      </c>
      <c r="B10" s="97"/>
      <c r="C10" s="13">
        <v>175000</v>
      </c>
      <c r="D10" s="13">
        <v>566</v>
      </c>
      <c r="E10" s="13">
        <v>99050000</v>
      </c>
      <c r="F10" s="13"/>
      <c r="G10" s="13">
        <v>0</v>
      </c>
      <c r="H10" s="13">
        <v>0</v>
      </c>
      <c r="I10" s="13">
        <v>175000</v>
      </c>
      <c r="J10" s="13">
        <v>566</v>
      </c>
      <c r="K10" s="13">
        <v>99050000</v>
      </c>
      <c r="L10" s="77"/>
    </row>
    <row r="11" spans="1:12" ht="42" customHeight="1">
      <c r="A11" s="104" t="s">
        <v>41</v>
      </c>
      <c r="B11" s="105"/>
      <c r="C11" s="8">
        <v>1379283.3607907742</v>
      </c>
      <c r="D11" s="8">
        <v>607</v>
      </c>
      <c r="E11" s="8">
        <v>837225000</v>
      </c>
      <c r="F11" s="8">
        <v>130000</v>
      </c>
      <c r="G11" s="8">
        <v>114</v>
      </c>
      <c r="H11" s="8">
        <v>14820000</v>
      </c>
      <c r="I11" s="8">
        <v>1177396.408839779</v>
      </c>
      <c r="J11" s="8">
        <v>724</v>
      </c>
      <c r="K11" s="8">
        <v>852435000</v>
      </c>
      <c r="L11" s="76">
        <v>24.652535421020051</v>
      </c>
    </row>
    <row r="12" spans="1:12" s="32" customFormat="1" ht="35.25" customHeight="1">
      <c r="A12" s="96" t="s">
        <v>30</v>
      </c>
      <c r="B12" s="97"/>
      <c r="C12" s="13">
        <v>175000</v>
      </c>
      <c r="D12" s="13">
        <v>188</v>
      </c>
      <c r="E12" s="13">
        <v>32900000</v>
      </c>
      <c r="F12" s="13">
        <v>130000</v>
      </c>
      <c r="G12" s="13">
        <v>117</v>
      </c>
      <c r="H12" s="13">
        <v>15210000</v>
      </c>
      <c r="I12" s="13">
        <v>157737.70491803277</v>
      </c>
      <c r="J12" s="13">
        <v>305</v>
      </c>
      <c r="K12" s="13">
        <v>48110000</v>
      </c>
      <c r="L12" s="77"/>
    </row>
    <row r="13" spans="1:12" ht="40.5" customHeight="1">
      <c r="A13" s="102" t="s">
        <v>40</v>
      </c>
      <c r="B13" s="103"/>
      <c r="C13" s="8">
        <v>659810.3448275862</v>
      </c>
      <c r="D13" s="8">
        <v>1450</v>
      </c>
      <c r="E13" s="8">
        <v>956725000</v>
      </c>
      <c r="F13" s="8"/>
      <c r="G13" s="8">
        <v>0</v>
      </c>
      <c r="H13" s="8">
        <v>0</v>
      </c>
      <c r="I13" s="8">
        <v>659810.3448275862</v>
      </c>
      <c r="J13" s="8">
        <v>1450</v>
      </c>
      <c r="K13" s="8">
        <v>956725000</v>
      </c>
      <c r="L13" s="76">
        <v>27.668616317578941</v>
      </c>
    </row>
    <row r="14" spans="1:12" s="32" customFormat="1" ht="24" customHeight="1" collapsed="1">
      <c r="A14" s="96" t="s">
        <v>30</v>
      </c>
      <c r="B14" s="97"/>
      <c r="C14" s="13">
        <v>175000</v>
      </c>
      <c r="D14" s="13">
        <v>111</v>
      </c>
      <c r="E14" s="13">
        <v>19425000</v>
      </c>
      <c r="F14" s="33"/>
      <c r="G14" s="13">
        <v>0</v>
      </c>
      <c r="H14" s="13">
        <v>0</v>
      </c>
      <c r="I14" s="13">
        <v>175000</v>
      </c>
      <c r="J14" s="13">
        <v>111</v>
      </c>
      <c r="K14" s="13">
        <v>19425000</v>
      </c>
      <c r="L14" s="77"/>
    </row>
    <row r="15" spans="1:12" ht="44.25" customHeight="1">
      <c r="A15" s="104" t="s">
        <v>39</v>
      </c>
      <c r="B15" s="105"/>
      <c r="C15" s="8">
        <v>1350631.067961165</v>
      </c>
      <c r="D15" s="8">
        <v>206</v>
      </c>
      <c r="E15" s="8">
        <v>278230000</v>
      </c>
      <c r="F15" s="28"/>
      <c r="G15" s="8">
        <v>0</v>
      </c>
      <c r="H15" s="8">
        <v>0</v>
      </c>
      <c r="I15" s="8">
        <v>1350631.067961165</v>
      </c>
      <c r="J15" s="8">
        <v>206</v>
      </c>
      <c r="K15" s="8">
        <v>278230000</v>
      </c>
      <c r="L15" s="76">
        <v>8.046449207494307</v>
      </c>
    </row>
    <row r="16" spans="1:12" s="32" customFormat="1" ht="29.25" customHeight="1">
      <c r="A16" s="96" t="s">
        <v>30</v>
      </c>
      <c r="B16" s="97"/>
      <c r="C16" s="13" t="s">
        <v>38</v>
      </c>
      <c r="D16" s="13">
        <v>0</v>
      </c>
      <c r="E16" s="13">
        <v>0</v>
      </c>
      <c r="F16" s="33"/>
      <c r="G16" s="13">
        <v>0</v>
      </c>
      <c r="H16" s="13">
        <v>0</v>
      </c>
      <c r="I16" s="13"/>
      <c r="J16" s="13">
        <v>0</v>
      </c>
      <c r="K16" s="13">
        <v>0</v>
      </c>
      <c r="L16" s="77"/>
    </row>
    <row r="17" spans="1:12" s="34" customFormat="1" ht="51" hidden="1" customHeight="1" thickBot="1">
      <c r="A17" s="94" t="s">
        <v>31</v>
      </c>
      <c r="B17" s="95"/>
      <c r="C17" s="59">
        <f t="shared" ref="C15:C17" si="0">E17/D17</f>
        <v>175000</v>
      </c>
      <c r="D17" s="59">
        <v>4</v>
      </c>
      <c r="E17" s="59">
        <v>700000</v>
      </c>
      <c r="F17" s="78"/>
      <c r="G17" s="59">
        <v>0</v>
      </c>
      <c r="H17" s="59">
        <v>0</v>
      </c>
      <c r="I17" s="59">
        <f t="shared" ref="I7:I17" si="1">K17/J17</f>
        <v>175000</v>
      </c>
      <c r="J17" s="66">
        <v>4</v>
      </c>
      <c r="K17" s="59">
        <v>700000</v>
      </c>
      <c r="L17" s="79">
        <f>K17/K5*100</f>
        <v>2.0244094616849423E-2</v>
      </c>
    </row>
  </sheetData>
  <mergeCells count="19">
    <mergeCell ref="A1:K1"/>
    <mergeCell ref="A2:K2"/>
    <mergeCell ref="C3:E3"/>
    <mergeCell ref="F3:H3"/>
    <mergeCell ref="I3:L3"/>
    <mergeCell ref="A17:B17"/>
    <mergeCell ref="A8:B8"/>
    <mergeCell ref="A10:B10"/>
    <mergeCell ref="A3:B4"/>
    <mergeCell ref="A12:B12"/>
    <mergeCell ref="A13:B13"/>
    <mergeCell ref="A16:B16"/>
    <mergeCell ref="A14:B14"/>
    <mergeCell ref="A5:B5"/>
    <mergeCell ref="A7:B7"/>
    <mergeCell ref="A9:B9"/>
    <mergeCell ref="A11:B11"/>
    <mergeCell ref="A15:B15"/>
    <mergeCell ref="A6:B6"/>
  </mergeCells>
  <printOptions horizontalCentered="1"/>
  <pageMargins left="0.19" right="0.16" top="0.45" bottom="0.15" header="0" footer="0"/>
  <pageSetup paperSize="9"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M11"/>
  <sheetViews>
    <sheetView view="pageBreakPreview" zoomScale="90" zoomScaleSheetLayoutView="90" workbookViewId="0">
      <selection activeCell="K20" activeCellId="1" sqref="E6 K20"/>
    </sheetView>
  </sheetViews>
  <sheetFormatPr defaultRowHeight="15"/>
  <cols>
    <col min="1" max="1" width="24.42578125" bestFit="1" customWidth="1"/>
    <col min="2" max="2" width="36.7109375" bestFit="1" customWidth="1"/>
    <col min="3" max="3" width="13.5703125" bestFit="1" customWidth="1"/>
    <col min="4" max="4" width="12" customWidth="1"/>
    <col min="5" max="5" width="17.140625" bestFit="1" customWidth="1"/>
    <col min="6" max="6" width="12.140625" bestFit="1" customWidth="1"/>
    <col min="7" max="7" width="12.28515625" customWidth="1"/>
    <col min="8" max="8" width="16.42578125" bestFit="1" customWidth="1"/>
    <col min="9" max="9" width="14.140625" bestFit="1" customWidth="1"/>
    <col min="10" max="10" width="11.28515625" customWidth="1"/>
    <col min="11" max="11" width="18.42578125" bestFit="1" customWidth="1"/>
  </cols>
  <sheetData>
    <row r="1" spans="1:143" s="2" customFormat="1" ht="30.75" customHeight="1">
      <c r="A1" s="98" t="s">
        <v>2</v>
      </c>
      <c r="B1" s="99"/>
      <c r="C1" s="111" t="s">
        <v>3</v>
      </c>
      <c r="D1" s="111"/>
      <c r="E1" s="111"/>
      <c r="F1" s="111" t="s">
        <v>4</v>
      </c>
      <c r="G1" s="111"/>
      <c r="H1" s="111"/>
      <c r="I1" s="111" t="s">
        <v>5</v>
      </c>
      <c r="J1" s="111"/>
      <c r="K1" s="111"/>
      <c r="L1" s="125" t="s">
        <v>35</v>
      </c>
    </row>
    <row r="2" spans="1:143" s="2" customFormat="1" ht="65.25" customHeight="1">
      <c r="A2" s="100"/>
      <c r="B2" s="101"/>
      <c r="C2" s="28" t="s">
        <v>9</v>
      </c>
      <c r="D2" s="28" t="s">
        <v>7</v>
      </c>
      <c r="E2" s="28" t="s">
        <v>8</v>
      </c>
      <c r="F2" s="28" t="s">
        <v>9</v>
      </c>
      <c r="G2" s="28" t="s">
        <v>7</v>
      </c>
      <c r="H2" s="28" t="s">
        <v>8</v>
      </c>
      <c r="I2" s="28" t="s">
        <v>9</v>
      </c>
      <c r="J2" s="28" t="s">
        <v>7</v>
      </c>
      <c r="K2" s="28" t="s">
        <v>8</v>
      </c>
      <c r="L2" s="126"/>
    </row>
    <row r="3" spans="1:143" s="7" customFormat="1" ht="24.75" customHeight="1" collapsed="1">
      <c r="A3" s="127" t="s">
        <v>25</v>
      </c>
      <c r="B3" s="128"/>
      <c r="C3" s="28">
        <f>E3/D3</f>
        <v>420744.68085106381</v>
      </c>
      <c r="D3" s="28">
        <f>D4+D6+D8+D10</f>
        <v>141</v>
      </c>
      <c r="E3" s="28">
        <f>E4+E6+E8+E10</f>
        <v>59325000</v>
      </c>
      <c r="F3" s="28">
        <f>H3/G3</f>
        <v>538437.5</v>
      </c>
      <c r="G3" s="28">
        <f>G4+G6+G8+G10</f>
        <v>16</v>
      </c>
      <c r="H3" s="28">
        <f>H4+H6+H8+H10</f>
        <v>8615000</v>
      </c>
      <c r="I3" s="28">
        <f>K3/J3</f>
        <v>432738.85350318474</v>
      </c>
      <c r="J3" s="28">
        <f>J4+J6+J8+J10</f>
        <v>157</v>
      </c>
      <c r="K3" s="28">
        <f>K4+K6+K8+K10</f>
        <v>67940000</v>
      </c>
      <c r="L3" s="40">
        <f>L4+L6+L8+L10</f>
        <v>100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</row>
    <row r="4" spans="1:143" s="7" customFormat="1" ht="33.75" customHeight="1">
      <c r="A4" s="104" t="s">
        <v>10</v>
      </c>
      <c r="B4" s="105"/>
      <c r="C4" s="8">
        <f>E4/D4</f>
        <v>200000</v>
      </c>
      <c r="D4" s="8">
        <v>57</v>
      </c>
      <c r="E4" s="8">
        <v>11400000</v>
      </c>
      <c r="F4" s="8">
        <f>H4/G4</f>
        <v>426250</v>
      </c>
      <c r="G4" s="8">
        <v>12</v>
      </c>
      <c r="H4" s="8">
        <v>5115000</v>
      </c>
      <c r="I4" s="8">
        <f>K4/J4</f>
        <v>239347.82608695651</v>
      </c>
      <c r="J4" s="9">
        <v>69</v>
      </c>
      <c r="K4" s="8">
        <v>16515000</v>
      </c>
      <c r="L4" s="40">
        <f>K4*100/K3</f>
        <v>24.308213129231675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143" s="52" customFormat="1" ht="17.25">
      <c r="A5" s="96" t="s">
        <v>30</v>
      </c>
      <c r="B5" s="97"/>
      <c r="C5" s="8">
        <f t="shared" ref="C5:C11" si="0">E5/D5</f>
        <v>175000</v>
      </c>
      <c r="D5" s="13">
        <v>56</v>
      </c>
      <c r="E5" s="13">
        <v>9800000</v>
      </c>
      <c r="F5" s="8"/>
      <c r="G5" s="17">
        <v>0</v>
      </c>
      <c r="H5" s="17">
        <v>0</v>
      </c>
      <c r="I5" s="8">
        <f t="shared" ref="I5:I11" si="1">K5/J5</f>
        <v>175000</v>
      </c>
      <c r="J5" s="15">
        <v>56</v>
      </c>
      <c r="K5" s="13">
        <v>9800000</v>
      </c>
      <c r="L5" s="41"/>
    </row>
    <row r="6" spans="1:143" s="10" customFormat="1" ht="39.75" customHeight="1" collapsed="1">
      <c r="A6" s="104" t="s">
        <v>11</v>
      </c>
      <c r="B6" s="105"/>
      <c r="C6" s="8">
        <f t="shared" si="0"/>
        <v>550000</v>
      </c>
      <c r="D6" s="8">
        <f>3+D7</f>
        <v>13</v>
      </c>
      <c r="E6" s="8">
        <f>5400000+E7</f>
        <v>7150000</v>
      </c>
      <c r="F6" s="8">
        <f t="shared" ref="F6" si="2">H6/G6</f>
        <v>875000</v>
      </c>
      <c r="G6" s="8">
        <v>4</v>
      </c>
      <c r="H6" s="8">
        <v>3500000</v>
      </c>
      <c r="I6" s="8">
        <f t="shared" si="1"/>
        <v>626470.5882352941</v>
      </c>
      <c r="J6" s="9">
        <f>7+J7</f>
        <v>17</v>
      </c>
      <c r="K6" s="8">
        <f>8900000+K7</f>
        <v>10650000</v>
      </c>
      <c r="L6" s="40">
        <f>K6*100/K3</f>
        <v>15.675596114218427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52" customFormat="1" ht="17.25" customHeight="1">
      <c r="A7" s="96" t="s">
        <v>30</v>
      </c>
      <c r="B7" s="97"/>
      <c r="C7" s="8">
        <f t="shared" si="0"/>
        <v>175000</v>
      </c>
      <c r="D7" s="13">
        <v>10</v>
      </c>
      <c r="E7" s="13">
        <v>1750000</v>
      </c>
      <c r="F7" s="8"/>
      <c r="G7" s="17">
        <v>0</v>
      </c>
      <c r="H7" s="17">
        <v>0</v>
      </c>
      <c r="I7" s="8">
        <f t="shared" si="1"/>
        <v>175000</v>
      </c>
      <c r="J7" s="15">
        <v>10</v>
      </c>
      <c r="K7" s="13">
        <v>1750000</v>
      </c>
      <c r="L7" s="41"/>
    </row>
    <row r="8" spans="1:143" s="10" customFormat="1" ht="29.25" customHeight="1" collapsed="1">
      <c r="A8" s="104" t="s">
        <v>12</v>
      </c>
      <c r="B8" s="105"/>
      <c r="C8" s="8">
        <f t="shared" si="0"/>
        <v>670833.33333333337</v>
      </c>
      <c r="D8" s="18">
        <f>7+D9</f>
        <v>18</v>
      </c>
      <c r="E8" s="18">
        <f>10150000+E9</f>
        <v>12075000</v>
      </c>
      <c r="F8" s="8"/>
      <c r="G8" s="11">
        <v>0</v>
      </c>
      <c r="H8" s="11">
        <v>0</v>
      </c>
      <c r="I8" s="8">
        <f t="shared" si="1"/>
        <v>670833.33333333337</v>
      </c>
      <c r="J8" s="9">
        <f>7+J9</f>
        <v>18</v>
      </c>
      <c r="K8" s="8">
        <f>10150000+K9</f>
        <v>12075000</v>
      </c>
      <c r="L8" s="40">
        <f>K8/K3*100</f>
        <v>17.773035030909625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143" s="12" customFormat="1" ht="17.25">
      <c r="A9" s="96" t="s">
        <v>30</v>
      </c>
      <c r="B9" s="97"/>
      <c r="C9" s="8">
        <f t="shared" si="0"/>
        <v>175000</v>
      </c>
      <c r="D9" s="13">
        <v>11</v>
      </c>
      <c r="E9" s="13">
        <v>1925000</v>
      </c>
      <c r="F9" s="8"/>
      <c r="G9" s="17">
        <v>0</v>
      </c>
      <c r="H9" s="17">
        <v>0</v>
      </c>
      <c r="I9" s="8">
        <f t="shared" si="1"/>
        <v>175000</v>
      </c>
      <c r="J9" s="15">
        <v>11</v>
      </c>
      <c r="K9" s="13">
        <v>1925000</v>
      </c>
      <c r="L9" s="41"/>
    </row>
    <row r="10" spans="1:143" s="4" customFormat="1" ht="31.5" customHeight="1" collapsed="1">
      <c r="A10" s="102" t="s">
        <v>14</v>
      </c>
      <c r="B10" s="103"/>
      <c r="C10" s="8">
        <f t="shared" si="0"/>
        <v>541509.4339622641</v>
      </c>
      <c r="D10" s="9">
        <f>37+D11</f>
        <v>53</v>
      </c>
      <c r="E10" s="9">
        <f>25900000+E11</f>
        <v>28700000</v>
      </c>
      <c r="F10" s="8"/>
      <c r="G10" s="11">
        <v>0</v>
      </c>
      <c r="H10" s="11">
        <v>0</v>
      </c>
      <c r="I10" s="8">
        <f t="shared" si="1"/>
        <v>541509.4339622641</v>
      </c>
      <c r="J10" s="9">
        <f>37+J11</f>
        <v>53</v>
      </c>
      <c r="K10" s="8">
        <f>25900000+K11</f>
        <v>28700000</v>
      </c>
      <c r="L10" s="40">
        <f>K10/K3*100</f>
        <v>42.243155725640271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</row>
    <row r="11" spans="1:143" s="32" customFormat="1" ht="21.75" customHeight="1" thickBot="1">
      <c r="A11" s="143" t="s">
        <v>30</v>
      </c>
      <c r="B11" s="144"/>
      <c r="C11" s="57">
        <f t="shared" si="0"/>
        <v>175000</v>
      </c>
      <c r="D11" s="66">
        <v>16</v>
      </c>
      <c r="E11" s="66">
        <v>2800000</v>
      </c>
      <c r="F11" s="57"/>
      <c r="G11" s="60">
        <v>0</v>
      </c>
      <c r="H11" s="60">
        <v>0</v>
      </c>
      <c r="I11" s="57">
        <f t="shared" si="1"/>
        <v>175000</v>
      </c>
      <c r="J11" s="66">
        <v>16</v>
      </c>
      <c r="K11" s="59">
        <v>2800000</v>
      </c>
      <c r="L11" s="56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</row>
  </sheetData>
  <mergeCells count="14">
    <mergeCell ref="L1:L2"/>
    <mergeCell ref="A11:B11"/>
    <mergeCell ref="C1:E1"/>
    <mergeCell ref="F1:H1"/>
    <mergeCell ref="I1:K1"/>
    <mergeCell ref="A4:B4"/>
    <mergeCell ref="A1:B2"/>
    <mergeCell ref="A3:B3"/>
    <mergeCell ref="A6:B6"/>
    <mergeCell ref="A10:B10"/>
    <mergeCell ref="A8:B8"/>
    <mergeCell ref="A5:B5"/>
    <mergeCell ref="A7:B7"/>
    <mergeCell ref="A9:B9"/>
  </mergeCells>
  <pageMargins left="0.16" right="0.26" top="0.75" bottom="0.75" header="0.3" footer="0.3"/>
  <pageSetup paperSize="9" scale="70" orientation="landscape" r:id="rId1"/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EM11"/>
  <sheetViews>
    <sheetView view="pageBreakPreview" zoomScale="90" zoomScaleSheetLayoutView="90" workbookViewId="0">
      <selection activeCell="K20" activeCellId="1" sqref="E6 K20"/>
    </sheetView>
  </sheetViews>
  <sheetFormatPr defaultRowHeight="15"/>
  <cols>
    <col min="1" max="1" width="24.42578125" bestFit="1" customWidth="1"/>
    <col min="2" max="2" width="49" customWidth="1"/>
    <col min="3" max="3" width="13.85546875" bestFit="1" customWidth="1"/>
    <col min="4" max="4" width="11.5703125" customWidth="1"/>
    <col min="5" max="5" width="15.85546875" bestFit="1" customWidth="1"/>
    <col min="6" max="6" width="12" bestFit="1" customWidth="1"/>
    <col min="7" max="7" width="11.5703125" customWidth="1"/>
    <col min="8" max="8" width="15.28515625" bestFit="1" customWidth="1"/>
    <col min="9" max="9" width="13.85546875" bestFit="1" customWidth="1"/>
    <col min="10" max="10" width="11.7109375" customWidth="1"/>
    <col min="11" max="11" width="15.85546875" bestFit="1" customWidth="1"/>
    <col min="12" max="12" width="9.28515625" bestFit="1" customWidth="1"/>
  </cols>
  <sheetData>
    <row r="1" spans="1:143" s="2" customFormat="1" ht="30.75" customHeight="1">
      <c r="A1" s="98" t="s">
        <v>2</v>
      </c>
      <c r="B1" s="99"/>
      <c r="C1" s="111" t="s">
        <v>3</v>
      </c>
      <c r="D1" s="111"/>
      <c r="E1" s="111"/>
      <c r="F1" s="111" t="s">
        <v>4</v>
      </c>
      <c r="G1" s="111"/>
      <c r="H1" s="111"/>
      <c r="I1" s="111" t="s">
        <v>5</v>
      </c>
      <c r="J1" s="111"/>
      <c r="K1" s="111"/>
      <c r="L1" s="62"/>
    </row>
    <row r="2" spans="1:143" s="2" customFormat="1" ht="65.25" customHeight="1">
      <c r="A2" s="100"/>
      <c r="B2" s="101"/>
      <c r="C2" s="28" t="s">
        <v>9</v>
      </c>
      <c r="D2" s="28" t="s">
        <v>7</v>
      </c>
      <c r="E2" s="28" t="s">
        <v>8</v>
      </c>
      <c r="F2" s="28" t="s">
        <v>9</v>
      </c>
      <c r="G2" s="28" t="s">
        <v>7</v>
      </c>
      <c r="H2" s="28" t="s">
        <v>8</v>
      </c>
      <c r="I2" s="28" t="s">
        <v>9</v>
      </c>
      <c r="J2" s="28" t="s">
        <v>7</v>
      </c>
      <c r="K2" s="28" t="s">
        <v>8</v>
      </c>
      <c r="L2" s="63" t="s">
        <v>35</v>
      </c>
    </row>
    <row r="3" spans="1:143" s="7" customFormat="1" ht="33.75" customHeight="1" collapsed="1">
      <c r="A3" s="100" t="s">
        <v>21</v>
      </c>
      <c r="B3" s="101"/>
      <c r="C3" s="28">
        <f>E3/D3</f>
        <v>543069.3069306931</v>
      </c>
      <c r="D3" s="6">
        <f>D4+D6+D8+D10</f>
        <v>101</v>
      </c>
      <c r="E3" s="6">
        <f>E4+E6+E8+E10</f>
        <v>54850000</v>
      </c>
      <c r="F3" s="28">
        <f>H3/G3</f>
        <v>575000</v>
      </c>
      <c r="G3" s="6">
        <f>G4+G6+G8+G10</f>
        <v>34</v>
      </c>
      <c r="H3" s="6">
        <f>H4+H6+H8+H10</f>
        <v>19550000</v>
      </c>
      <c r="I3" s="28">
        <f>K3/J3</f>
        <v>551111.11111111112</v>
      </c>
      <c r="J3" s="6">
        <f>J4+J6+J8+J10</f>
        <v>135</v>
      </c>
      <c r="K3" s="6">
        <f>K4+K6+K8+K10</f>
        <v>74400000</v>
      </c>
      <c r="L3" s="40">
        <f>L4+L6+L8+L10</f>
        <v>100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</row>
    <row r="4" spans="1:143" s="7" customFormat="1" ht="34.5" customHeight="1">
      <c r="A4" s="104" t="s">
        <v>10</v>
      </c>
      <c r="B4" s="105"/>
      <c r="C4" s="8">
        <f>E4/D4</f>
        <v>1300000</v>
      </c>
      <c r="D4" s="8">
        <v>2</v>
      </c>
      <c r="E4" s="8">
        <v>2600000</v>
      </c>
      <c r="F4" s="8">
        <f>H4/G4</f>
        <v>536428.57142857148</v>
      </c>
      <c r="G4" s="9">
        <v>14</v>
      </c>
      <c r="H4" s="9">
        <v>7510000</v>
      </c>
      <c r="I4" s="8">
        <f>K4/J4</f>
        <v>631875</v>
      </c>
      <c r="J4" s="9">
        <v>16</v>
      </c>
      <c r="K4" s="8">
        <v>10110000</v>
      </c>
      <c r="L4" s="40">
        <f>K4*100/K3</f>
        <v>13.588709677419354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143" s="52" customFormat="1" ht="18">
      <c r="A5" s="96" t="s">
        <v>30</v>
      </c>
      <c r="B5" s="97"/>
      <c r="C5" s="13"/>
      <c r="D5" s="68">
        <v>0</v>
      </c>
      <c r="E5" s="69">
        <v>0</v>
      </c>
      <c r="F5" s="13"/>
      <c r="G5" s="70">
        <v>0</v>
      </c>
      <c r="H5" s="70">
        <v>0</v>
      </c>
      <c r="I5" s="13"/>
      <c r="J5" s="15">
        <v>0</v>
      </c>
      <c r="K5" s="13">
        <v>0</v>
      </c>
      <c r="L5" s="41"/>
    </row>
    <row r="6" spans="1:143" s="7" customFormat="1" ht="38.25" customHeight="1" collapsed="1">
      <c r="A6" s="104" t="s">
        <v>11</v>
      </c>
      <c r="B6" s="105"/>
      <c r="C6" s="8">
        <f t="shared" ref="C6:C10" si="0">E6/D6</f>
        <v>289230.76923076925</v>
      </c>
      <c r="D6" s="8">
        <f>5+D7</f>
        <v>65</v>
      </c>
      <c r="E6" s="8">
        <f>8300000+E7</f>
        <v>18800000</v>
      </c>
      <c r="F6" s="8">
        <f t="shared" ref="F6:F9" si="1">H6/G6</f>
        <v>916666.66666666663</v>
      </c>
      <c r="G6" s="9">
        <v>12</v>
      </c>
      <c r="H6" s="9">
        <v>11000000</v>
      </c>
      <c r="I6" s="8">
        <f t="shared" ref="I6:I10" si="2">K6/J6</f>
        <v>387012.98701298703</v>
      </c>
      <c r="J6" s="9">
        <f>17+J7</f>
        <v>77</v>
      </c>
      <c r="K6" s="8">
        <f>19300000+K7</f>
        <v>29800000</v>
      </c>
      <c r="L6" s="40">
        <f>K6*100/K3</f>
        <v>40.053763440860216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52" customFormat="1" ht="17.25">
      <c r="A7" s="96" t="s">
        <v>30</v>
      </c>
      <c r="B7" s="97"/>
      <c r="C7" s="13">
        <f t="shared" si="0"/>
        <v>175000</v>
      </c>
      <c r="D7" s="13">
        <v>60</v>
      </c>
      <c r="E7" s="13">
        <v>10500000</v>
      </c>
      <c r="F7" s="13"/>
      <c r="G7" s="51">
        <v>0</v>
      </c>
      <c r="H7" s="51">
        <v>0</v>
      </c>
      <c r="I7" s="13">
        <f t="shared" si="2"/>
        <v>175000</v>
      </c>
      <c r="J7" s="15">
        <v>60</v>
      </c>
      <c r="K7" s="13">
        <v>10500000</v>
      </c>
      <c r="L7" s="41"/>
    </row>
    <row r="8" spans="1:143" s="7" customFormat="1" ht="24" customHeight="1" collapsed="1">
      <c r="A8" s="104" t="s">
        <v>12</v>
      </c>
      <c r="B8" s="105"/>
      <c r="C8" s="8">
        <f t="shared" si="0"/>
        <v>1772222.2222222222</v>
      </c>
      <c r="D8" s="8">
        <v>9</v>
      </c>
      <c r="E8" s="8">
        <v>15950000</v>
      </c>
      <c r="F8" s="8">
        <f t="shared" si="1"/>
        <v>130000</v>
      </c>
      <c r="G8" s="8">
        <v>8</v>
      </c>
      <c r="H8" s="8">
        <v>1040000</v>
      </c>
      <c r="I8" s="8">
        <f t="shared" si="2"/>
        <v>999411.76470588241</v>
      </c>
      <c r="J8" s="9">
        <f>9+J9</f>
        <v>17</v>
      </c>
      <c r="K8" s="8">
        <f>15950000+K9</f>
        <v>16990000</v>
      </c>
      <c r="L8" s="40">
        <f>K8/K3*100</f>
        <v>22.836021505376344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143" s="52" customFormat="1" ht="17.25">
      <c r="A9" s="96" t="s">
        <v>30</v>
      </c>
      <c r="B9" s="97"/>
      <c r="C9" s="13"/>
      <c r="D9" s="17">
        <v>0</v>
      </c>
      <c r="E9" s="17">
        <v>0</v>
      </c>
      <c r="F9" s="13">
        <f t="shared" si="1"/>
        <v>130000</v>
      </c>
      <c r="G9" s="13">
        <v>8</v>
      </c>
      <c r="H9" s="13">
        <v>1040000</v>
      </c>
      <c r="I9" s="13">
        <f t="shared" si="2"/>
        <v>130000</v>
      </c>
      <c r="J9" s="15">
        <v>8</v>
      </c>
      <c r="K9" s="13">
        <v>1040000</v>
      </c>
      <c r="L9" s="41"/>
    </row>
    <row r="10" spans="1:143" s="4" customFormat="1" ht="20.25" customHeight="1" collapsed="1">
      <c r="A10" s="104" t="s">
        <v>14</v>
      </c>
      <c r="B10" s="105"/>
      <c r="C10" s="8">
        <f t="shared" si="0"/>
        <v>700000</v>
      </c>
      <c r="D10" s="8">
        <v>25</v>
      </c>
      <c r="E10" s="8">
        <v>17500000</v>
      </c>
      <c r="F10" s="8"/>
      <c r="G10" s="11">
        <v>0</v>
      </c>
      <c r="H10" s="11">
        <v>0</v>
      </c>
      <c r="I10" s="8">
        <f t="shared" si="2"/>
        <v>700000</v>
      </c>
      <c r="J10" s="9">
        <v>25</v>
      </c>
      <c r="K10" s="8">
        <v>17500000</v>
      </c>
      <c r="L10" s="40">
        <f>K10/K3*100</f>
        <v>23.521505376344088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</row>
    <row r="11" spans="1:143" s="32" customFormat="1" ht="21.75" customHeight="1" thickBot="1">
      <c r="A11" s="143" t="s">
        <v>30</v>
      </c>
      <c r="B11" s="144"/>
      <c r="C11" s="59"/>
      <c r="D11" s="59"/>
      <c r="E11" s="59"/>
      <c r="F11" s="60"/>
      <c r="G11" s="60"/>
      <c r="H11" s="60"/>
      <c r="I11" s="59"/>
      <c r="J11" s="66"/>
      <c r="K11" s="59"/>
      <c r="L11" s="56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</row>
  </sheetData>
  <mergeCells count="13">
    <mergeCell ref="I1:K1"/>
    <mergeCell ref="A5:B5"/>
    <mergeCell ref="A7:B7"/>
    <mergeCell ref="A9:B9"/>
    <mergeCell ref="A8:B8"/>
    <mergeCell ref="A4:B4"/>
    <mergeCell ref="A6:B6"/>
    <mergeCell ref="A11:B11"/>
    <mergeCell ref="A1:B2"/>
    <mergeCell ref="A3:B3"/>
    <mergeCell ref="C1:E1"/>
    <mergeCell ref="F1:H1"/>
    <mergeCell ref="A10:B10"/>
  </mergeCells>
  <pageMargins left="0.16" right="0.16" top="0.75" bottom="0.75" header="0.3" footer="0.3"/>
  <pageSetup paperSize="9" scale="70" orientation="landscape" r:id="rId1"/>
  <colBreaks count="1" manualBreakCount="1">
    <brk id="1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EM11"/>
  <sheetViews>
    <sheetView view="pageBreakPreview" zoomScaleSheetLayoutView="100" workbookViewId="0">
      <selection activeCell="K20" activeCellId="1" sqref="E6 K20"/>
    </sheetView>
  </sheetViews>
  <sheetFormatPr defaultRowHeight="15"/>
  <cols>
    <col min="1" max="1" width="24.42578125" bestFit="1" customWidth="1"/>
    <col min="2" max="2" width="39.28515625" customWidth="1"/>
    <col min="3" max="3" width="14.42578125" bestFit="1" customWidth="1"/>
    <col min="4" max="4" width="12" customWidth="1"/>
    <col min="5" max="5" width="15.85546875" customWidth="1"/>
    <col min="6" max="7" width="12.85546875" customWidth="1"/>
    <col min="8" max="8" width="17.28515625" bestFit="1" customWidth="1"/>
    <col min="9" max="9" width="13.7109375" customWidth="1"/>
    <col min="10" max="10" width="11.7109375" customWidth="1"/>
    <col min="11" max="11" width="17.85546875" customWidth="1"/>
    <col min="12" max="12" width="9.28515625" bestFit="1" customWidth="1"/>
  </cols>
  <sheetData>
    <row r="1" spans="1:143" s="2" customFormat="1" ht="30.75" customHeight="1">
      <c r="A1" s="98" t="s">
        <v>2</v>
      </c>
      <c r="B1" s="99"/>
      <c r="C1" s="111" t="s">
        <v>3</v>
      </c>
      <c r="D1" s="111"/>
      <c r="E1" s="111"/>
      <c r="F1" s="111" t="s">
        <v>4</v>
      </c>
      <c r="G1" s="111"/>
      <c r="H1" s="111"/>
      <c r="I1" s="111" t="s">
        <v>5</v>
      </c>
      <c r="J1" s="111"/>
      <c r="K1" s="111"/>
      <c r="L1" s="62"/>
    </row>
    <row r="2" spans="1:143" s="2" customFormat="1" ht="65.25" customHeight="1">
      <c r="A2" s="100"/>
      <c r="B2" s="101"/>
      <c r="C2" s="28" t="s">
        <v>9</v>
      </c>
      <c r="D2" s="28" t="s">
        <v>7</v>
      </c>
      <c r="E2" s="28" t="s">
        <v>8</v>
      </c>
      <c r="F2" s="28" t="s">
        <v>9</v>
      </c>
      <c r="G2" s="28" t="s">
        <v>7</v>
      </c>
      <c r="H2" s="28" t="s">
        <v>8</v>
      </c>
      <c r="I2" s="28" t="s">
        <v>9</v>
      </c>
      <c r="J2" s="28" t="s">
        <v>7</v>
      </c>
      <c r="K2" s="28" t="s">
        <v>8</v>
      </c>
      <c r="L2" s="63" t="s">
        <v>35</v>
      </c>
    </row>
    <row r="3" spans="1:143" s="12" customFormat="1" ht="34.5" customHeight="1" collapsed="1">
      <c r="A3" s="100" t="s">
        <v>26</v>
      </c>
      <c r="B3" s="101"/>
      <c r="C3" s="28">
        <f>E3/D3</f>
        <v>528424.65753424657</v>
      </c>
      <c r="D3" s="28">
        <f>D4+D6+D8+D10</f>
        <v>146</v>
      </c>
      <c r="E3" s="28">
        <f>E4+E6+E8+E10</f>
        <v>77150000</v>
      </c>
      <c r="F3" s="28">
        <f>H3/G3</f>
        <v>866875</v>
      </c>
      <c r="G3" s="28">
        <f>G4+G6+G8+G10</f>
        <v>8</v>
      </c>
      <c r="H3" s="28">
        <f>H4+H6+H8+H10</f>
        <v>6935000</v>
      </c>
      <c r="I3" s="28">
        <f>K3/J3</f>
        <v>546006.49350649351</v>
      </c>
      <c r="J3" s="28">
        <f>J4+J6+J8+J10</f>
        <v>154</v>
      </c>
      <c r="K3" s="28">
        <f>K4+K6+K8+K10</f>
        <v>84085000</v>
      </c>
      <c r="L3" s="40">
        <f>L4+L6+L8+L10</f>
        <v>100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</row>
    <row r="4" spans="1:143" s="12" customFormat="1" ht="34.5" customHeight="1">
      <c r="A4" s="104" t="s">
        <v>10</v>
      </c>
      <c r="B4" s="105"/>
      <c r="C4" s="8">
        <f>E4/D4</f>
        <v>286250</v>
      </c>
      <c r="D4" s="8">
        <f>3+D5</f>
        <v>60</v>
      </c>
      <c r="E4" s="8">
        <f>7200000+E5</f>
        <v>17175000</v>
      </c>
      <c r="F4" s="8">
        <f>H4/G4</f>
        <v>365000</v>
      </c>
      <c r="G4" s="8">
        <v>4</v>
      </c>
      <c r="H4" s="8">
        <v>1460000</v>
      </c>
      <c r="I4" s="8">
        <f>K4/J4</f>
        <v>291171.875</v>
      </c>
      <c r="J4" s="9">
        <f>7+J5</f>
        <v>64</v>
      </c>
      <c r="K4" s="8">
        <f>8660000+K5</f>
        <v>18635000</v>
      </c>
      <c r="L4" s="40">
        <f>K4*100/K3</f>
        <v>22.162097877148124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143" s="52" customFormat="1" ht="17.25">
      <c r="A5" s="96" t="s">
        <v>30</v>
      </c>
      <c r="B5" s="97"/>
      <c r="C5" s="13">
        <f t="shared" ref="C5:C11" si="0">E5/D5</f>
        <v>175000</v>
      </c>
      <c r="D5" s="13">
        <v>57</v>
      </c>
      <c r="E5" s="13">
        <v>9975000</v>
      </c>
      <c r="F5" s="17">
        <v>0</v>
      </c>
      <c r="G5" s="17">
        <v>0</v>
      </c>
      <c r="H5" s="17">
        <v>0</v>
      </c>
      <c r="I5" s="13">
        <f t="shared" ref="I5:I11" si="1">K5/J5</f>
        <v>175000</v>
      </c>
      <c r="J5" s="15">
        <v>57</v>
      </c>
      <c r="K5" s="13">
        <v>9975000</v>
      </c>
      <c r="L5" s="41"/>
    </row>
    <row r="6" spans="1:143" s="10" customFormat="1" ht="34.5" customHeight="1" collapsed="1">
      <c r="A6" s="104" t="s">
        <v>11</v>
      </c>
      <c r="B6" s="105"/>
      <c r="C6" s="8">
        <f t="shared" si="0"/>
        <v>353125</v>
      </c>
      <c r="D6" s="8">
        <f>1+D7</f>
        <v>8</v>
      </c>
      <c r="E6" s="8">
        <f>1600000+E7</f>
        <v>2825000</v>
      </c>
      <c r="F6" s="8">
        <f>H6/G6</f>
        <v>1368750</v>
      </c>
      <c r="G6" s="8">
        <v>4</v>
      </c>
      <c r="H6" s="8">
        <v>5475000</v>
      </c>
      <c r="I6" s="8">
        <f t="shared" si="1"/>
        <v>691666.66666666663</v>
      </c>
      <c r="J6" s="9">
        <f>5+J7</f>
        <v>12</v>
      </c>
      <c r="K6" s="8">
        <f>7075000+K7</f>
        <v>8300000</v>
      </c>
      <c r="L6" s="40">
        <f>K6*100/K3</f>
        <v>9.8709639055717435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52" customFormat="1" ht="17.25">
      <c r="A7" s="96" t="s">
        <v>30</v>
      </c>
      <c r="B7" s="97"/>
      <c r="C7" s="13">
        <f t="shared" si="0"/>
        <v>175000</v>
      </c>
      <c r="D7" s="13">
        <v>7</v>
      </c>
      <c r="E7" s="13">
        <v>1225000</v>
      </c>
      <c r="F7" s="17">
        <v>0</v>
      </c>
      <c r="G7" s="17">
        <v>0</v>
      </c>
      <c r="H7" s="17">
        <v>0</v>
      </c>
      <c r="I7" s="13">
        <f t="shared" si="1"/>
        <v>175000</v>
      </c>
      <c r="J7" s="15">
        <v>7</v>
      </c>
      <c r="K7" s="13">
        <v>1225000</v>
      </c>
      <c r="L7" s="41"/>
    </row>
    <row r="8" spans="1:143" s="10" customFormat="1" ht="27" customHeight="1" collapsed="1">
      <c r="A8" s="104" t="s">
        <v>12</v>
      </c>
      <c r="B8" s="105"/>
      <c r="C8" s="8">
        <f t="shared" si="0"/>
        <v>1087500</v>
      </c>
      <c r="D8" s="8">
        <f>6+D9</f>
        <v>12</v>
      </c>
      <c r="E8" s="8">
        <f>12000000+E9</f>
        <v>13050000</v>
      </c>
      <c r="F8" s="11">
        <v>0</v>
      </c>
      <c r="G8" s="19">
        <v>0</v>
      </c>
      <c r="H8" s="11">
        <v>0</v>
      </c>
      <c r="I8" s="8">
        <f t="shared" si="1"/>
        <v>1087500</v>
      </c>
      <c r="J8" s="8">
        <f>6+J9</f>
        <v>12</v>
      </c>
      <c r="K8" s="8">
        <f>12000000+K9</f>
        <v>13050000</v>
      </c>
      <c r="L8" s="40">
        <f>K8/K3*100</f>
        <v>15.520009514182078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143" s="12" customFormat="1" ht="17.25">
      <c r="A9" s="96" t="s">
        <v>30</v>
      </c>
      <c r="B9" s="97"/>
      <c r="C9" s="13">
        <f t="shared" si="0"/>
        <v>175000</v>
      </c>
      <c r="D9" s="13">
        <v>6</v>
      </c>
      <c r="E9" s="13">
        <v>1050000</v>
      </c>
      <c r="F9" s="17">
        <v>0</v>
      </c>
      <c r="G9" s="51">
        <v>0</v>
      </c>
      <c r="H9" s="17">
        <v>0</v>
      </c>
      <c r="I9" s="13">
        <f t="shared" si="1"/>
        <v>175000</v>
      </c>
      <c r="J9" s="15">
        <v>6</v>
      </c>
      <c r="K9" s="13">
        <v>1050000</v>
      </c>
      <c r="L9" s="41"/>
    </row>
    <row r="10" spans="1:143" s="4" customFormat="1" ht="21" customHeight="1" collapsed="1">
      <c r="A10" s="104" t="s">
        <v>14</v>
      </c>
      <c r="B10" s="105"/>
      <c r="C10" s="8">
        <f t="shared" si="0"/>
        <v>668181.81818181823</v>
      </c>
      <c r="D10" s="8">
        <f>62+D11</f>
        <v>66</v>
      </c>
      <c r="E10" s="8">
        <f>43400000+E11</f>
        <v>44100000</v>
      </c>
      <c r="F10" s="11">
        <v>0</v>
      </c>
      <c r="G10" s="19">
        <v>0</v>
      </c>
      <c r="H10" s="11">
        <v>0</v>
      </c>
      <c r="I10" s="8">
        <f t="shared" si="1"/>
        <v>668181.81818181823</v>
      </c>
      <c r="J10" s="9">
        <f>62+J11</f>
        <v>66</v>
      </c>
      <c r="K10" s="8">
        <f>43400000+K11</f>
        <v>44100000</v>
      </c>
      <c r="L10" s="40">
        <f>K10/K3*100</f>
        <v>52.446928703098052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</row>
    <row r="11" spans="1:143" s="32" customFormat="1" ht="18.75" customHeight="1" thickBot="1">
      <c r="A11" s="143" t="s">
        <v>30</v>
      </c>
      <c r="B11" s="144"/>
      <c r="C11" s="59">
        <f t="shared" si="0"/>
        <v>175000</v>
      </c>
      <c r="D11" s="59">
        <v>4</v>
      </c>
      <c r="E11" s="59">
        <v>700000</v>
      </c>
      <c r="F11" s="60">
        <v>0</v>
      </c>
      <c r="G11" s="71">
        <v>0</v>
      </c>
      <c r="H11" s="60">
        <v>0</v>
      </c>
      <c r="I11" s="59">
        <f t="shared" si="1"/>
        <v>175000</v>
      </c>
      <c r="J11" s="66">
        <v>4</v>
      </c>
      <c r="K11" s="59">
        <v>700000</v>
      </c>
      <c r="L11" s="56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</row>
  </sheetData>
  <mergeCells count="13">
    <mergeCell ref="C1:E1"/>
    <mergeCell ref="F1:H1"/>
    <mergeCell ref="I1:K1"/>
    <mergeCell ref="A4:B4"/>
    <mergeCell ref="A5:B5"/>
    <mergeCell ref="A7:B7"/>
    <mergeCell ref="A9:B9"/>
    <mergeCell ref="A11:B11"/>
    <mergeCell ref="A1:B2"/>
    <mergeCell ref="A3:B3"/>
    <mergeCell ref="A6:B6"/>
    <mergeCell ref="A8:B8"/>
    <mergeCell ref="A10:B10"/>
  </mergeCells>
  <pageMargins left="0.2" right="0.16" top="0.75" bottom="0.75" header="0.3" footer="0.3"/>
  <pageSetup paperSize="9" scale="70" orientation="landscape" r:id="rId1"/>
  <colBreaks count="1" manualBreakCount="1">
    <brk id="1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EM12"/>
  <sheetViews>
    <sheetView view="pageBreakPreview" zoomScaleSheetLayoutView="100" workbookViewId="0">
      <selection activeCell="K20" activeCellId="1" sqref="E6 K20"/>
    </sheetView>
  </sheetViews>
  <sheetFormatPr defaultRowHeight="15"/>
  <cols>
    <col min="1" max="1" width="24.42578125" bestFit="1" customWidth="1"/>
    <col min="2" max="2" width="42.7109375" customWidth="1"/>
    <col min="3" max="3" width="15.28515625" customWidth="1"/>
    <col min="4" max="4" width="12" customWidth="1"/>
    <col min="5" max="5" width="15.7109375" bestFit="1" customWidth="1"/>
    <col min="6" max="6" width="13.85546875" bestFit="1" customWidth="1"/>
    <col min="7" max="7" width="11.42578125" customWidth="1"/>
    <col min="8" max="8" width="15" bestFit="1" customWidth="1"/>
    <col min="9" max="9" width="13.7109375" bestFit="1" customWidth="1"/>
    <col min="10" max="10" width="12.7109375" customWidth="1"/>
    <col min="11" max="11" width="15.7109375" bestFit="1" customWidth="1"/>
  </cols>
  <sheetData>
    <row r="1" spans="1:143" s="2" customFormat="1" ht="30.75" customHeight="1">
      <c r="A1" s="98" t="s">
        <v>2</v>
      </c>
      <c r="B1" s="99"/>
      <c r="C1" s="111" t="s">
        <v>3</v>
      </c>
      <c r="D1" s="111"/>
      <c r="E1" s="111"/>
      <c r="F1" s="111" t="s">
        <v>4</v>
      </c>
      <c r="G1" s="111"/>
      <c r="H1" s="111"/>
      <c r="I1" s="111" t="s">
        <v>5</v>
      </c>
      <c r="J1" s="111"/>
      <c r="K1" s="111"/>
      <c r="L1" s="62"/>
    </row>
    <row r="2" spans="1:143" s="2" customFormat="1" ht="65.25" customHeight="1">
      <c r="A2" s="100"/>
      <c r="B2" s="101"/>
      <c r="C2" s="28" t="s">
        <v>46</v>
      </c>
      <c r="D2" s="28" t="s">
        <v>7</v>
      </c>
      <c r="E2" s="28" t="s">
        <v>8</v>
      </c>
      <c r="F2" s="28" t="s">
        <v>9</v>
      </c>
      <c r="G2" s="28" t="s">
        <v>7</v>
      </c>
      <c r="H2" s="28" t="s">
        <v>8</v>
      </c>
      <c r="I2" s="28" t="s">
        <v>9</v>
      </c>
      <c r="J2" s="28" t="s">
        <v>7</v>
      </c>
      <c r="K2" s="28" t="s">
        <v>8</v>
      </c>
      <c r="L2" s="63" t="s">
        <v>35</v>
      </c>
    </row>
    <row r="3" spans="1:143" s="10" customFormat="1" ht="17.25" collapsed="1">
      <c r="A3" s="100" t="s">
        <v>27</v>
      </c>
      <c r="B3" s="101"/>
      <c r="C3" s="28">
        <f>E3/D3</f>
        <v>531250</v>
      </c>
      <c r="D3" s="28">
        <f>D4+D6+D8+D10</f>
        <v>96</v>
      </c>
      <c r="E3" s="28">
        <f>E4+E6+E8+E10</f>
        <v>51000000</v>
      </c>
      <c r="F3" s="28">
        <f>H3/G3</f>
        <v>763181.81818181823</v>
      </c>
      <c r="G3" s="28">
        <f>G4+G6+G8+G10</f>
        <v>11</v>
      </c>
      <c r="H3" s="28">
        <f>H4+H6+H8+H10</f>
        <v>8395000</v>
      </c>
      <c r="I3" s="28">
        <f>K3/J3</f>
        <v>555093.45794392528</v>
      </c>
      <c r="J3" s="28">
        <f>J4+J6+J8+J10</f>
        <v>107</v>
      </c>
      <c r="K3" s="28">
        <f>K4+K6+K8+K10</f>
        <v>59395000</v>
      </c>
      <c r="L3" s="40">
        <f>L4+L6+L8+L10</f>
        <v>100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</row>
    <row r="4" spans="1:143" s="10" customFormat="1" ht="36" customHeight="1">
      <c r="A4" s="104" t="s">
        <v>10</v>
      </c>
      <c r="B4" s="105"/>
      <c r="C4" s="8">
        <f>E4/D4</f>
        <v>175000</v>
      </c>
      <c r="D4" s="8">
        <v>4</v>
      </c>
      <c r="E4" s="8">
        <v>700000</v>
      </c>
      <c r="F4" s="8">
        <f>H4/G4</f>
        <v>509000</v>
      </c>
      <c r="G4" s="8">
        <v>5</v>
      </c>
      <c r="H4" s="8">
        <v>2545000</v>
      </c>
      <c r="I4" s="8">
        <f>K4/J4</f>
        <v>360555.55555555556</v>
      </c>
      <c r="J4" s="9">
        <f>5+J5</f>
        <v>9</v>
      </c>
      <c r="K4" s="8">
        <f>2545000+K5</f>
        <v>3245000</v>
      </c>
      <c r="L4" s="40">
        <f>K4*100/K3</f>
        <v>5.4634228470409969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143" s="12" customFormat="1" ht="17.25">
      <c r="A5" s="96" t="s">
        <v>30</v>
      </c>
      <c r="B5" s="97"/>
      <c r="C5" s="13">
        <f t="shared" ref="C5:C12" si="0">E5/D5</f>
        <v>175000</v>
      </c>
      <c r="D5" s="13">
        <v>4</v>
      </c>
      <c r="E5" s="13">
        <v>700000</v>
      </c>
      <c r="F5" s="13"/>
      <c r="G5" s="17">
        <v>0</v>
      </c>
      <c r="H5" s="17">
        <v>0</v>
      </c>
      <c r="I5" s="13">
        <f t="shared" ref="I5:I12" si="1">K5/J5</f>
        <v>175000</v>
      </c>
      <c r="J5" s="15">
        <v>4</v>
      </c>
      <c r="K5" s="13">
        <v>700000</v>
      </c>
      <c r="L5" s="41"/>
    </row>
    <row r="6" spans="1:143" s="7" customFormat="1" ht="43.5" customHeight="1" collapsed="1">
      <c r="A6" s="104" t="s">
        <v>11</v>
      </c>
      <c r="B6" s="105"/>
      <c r="C6" s="8">
        <f t="shared" si="0"/>
        <v>407317.07317073172</v>
      </c>
      <c r="D6" s="8">
        <f>5+D7</f>
        <v>41</v>
      </c>
      <c r="E6" s="8">
        <f>10400000+E7</f>
        <v>16700000</v>
      </c>
      <c r="F6" s="8">
        <f t="shared" ref="F6" si="2">H6/G6</f>
        <v>975000</v>
      </c>
      <c r="G6" s="8">
        <v>6</v>
      </c>
      <c r="H6" s="8">
        <v>5850000</v>
      </c>
      <c r="I6" s="8">
        <f t="shared" si="1"/>
        <v>479787.23404255317</v>
      </c>
      <c r="J6" s="9">
        <f>11+J7</f>
        <v>47</v>
      </c>
      <c r="K6" s="8">
        <f>16250000+K7</f>
        <v>22550000</v>
      </c>
      <c r="L6" s="40">
        <f>K6*100/K3</f>
        <v>37.966158767573027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52" customFormat="1" ht="17.25">
      <c r="A7" s="96" t="s">
        <v>30</v>
      </c>
      <c r="B7" s="97"/>
      <c r="C7" s="13">
        <f t="shared" si="0"/>
        <v>175000</v>
      </c>
      <c r="D7" s="13">
        <v>36</v>
      </c>
      <c r="E7" s="13">
        <v>6300000</v>
      </c>
      <c r="F7" s="13"/>
      <c r="G7" s="17">
        <v>0</v>
      </c>
      <c r="H7" s="17">
        <v>0</v>
      </c>
      <c r="I7" s="13">
        <f t="shared" si="1"/>
        <v>175000</v>
      </c>
      <c r="J7" s="15">
        <v>36</v>
      </c>
      <c r="K7" s="13">
        <v>6300000</v>
      </c>
      <c r="L7" s="41"/>
    </row>
    <row r="8" spans="1:143" s="2" customFormat="1" ht="36" customHeight="1" collapsed="1">
      <c r="A8" s="104" t="s">
        <v>12</v>
      </c>
      <c r="B8" s="105"/>
      <c r="C8" s="8">
        <f t="shared" si="0"/>
        <v>437500</v>
      </c>
      <c r="D8" s="8">
        <f>2+D9</f>
        <v>4</v>
      </c>
      <c r="E8" s="8">
        <f>1400000+E9</f>
        <v>1750000</v>
      </c>
      <c r="F8" s="8"/>
      <c r="G8" s="11">
        <v>0</v>
      </c>
      <c r="H8" s="11">
        <v>0</v>
      </c>
      <c r="I8" s="8">
        <f t="shared" si="1"/>
        <v>437500</v>
      </c>
      <c r="J8" s="8">
        <f>2+J9</f>
        <v>4</v>
      </c>
      <c r="K8" s="8">
        <f>1400000+K9</f>
        <v>1750000</v>
      </c>
      <c r="L8" s="40">
        <f>K8/K3*100</f>
        <v>2.9463759575721862</v>
      </c>
    </row>
    <row r="9" spans="1:143" s="32" customFormat="1" ht="23.25" customHeight="1">
      <c r="A9" s="96" t="s">
        <v>30</v>
      </c>
      <c r="B9" s="97"/>
      <c r="C9" s="13">
        <f t="shared" si="0"/>
        <v>175000</v>
      </c>
      <c r="D9" s="13">
        <v>2</v>
      </c>
      <c r="E9" s="13">
        <v>350000</v>
      </c>
      <c r="F9" s="13"/>
      <c r="G9" s="17">
        <v>0</v>
      </c>
      <c r="H9" s="17">
        <v>0</v>
      </c>
      <c r="I9" s="13">
        <f t="shared" si="1"/>
        <v>175000</v>
      </c>
      <c r="J9" s="15">
        <v>2</v>
      </c>
      <c r="K9" s="13">
        <v>350000</v>
      </c>
      <c r="L9" s="41"/>
    </row>
    <row r="10" spans="1:143" s="2" customFormat="1" ht="31.5" customHeight="1" collapsed="1">
      <c r="A10" s="102" t="s">
        <v>14</v>
      </c>
      <c r="B10" s="103"/>
      <c r="C10" s="8">
        <f t="shared" si="0"/>
        <v>677659.57446808508</v>
      </c>
      <c r="D10" s="9">
        <f>45+D12</f>
        <v>47</v>
      </c>
      <c r="E10" s="9">
        <f>31500000+E12</f>
        <v>31850000</v>
      </c>
      <c r="F10" s="8"/>
      <c r="G10" s="11">
        <v>0</v>
      </c>
      <c r="H10" s="11">
        <v>0</v>
      </c>
      <c r="I10" s="8">
        <f t="shared" si="1"/>
        <v>677659.57446808508</v>
      </c>
      <c r="J10" s="9">
        <f>45+J12</f>
        <v>47</v>
      </c>
      <c r="K10" s="9">
        <f>31500000+K12</f>
        <v>31850000</v>
      </c>
      <c r="L10" s="40">
        <f>K10/K3*100</f>
        <v>53.624042427813791</v>
      </c>
    </row>
    <row r="11" spans="1:143" s="2" customFormat="1" ht="34.5" hidden="1">
      <c r="A11" s="72" t="s">
        <v>16</v>
      </c>
      <c r="B11" s="27" t="s">
        <v>17</v>
      </c>
      <c r="C11" s="8">
        <f t="shared" si="0"/>
        <v>700000</v>
      </c>
      <c r="D11" s="13">
        <v>45</v>
      </c>
      <c r="E11" s="13">
        <v>31500000</v>
      </c>
      <c r="F11" s="8"/>
      <c r="G11" s="11">
        <v>0</v>
      </c>
      <c r="H11" s="11">
        <v>0</v>
      </c>
      <c r="I11" s="8">
        <f t="shared" si="1"/>
        <v>700000</v>
      </c>
      <c r="J11" s="9">
        <f>G11+D11</f>
        <v>45</v>
      </c>
      <c r="K11" s="8">
        <f>H11+E11</f>
        <v>31500000</v>
      </c>
      <c r="L11" s="4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</row>
    <row r="12" spans="1:143" s="32" customFormat="1" ht="18" collapsed="1" thickBot="1">
      <c r="A12" s="143" t="s">
        <v>30</v>
      </c>
      <c r="B12" s="144"/>
      <c r="C12" s="59">
        <f t="shared" si="0"/>
        <v>175000</v>
      </c>
      <c r="D12" s="66">
        <v>2</v>
      </c>
      <c r="E12" s="66">
        <v>350000</v>
      </c>
      <c r="F12" s="59"/>
      <c r="G12" s="60">
        <v>0</v>
      </c>
      <c r="H12" s="60">
        <v>0</v>
      </c>
      <c r="I12" s="59">
        <f t="shared" si="1"/>
        <v>175000</v>
      </c>
      <c r="J12" s="66">
        <v>2</v>
      </c>
      <c r="K12" s="59">
        <v>350000</v>
      </c>
      <c r="L12" s="73"/>
    </row>
  </sheetData>
  <mergeCells count="13">
    <mergeCell ref="C1:E1"/>
    <mergeCell ref="F1:H1"/>
    <mergeCell ref="I1:K1"/>
    <mergeCell ref="A4:B4"/>
    <mergeCell ref="A5:B5"/>
    <mergeCell ref="A7:B7"/>
    <mergeCell ref="A9:B9"/>
    <mergeCell ref="A12:B12"/>
    <mergeCell ref="A1:B2"/>
    <mergeCell ref="A3:B3"/>
    <mergeCell ref="A10:B10"/>
    <mergeCell ref="A6:B6"/>
    <mergeCell ref="A8:B8"/>
  </mergeCells>
  <pageMargins left="0.27" right="0.17" top="0.75" bottom="0.75" header="0.3" footer="0.3"/>
  <pageSetup paperSize="9" scale="70" orientation="landscape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9"/>
  <sheetViews>
    <sheetView topLeftCell="A3" workbookViewId="0">
      <selection activeCell="C20" sqref="C20"/>
    </sheetView>
  </sheetViews>
  <sheetFormatPr defaultRowHeight="15"/>
  <cols>
    <col min="3" max="3" width="37" customWidth="1"/>
    <col min="4" max="4" width="17.85546875" customWidth="1"/>
    <col min="5" max="5" width="11.7109375" bestFit="1" customWidth="1"/>
    <col min="6" max="6" width="22.28515625" bestFit="1" customWidth="1"/>
    <col min="7" max="7" width="15.28515625" bestFit="1" customWidth="1"/>
    <col min="8" max="8" width="12.140625" customWidth="1"/>
    <col min="9" max="9" width="20.42578125" bestFit="1" customWidth="1"/>
    <col min="10" max="10" width="15.28515625" bestFit="1" customWidth="1"/>
    <col min="11" max="11" width="12" bestFit="1" customWidth="1"/>
    <col min="12" max="12" width="21.28515625" bestFit="1" customWidth="1"/>
    <col min="13" max="13" width="9.28515625" bestFit="1" customWidth="1"/>
  </cols>
  <sheetData>
    <row r="1" spans="1:13" s="1" customFormat="1" ht="32.1" customHeight="1">
      <c r="B1" s="109" t="s">
        <v>49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30"/>
    </row>
    <row r="2" spans="1:13" s="2" customFormat="1" ht="14.25" customHeight="1" thickBot="1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31"/>
    </row>
    <row r="3" spans="1:13" s="2" customFormat="1" ht="30.75" customHeight="1">
      <c r="A3" s="113"/>
      <c r="B3" s="115" t="s">
        <v>2</v>
      </c>
      <c r="C3" s="99"/>
      <c r="D3" s="111" t="s">
        <v>3</v>
      </c>
      <c r="E3" s="111"/>
      <c r="F3" s="111"/>
      <c r="G3" s="111" t="s">
        <v>4</v>
      </c>
      <c r="H3" s="111"/>
      <c r="I3" s="111"/>
      <c r="J3" s="111" t="s">
        <v>5</v>
      </c>
      <c r="K3" s="111"/>
      <c r="L3" s="111"/>
      <c r="M3" s="112"/>
    </row>
    <row r="4" spans="1:13" s="2" customFormat="1" ht="65.25" customHeight="1">
      <c r="A4" s="114"/>
      <c r="B4" s="116"/>
      <c r="C4" s="101"/>
      <c r="D4" s="80" t="s">
        <v>47</v>
      </c>
      <c r="E4" s="80" t="s">
        <v>7</v>
      </c>
      <c r="F4" s="80" t="s">
        <v>8</v>
      </c>
      <c r="G4" s="80" t="s">
        <v>9</v>
      </c>
      <c r="H4" s="80" t="s">
        <v>7</v>
      </c>
      <c r="I4" s="80" t="s">
        <v>8</v>
      </c>
      <c r="J4" s="80" t="s">
        <v>9</v>
      </c>
      <c r="K4" s="80" t="s">
        <v>7</v>
      </c>
      <c r="L4" s="80" t="s">
        <v>8</v>
      </c>
      <c r="M4" s="74" t="s">
        <v>35</v>
      </c>
    </row>
    <row r="5" spans="1:13" s="4" customFormat="1" ht="24.75" customHeight="1">
      <c r="A5" s="86"/>
      <c r="B5" s="116" t="s">
        <v>5</v>
      </c>
      <c r="C5" s="101"/>
      <c r="D5" s="80">
        <f t="shared" ref="D5:D16" si="0">F5/E5</f>
        <v>703587.46130030963</v>
      </c>
      <c r="E5" s="80">
        <f>E16+E15+E8+E9+E6+E7+E10+E13+E12+E11+E14</f>
        <v>3876</v>
      </c>
      <c r="F5" s="80">
        <f>F16+F15+F8+F9+F6+F7+F10+F13+F12+F11+F14</f>
        <v>2727105000</v>
      </c>
      <c r="G5" s="80">
        <f t="shared" ref="G5:G16" si="1">I5/H5</f>
        <v>535020.87912087911</v>
      </c>
      <c r="H5" s="80">
        <f>H16+H15+H8+H9+H6+H7+H10+H13+H12+H11+H14</f>
        <v>1365</v>
      </c>
      <c r="I5" s="80">
        <f>I16+I15+I8+I9+I6+I7+I10+I13+I12+I11+I14</f>
        <v>730303500</v>
      </c>
      <c r="J5" s="80">
        <f t="shared" ref="J5:J16" si="2">L5/K5</f>
        <v>659381.86498855834</v>
      </c>
      <c r="K5" s="80">
        <f>K16+K15+K8+K9+K6+K7+K10+K13+K12+K11+K14</f>
        <v>5244</v>
      </c>
      <c r="L5" s="80">
        <f>L16+L15+L8+L9+L6+L7+L10+L13+L12+L11+L14</f>
        <v>3457798500</v>
      </c>
      <c r="M5" s="75">
        <v>100</v>
      </c>
    </row>
    <row r="6" spans="1:13" ht="24.75" customHeight="1">
      <c r="A6" s="90">
        <v>1</v>
      </c>
      <c r="B6" s="122" t="s">
        <v>22</v>
      </c>
      <c r="C6" s="117"/>
      <c r="D6" s="8">
        <f t="shared" si="0"/>
        <v>833346.67734187352</v>
      </c>
      <c r="E6" s="82">
        <v>1249</v>
      </c>
      <c r="F6" s="82">
        <v>1040850000</v>
      </c>
      <c r="G6" s="8">
        <f t="shared" si="1"/>
        <v>470537.33766233764</v>
      </c>
      <c r="H6" s="82">
        <v>616</v>
      </c>
      <c r="I6" s="82">
        <v>289851000</v>
      </c>
      <c r="J6" s="8">
        <f t="shared" si="2"/>
        <v>713512.600536193</v>
      </c>
      <c r="K6" s="82">
        <v>1865</v>
      </c>
      <c r="L6" s="82">
        <v>1330701000</v>
      </c>
      <c r="M6" s="83">
        <f>L6/L5*100</f>
        <v>38.484052786765915</v>
      </c>
    </row>
    <row r="7" spans="1:13" ht="24.75" customHeight="1">
      <c r="A7" s="90">
        <v>2</v>
      </c>
      <c r="B7" s="122" t="s">
        <v>23</v>
      </c>
      <c r="C7" s="117"/>
      <c r="D7" s="8">
        <f t="shared" si="0"/>
        <v>713932.89841565699</v>
      </c>
      <c r="E7" s="82">
        <v>1073</v>
      </c>
      <c r="F7" s="82">
        <v>766050000</v>
      </c>
      <c r="G7" s="8">
        <f t="shared" si="1"/>
        <v>566187.84530386736</v>
      </c>
      <c r="H7" s="82">
        <v>362</v>
      </c>
      <c r="I7" s="82">
        <v>204960000</v>
      </c>
      <c r="J7" s="8">
        <f t="shared" si="2"/>
        <v>676662.02090592333</v>
      </c>
      <c r="K7" s="82">
        <v>1435</v>
      </c>
      <c r="L7" s="82">
        <v>971010000</v>
      </c>
      <c r="M7" s="83">
        <f>L7/L5*100</f>
        <v>28.081740448438509</v>
      </c>
    </row>
    <row r="8" spans="1:13" ht="24.75" customHeight="1">
      <c r="A8" s="90">
        <v>3</v>
      </c>
      <c r="B8" s="122" t="s">
        <v>19</v>
      </c>
      <c r="C8" s="117"/>
      <c r="D8" s="8">
        <f t="shared" si="0"/>
        <v>815493.11926605506</v>
      </c>
      <c r="E8" s="82">
        <v>436</v>
      </c>
      <c r="F8" s="82">
        <v>355555000</v>
      </c>
      <c r="G8" s="8">
        <f t="shared" si="1"/>
        <v>626039.47368421056</v>
      </c>
      <c r="H8" s="82">
        <v>190</v>
      </c>
      <c r="I8" s="82">
        <v>118947500</v>
      </c>
      <c r="J8" s="8">
        <f t="shared" si="2"/>
        <v>757991.21405750804</v>
      </c>
      <c r="K8" s="82">
        <v>626</v>
      </c>
      <c r="L8" s="82">
        <v>474502500</v>
      </c>
      <c r="M8" s="83">
        <f>L8/L5*100</f>
        <v>13.722676437045131</v>
      </c>
    </row>
    <row r="9" spans="1:13" ht="39.75" customHeight="1">
      <c r="A9" s="90">
        <v>4</v>
      </c>
      <c r="B9" s="122" t="s">
        <v>20</v>
      </c>
      <c r="C9" s="117"/>
      <c r="D9" s="8">
        <f t="shared" si="0"/>
        <v>541691.17647058819</v>
      </c>
      <c r="E9" s="82">
        <v>340</v>
      </c>
      <c r="F9" s="82">
        <v>184175000</v>
      </c>
      <c r="G9" s="8">
        <f t="shared" si="1"/>
        <v>521718.75</v>
      </c>
      <c r="H9" s="82">
        <v>64</v>
      </c>
      <c r="I9" s="82">
        <v>33390000</v>
      </c>
      <c r="J9" s="8">
        <f t="shared" si="2"/>
        <v>538527.22772277228</v>
      </c>
      <c r="K9" s="82">
        <v>404</v>
      </c>
      <c r="L9" s="82">
        <v>217565000</v>
      </c>
      <c r="M9" s="83">
        <f>L9/L5*100</f>
        <v>6.2920092075926348</v>
      </c>
    </row>
    <row r="10" spans="1:13" ht="24.75" customHeight="1">
      <c r="A10" s="90">
        <v>5</v>
      </c>
      <c r="B10" s="122" t="s">
        <v>24</v>
      </c>
      <c r="C10" s="117"/>
      <c r="D10" s="8">
        <f t="shared" si="0"/>
        <v>518913.04347826086</v>
      </c>
      <c r="E10" s="82">
        <v>115</v>
      </c>
      <c r="F10" s="82">
        <v>59675000</v>
      </c>
      <c r="G10" s="8">
        <f t="shared" si="1"/>
        <v>570681.81818181823</v>
      </c>
      <c r="H10" s="82">
        <v>44</v>
      </c>
      <c r="I10" s="82">
        <v>25110000</v>
      </c>
      <c r="J10" s="8">
        <f t="shared" si="2"/>
        <v>525771.60493827157</v>
      </c>
      <c r="K10" s="82">
        <v>162</v>
      </c>
      <c r="L10" s="82">
        <v>85175000</v>
      </c>
      <c r="M10" s="83">
        <f>L10/L5*100</f>
        <v>2.4632725128430706</v>
      </c>
    </row>
    <row r="11" spans="1:13" ht="24.75" customHeight="1">
      <c r="A11" s="90">
        <v>6</v>
      </c>
      <c r="B11" s="122" t="s">
        <v>26</v>
      </c>
      <c r="C11" s="117"/>
      <c r="D11" s="8">
        <f t="shared" si="0"/>
        <v>528424.65753424657</v>
      </c>
      <c r="E11" s="82">
        <v>146</v>
      </c>
      <c r="F11" s="82">
        <v>77150000</v>
      </c>
      <c r="G11" s="8">
        <f t="shared" si="1"/>
        <v>866875</v>
      </c>
      <c r="H11" s="82">
        <v>8</v>
      </c>
      <c r="I11" s="82">
        <v>6935000</v>
      </c>
      <c r="J11" s="8">
        <f t="shared" si="2"/>
        <v>546006.49350649351</v>
      </c>
      <c r="K11" s="82">
        <v>154</v>
      </c>
      <c r="L11" s="82">
        <v>84085000</v>
      </c>
      <c r="M11" s="83">
        <f>L11/L5*100</f>
        <v>2.4317495655111192</v>
      </c>
    </row>
    <row r="12" spans="1:13" ht="24.75" customHeight="1">
      <c r="A12" s="90">
        <v>7</v>
      </c>
      <c r="B12" s="122" t="s">
        <v>21</v>
      </c>
      <c r="C12" s="117"/>
      <c r="D12" s="8">
        <f t="shared" si="0"/>
        <v>543069.3069306931</v>
      </c>
      <c r="E12" s="82">
        <v>101</v>
      </c>
      <c r="F12" s="82">
        <v>54850000</v>
      </c>
      <c r="G12" s="8">
        <f t="shared" si="1"/>
        <v>575000</v>
      </c>
      <c r="H12" s="82">
        <v>34</v>
      </c>
      <c r="I12" s="82">
        <v>19550000</v>
      </c>
      <c r="J12" s="8">
        <f t="shared" si="2"/>
        <v>551111.11111111112</v>
      </c>
      <c r="K12" s="82">
        <v>135</v>
      </c>
      <c r="L12" s="82">
        <v>74400000</v>
      </c>
      <c r="M12" s="83">
        <f>L12/L5*100</f>
        <v>2.1516580564194241</v>
      </c>
    </row>
    <row r="13" spans="1:13" ht="24.75" customHeight="1">
      <c r="A13" s="90">
        <v>8</v>
      </c>
      <c r="B13" s="123" t="s">
        <v>25</v>
      </c>
      <c r="C13" s="124"/>
      <c r="D13" s="8">
        <f t="shared" si="0"/>
        <v>420744.68085106381</v>
      </c>
      <c r="E13" s="82">
        <v>141</v>
      </c>
      <c r="F13" s="82">
        <v>59325000</v>
      </c>
      <c r="G13" s="8">
        <f t="shared" si="1"/>
        <v>538437.5</v>
      </c>
      <c r="H13" s="82">
        <v>16</v>
      </c>
      <c r="I13" s="82">
        <v>8615000</v>
      </c>
      <c r="J13" s="8">
        <f t="shared" si="2"/>
        <v>432738.85350318474</v>
      </c>
      <c r="K13" s="82">
        <v>157</v>
      </c>
      <c r="L13" s="82">
        <v>67940000</v>
      </c>
      <c r="M13" s="83">
        <f>L13/L5*100</f>
        <v>1.9648339832410706</v>
      </c>
    </row>
    <row r="14" spans="1:13" ht="34.5" customHeight="1">
      <c r="A14" s="91">
        <v>9</v>
      </c>
      <c r="B14" s="117" t="s">
        <v>27</v>
      </c>
      <c r="C14" s="117"/>
      <c r="D14" s="82">
        <f t="shared" si="0"/>
        <v>531250</v>
      </c>
      <c r="E14" s="82">
        <v>96</v>
      </c>
      <c r="F14" s="82">
        <v>51000000</v>
      </c>
      <c r="G14" s="82">
        <f t="shared" si="1"/>
        <v>763181.81818181823</v>
      </c>
      <c r="H14" s="82">
        <v>11</v>
      </c>
      <c r="I14" s="82">
        <v>8395000</v>
      </c>
      <c r="J14" s="82">
        <f t="shared" si="2"/>
        <v>555093.45794392528</v>
      </c>
      <c r="K14" s="82">
        <v>107</v>
      </c>
      <c r="L14" s="82">
        <v>59395000</v>
      </c>
      <c r="M14" s="83">
        <f>L14/L5*100</f>
        <v>1.7177114282396735</v>
      </c>
    </row>
    <row r="15" spans="1:13" ht="17.25">
      <c r="A15" s="90">
        <v>10</v>
      </c>
      <c r="B15" s="120" t="s">
        <v>18</v>
      </c>
      <c r="C15" s="121"/>
      <c r="D15" s="87">
        <f t="shared" si="0"/>
        <v>601102.9411764706</v>
      </c>
      <c r="E15" s="88">
        <v>68</v>
      </c>
      <c r="F15" s="88">
        <v>40875000</v>
      </c>
      <c r="G15" s="87">
        <f t="shared" si="1"/>
        <v>641666.66666666663</v>
      </c>
      <c r="H15" s="88">
        <v>12</v>
      </c>
      <c r="I15" s="88">
        <v>7700000</v>
      </c>
      <c r="J15" s="87">
        <f t="shared" si="2"/>
        <v>607187.5</v>
      </c>
      <c r="K15" s="88">
        <v>80</v>
      </c>
      <c r="L15" s="88">
        <v>48575000</v>
      </c>
      <c r="M15" s="89">
        <f>L15/L5*100</f>
        <v>1.4047955657335152</v>
      </c>
    </row>
    <row r="16" spans="1:13" ht="18" thickBot="1">
      <c r="A16" s="92">
        <v>11</v>
      </c>
      <c r="B16" s="118" t="s">
        <v>15</v>
      </c>
      <c r="C16" s="119"/>
      <c r="D16" s="57">
        <f t="shared" si="0"/>
        <v>338738.73873873876</v>
      </c>
      <c r="E16" s="84">
        <v>111</v>
      </c>
      <c r="F16" s="84">
        <v>37600000</v>
      </c>
      <c r="G16" s="57">
        <f t="shared" si="1"/>
        <v>856250</v>
      </c>
      <c r="H16" s="84">
        <v>8</v>
      </c>
      <c r="I16" s="84">
        <v>6850000</v>
      </c>
      <c r="J16" s="57">
        <f t="shared" si="2"/>
        <v>373529.4117647059</v>
      </c>
      <c r="K16" s="84">
        <v>119</v>
      </c>
      <c r="L16" s="84">
        <v>44450000</v>
      </c>
      <c r="M16" s="85">
        <f>L16/L5*100</f>
        <v>1.2855000081699381</v>
      </c>
    </row>
    <row r="17" spans="1:13" ht="17.25">
      <c r="A17" s="93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1:13" ht="17.25"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ht="17.25">
      <c r="D19" s="81"/>
      <c r="E19" s="81" t="s">
        <v>48</v>
      </c>
      <c r="F19" s="81"/>
      <c r="G19" s="81"/>
      <c r="H19" s="81"/>
      <c r="I19" s="81"/>
      <c r="J19" s="81"/>
      <c r="K19" s="81"/>
      <c r="L19" s="81"/>
      <c r="M19" s="81"/>
    </row>
  </sheetData>
  <mergeCells count="19">
    <mergeCell ref="B14:C14"/>
    <mergeCell ref="B5:C5"/>
    <mergeCell ref="B16:C16"/>
    <mergeCell ref="B15:C15"/>
    <mergeCell ref="B8:C8"/>
    <mergeCell ref="B9:C9"/>
    <mergeCell ref="B6:C6"/>
    <mergeCell ref="B7:C7"/>
    <mergeCell ref="B10:C10"/>
    <mergeCell ref="B13:C13"/>
    <mergeCell ref="B12:C12"/>
    <mergeCell ref="B11:C11"/>
    <mergeCell ref="A3:A4"/>
    <mergeCell ref="B1:L1"/>
    <mergeCell ref="B2:L2"/>
    <mergeCell ref="B3:C4"/>
    <mergeCell ref="D3:F3"/>
    <mergeCell ref="G3:I3"/>
    <mergeCell ref="J3:M3"/>
  </mergeCells>
  <pageMargins left="0.2" right="0.2" top="0.25" bottom="0.25" header="0.3" footer="0.3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M14"/>
  <sheetViews>
    <sheetView view="pageBreakPreview" topLeftCell="A3" zoomScale="90" zoomScaleSheetLayoutView="90" workbookViewId="0">
      <selection activeCell="K20" activeCellId="1" sqref="E6 K20"/>
    </sheetView>
  </sheetViews>
  <sheetFormatPr defaultRowHeight="17.25"/>
  <cols>
    <col min="1" max="1" width="12.5703125" style="2" customWidth="1"/>
    <col min="2" max="2" width="35.85546875" style="2" customWidth="1"/>
    <col min="3" max="3" width="16" style="20" customWidth="1"/>
    <col min="4" max="4" width="12.5703125" style="20" customWidth="1"/>
    <col min="5" max="5" width="16.5703125" style="20" customWidth="1"/>
    <col min="6" max="6" width="16.7109375" style="20" customWidth="1"/>
    <col min="7" max="7" width="12.85546875" style="20" customWidth="1"/>
    <col min="8" max="8" width="16.28515625" style="20" customWidth="1"/>
    <col min="9" max="9" width="18" style="20" customWidth="1"/>
    <col min="10" max="10" width="11.85546875" style="20" customWidth="1"/>
    <col min="11" max="11" width="16" style="20" customWidth="1"/>
    <col min="12" max="143" width="9.140625" style="2"/>
    <col min="144" max="144" width="1.7109375" style="2" customWidth="1"/>
    <col min="145" max="145" width="11.42578125" style="2" customWidth="1"/>
    <col min="146" max="146" width="39.42578125" style="2" customWidth="1"/>
    <col min="147" max="147" width="13.85546875" style="2" customWidth="1"/>
    <col min="148" max="148" width="9.42578125" style="2" customWidth="1"/>
    <col min="149" max="149" width="16.85546875" style="2" customWidth="1"/>
    <col min="150" max="150" width="14.85546875" style="2" customWidth="1"/>
    <col min="151" max="151" width="12" style="2" customWidth="1"/>
    <col min="152" max="152" width="19" style="2" customWidth="1"/>
    <col min="153" max="153" width="20.7109375" style="2" customWidth="1"/>
    <col min="154" max="154" width="15.85546875" style="2" customWidth="1"/>
    <col min="155" max="155" width="23" style="2" customWidth="1"/>
    <col min="156" max="156" width="9.140625" style="2"/>
    <col min="157" max="157" width="12.28515625" style="2" customWidth="1"/>
    <col min="158" max="158" width="12.5703125" style="2" bestFit="1" customWidth="1"/>
    <col min="159" max="399" width="9.140625" style="2"/>
    <col min="400" max="400" width="1.7109375" style="2" customWidth="1"/>
    <col min="401" max="401" width="11.42578125" style="2" customWidth="1"/>
    <col min="402" max="402" width="39.42578125" style="2" customWidth="1"/>
    <col min="403" max="403" width="13.85546875" style="2" customWidth="1"/>
    <col min="404" max="404" width="9.42578125" style="2" customWidth="1"/>
    <col min="405" max="405" width="16.85546875" style="2" customWidth="1"/>
    <col min="406" max="406" width="14.85546875" style="2" customWidth="1"/>
    <col min="407" max="407" width="12" style="2" customWidth="1"/>
    <col min="408" max="408" width="19" style="2" customWidth="1"/>
    <col min="409" max="409" width="20.7109375" style="2" customWidth="1"/>
    <col min="410" max="410" width="15.85546875" style="2" customWidth="1"/>
    <col min="411" max="411" width="23" style="2" customWidth="1"/>
    <col min="412" max="412" width="9.140625" style="2"/>
    <col min="413" max="413" width="12.28515625" style="2" customWidth="1"/>
    <col min="414" max="414" width="12.5703125" style="2" bestFit="1" customWidth="1"/>
    <col min="415" max="655" width="9.140625" style="2"/>
    <col min="656" max="656" width="1.7109375" style="2" customWidth="1"/>
    <col min="657" max="657" width="11.42578125" style="2" customWidth="1"/>
    <col min="658" max="658" width="39.42578125" style="2" customWidth="1"/>
    <col min="659" max="659" width="13.85546875" style="2" customWidth="1"/>
    <col min="660" max="660" width="9.42578125" style="2" customWidth="1"/>
    <col min="661" max="661" width="16.85546875" style="2" customWidth="1"/>
    <col min="662" max="662" width="14.85546875" style="2" customWidth="1"/>
    <col min="663" max="663" width="12" style="2" customWidth="1"/>
    <col min="664" max="664" width="19" style="2" customWidth="1"/>
    <col min="665" max="665" width="20.7109375" style="2" customWidth="1"/>
    <col min="666" max="666" width="15.85546875" style="2" customWidth="1"/>
    <col min="667" max="667" width="23" style="2" customWidth="1"/>
    <col min="668" max="668" width="9.140625" style="2"/>
    <col min="669" max="669" width="12.28515625" style="2" customWidth="1"/>
    <col min="670" max="670" width="12.5703125" style="2" bestFit="1" customWidth="1"/>
    <col min="671" max="911" width="9.140625" style="2"/>
    <col min="912" max="912" width="1.7109375" style="2" customWidth="1"/>
    <col min="913" max="913" width="11.42578125" style="2" customWidth="1"/>
    <col min="914" max="914" width="39.42578125" style="2" customWidth="1"/>
    <col min="915" max="915" width="13.85546875" style="2" customWidth="1"/>
    <col min="916" max="916" width="9.42578125" style="2" customWidth="1"/>
    <col min="917" max="917" width="16.85546875" style="2" customWidth="1"/>
    <col min="918" max="918" width="14.85546875" style="2" customWidth="1"/>
    <col min="919" max="919" width="12" style="2" customWidth="1"/>
    <col min="920" max="920" width="19" style="2" customWidth="1"/>
    <col min="921" max="921" width="20.7109375" style="2" customWidth="1"/>
    <col min="922" max="922" width="15.85546875" style="2" customWidth="1"/>
    <col min="923" max="923" width="23" style="2" customWidth="1"/>
    <col min="924" max="924" width="9.140625" style="2"/>
    <col min="925" max="925" width="12.28515625" style="2" customWidth="1"/>
    <col min="926" max="926" width="12.5703125" style="2" bestFit="1" customWidth="1"/>
    <col min="927" max="1167" width="9.140625" style="2"/>
    <col min="1168" max="1168" width="1.7109375" style="2" customWidth="1"/>
    <col min="1169" max="1169" width="11.42578125" style="2" customWidth="1"/>
    <col min="1170" max="1170" width="39.42578125" style="2" customWidth="1"/>
    <col min="1171" max="1171" width="13.85546875" style="2" customWidth="1"/>
    <col min="1172" max="1172" width="9.42578125" style="2" customWidth="1"/>
    <col min="1173" max="1173" width="16.85546875" style="2" customWidth="1"/>
    <col min="1174" max="1174" width="14.85546875" style="2" customWidth="1"/>
    <col min="1175" max="1175" width="12" style="2" customWidth="1"/>
    <col min="1176" max="1176" width="19" style="2" customWidth="1"/>
    <col min="1177" max="1177" width="20.7109375" style="2" customWidth="1"/>
    <col min="1178" max="1178" width="15.85546875" style="2" customWidth="1"/>
    <col min="1179" max="1179" width="23" style="2" customWidth="1"/>
    <col min="1180" max="1180" width="9.140625" style="2"/>
    <col min="1181" max="1181" width="12.28515625" style="2" customWidth="1"/>
    <col min="1182" max="1182" width="12.5703125" style="2" bestFit="1" customWidth="1"/>
    <col min="1183" max="1423" width="9.140625" style="2"/>
    <col min="1424" max="1424" width="1.7109375" style="2" customWidth="1"/>
    <col min="1425" max="1425" width="11.42578125" style="2" customWidth="1"/>
    <col min="1426" max="1426" width="39.42578125" style="2" customWidth="1"/>
    <col min="1427" max="1427" width="13.85546875" style="2" customWidth="1"/>
    <col min="1428" max="1428" width="9.42578125" style="2" customWidth="1"/>
    <col min="1429" max="1429" width="16.85546875" style="2" customWidth="1"/>
    <col min="1430" max="1430" width="14.85546875" style="2" customWidth="1"/>
    <col min="1431" max="1431" width="12" style="2" customWidth="1"/>
    <col min="1432" max="1432" width="19" style="2" customWidth="1"/>
    <col min="1433" max="1433" width="20.7109375" style="2" customWidth="1"/>
    <col min="1434" max="1434" width="15.85546875" style="2" customWidth="1"/>
    <col min="1435" max="1435" width="23" style="2" customWidth="1"/>
    <col min="1436" max="1436" width="9.140625" style="2"/>
    <col min="1437" max="1437" width="12.28515625" style="2" customWidth="1"/>
    <col min="1438" max="1438" width="12.5703125" style="2" bestFit="1" customWidth="1"/>
    <col min="1439" max="1679" width="9.140625" style="2"/>
    <col min="1680" max="1680" width="1.7109375" style="2" customWidth="1"/>
    <col min="1681" max="1681" width="11.42578125" style="2" customWidth="1"/>
    <col min="1682" max="1682" width="39.42578125" style="2" customWidth="1"/>
    <col min="1683" max="1683" width="13.85546875" style="2" customWidth="1"/>
    <col min="1684" max="1684" width="9.42578125" style="2" customWidth="1"/>
    <col min="1685" max="1685" width="16.85546875" style="2" customWidth="1"/>
    <col min="1686" max="1686" width="14.85546875" style="2" customWidth="1"/>
    <col min="1687" max="1687" width="12" style="2" customWidth="1"/>
    <col min="1688" max="1688" width="19" style="2" customWidth="1"/>
    <col min="1689" max="1689" width="20.7109375" style="2" customWidth="1"/>
    <col min="1690" max="1690" width="15.85546875" style="2" customWidth="1"/>
    <col min="1691" max="1691" width="23" style="2" customWidth="1"/>
    <col min="1692" max="1692" width="9.140625" style="2"/>
    <col min="1693" max="1693" width="12.28515625" style="2" customWidth="1"/>
    <col min="1694" max="1694" width="12.5703125" style="2" bestFit="1" customWidth="1"/>
    <col min="1695" max="1935" width="9.140625" style="2"/>
    <col min="1936" max="1936" width="1.7109375" style="2" customWidth="1"/>
    <col min="1937" max="1937" width="11.42578125" style="2" customWidth="1"/>
    <col min="1938" max="1938" width="39.42578125" style="2" customWidth="1"/>
    <col min="1939" max="1939" width="13.85546875" style="2" customWidth="1"/>
    <col min="1940" max="1940" width="9.42578125" style="2" customWidth="1"/>
    <col min="1941" max="1941" width="16.85546875" style="2" customWidth="1"/>
    <col min="1942" max="1942" width="14.85546875" style="2" customWidth="1"/>
    <col min="1943" max="1943" width="12" style="2" customWidth="1"/>
    <col min="1944" max="1944" width="19" style="2" customWidth="1"/>
    <col min="1945" max="1945" width="20.7109375" style="2" customWidth="1"/>
    <col min="1946" max="1946" width="15.85546875" style="2" customWidth="1"/>
    <col min="1947" max="1947" width="23" style="2" customWidth="1"/>
    <col min="1948" max="1948" width="9.140625" style="2"/>
    <col min="1949" max="1949" width="12.28515625" style="2" customWidth="1"/>
    <col min="1950" max="1950" width="12.5703125" style="2" bestFit="1" customWidth="1"/>
    <col min="1951" max="2191" width="9.140625" style="2"/>
    <col min="2192" max="2192" width="1.7109375" style="2" customWidth="1"/>
    <col min="2193" max="2193" width="11.42578125" style="2" customWidth="1"/>
    <col min="2194" max="2194" width="39.42578125" style="2" customWidth="1"/>
    <col min="2195" max="2195" width="13.85546875" style="2" customWidth="1"/>
    <col min="2196" max="2196" width="9.42578125" style="2" customWidth="1"/>
    <col min="2197" max="2197" width="16.85546875" style="2" customWidth="1"/>
    <col min="2198" max="2198" width="14.85546875" style="2" customWidth="1"/>
    <col min="2199" max="2199" width="12" style="2" customWidth="1"/>
    <col min="2200" max="2200" width="19" style="2" customWidth="1"/>
    <col min="2201" max="2201" width="20.7109375" style="2" customWidth="1"/>
    <col min="2202" max="2202" width="15.85546875" style="2" customWidth="1"/>
    <col min="2203" max="2203" width="23" style="2" customWidth="1"/>
    <col min="2204" max="2204" width="9.140625" style="2"/>
    <col min="2205" max="2205" width="12.28515625" style="2" customWidth="1"/>
    <col min="2206" max="2206" width="12.5703125" style="2" bestFit="1" customWidth="1"/>
    <col min="2207" max="2447" width="9.140625" style="2"/>
    <col min="2448" max="2448" width="1.7109375" style="2" customWidth="1"/>
    <col min="2449" max="2449" width="11.42578125" style="2" customWidth="1"/>
    <col min="2450" max="2450" width="39.42578125" style="2" customWidth="1"/>
    <col min="2451" max="2451" width="13.85546875" style="2" customWidth="1"/>
    <col min="2452" max="2452" width="9.42578125" style="2" customWidth="1"/>
    <col min="2453" max="2453" width="16.85546875" style="2" customWidth="1"/>
    <col min="2454" max="2454" width="14.85546875" style="2" customWidth="1"/>
    <col min="2455" max="2455" width="12" style="2" customWidth="1"/>
    <col min="2456" max="2456" width="19" style="2" customWidth="1"/>
    <col min="2457" max="2457" width="20.7109375" style="2" customWidth="1"/>
    <col min="2458" max="2458" width="15.85546875" style="2" customWidth="1"/>
    <col min="2459" max="2459" width="23" style="2" customWidth="1"/>
    <col min="2460" max="2460" width="9.140625" style="2"/>
    <col min="2461" max="2461" width="12.28515625" style="2" customWidth="1"/>
    <col min="2462" max="2462" width="12.5703125" style="2" bestFit="1" customWidth="1"/>
    <col min="2463" max="2703" width="9.140625" style="2"/>
    <col min="2704" max="2704" width="1.7109375" style="2" customWidth="1"/>
    <col min="2705" max="2705" width="11.42578125" style="2" customWidth="1"/>
    <col min="2706" max="2706" width="39.42578125" style="2" customWidth="1"/>
    <col min="2707" max="2707" width="13.85546875" style="2" customWidth="1"/>
    <col min="2708" max="2708" width="9.42578125" style="2" customWidth="1"/>
    <col min="2709" max="2709" width="16.85546875" style="2" customWidth="1"/>
    <col min="2710" max="2710" width="14.85546875" style="2" customWidth="1"/>
    <col min="2711" max="2711" width="12" style="2" customWidth="1"/>
    <col min="2712" max="2712" width="19" style="2" customWidth="1"/>
    <col min="2713" max="2713" width="20.7109375" style="2" customWidth="1"/>
    <col min="2714" max="2714" width="15.85546875" style="2" customWidth="1"/>
    <col min="2715" max="2715" width="23" style="2" customWidth="1"/>
    <col min="2716" max="2716" width="9.140625" style="2"/>
    <col min="2717" max="2717" width="12.28515625" style="2" customWidth="1"/>
    <col min="2718" max="2718" width="12.5703125" style="2" bestFit="1" customWidth="1"/>
    <col min="2719" max="2959" width="9.140625" style="2"/>
    <col min="2960" max="2960" width="1.7109375" style="2" customWidth="1"/>
    <col min="2961" max="2961" width="11.42578125" style="2" customWidth="1"/>
    <col min="2962" max="2962" width="39.42578125" style="2" customWidth="1"/>
    <col min="2963" max="2963" width="13.85546875" style="2" customWidth="1"/>
    <col min="2964" max="2964" width="9.42578125" style="2" customWidth="1"/>
    <col min="2965" max="2965" width="16.85546875" style="2" customWidth="1"/>
    <col min="2966" max="2966" width="14.85546875" style="2" customWidth="1"/>
    <col min="2967" max="2967" width="12" style="2" customWidth="1"/>
    <col min="2968" max="2968" width="19" style="2" customWidth="1"/>
    <col min="2969" max="2969" width="20.7109375" style="2" customWidth="1"/>
    <col min="2970" max="2970" width="15.85546875" style="2" customWidth="1"/>
    <col min="2971" max="2971" width="23" style="2" customWidth="1"/>
    <col min="2972" max="2972" width="9.140625" style="2"/>
    <col min="2973" max="2973" width="12.28515625" style="2" customWidth="1"/>
    <col min="2974" max="2974" width="12.5703125" style="2" bestFit="1" customWidth="1"/>
    <col min="2975" max="3215" width="9.140625" style="2"/>
    <col min="3216" max="3216" width="1.7109375" style="2" customWidth="1"/>
    <col min="3217" max="3217" width="11.42578125" style="2" customWidth="1"/>
    <col min="3218" max="3218" width="39.42578125" style="2" customWidth="1"/>
    <col min="3219" max="3219" width="13.85546875" style="2" customWidth="1"/>
    <col min="3220" max="3220" width="9.42578125" style="2" customWidth="1"/>
    <col min="3221" max="3221" width="16.85546875" style="2" customWidth="1"/>
    <col min="3222" max="3222" width="14.85546875" style="2" customWidth="1"/>
    <col min="3223" max="3223" width="12" style="2" customWidth="1"/>
    <col min="3224" max="3224" width="19" style="2" customWidth="1"/>
    <col min="3225" max="3225" width="20.7109375" style="2" customWidth="1"/>
    <col min="3226" max="3226" width="15.85546875" style="2" customWidth="1"/>
    <col min="3227" max="3227" width="23" style="2" customWidth="1"/>
    <col min="3228" max="3228" width="9.140625" style="2"/>
    <col min="3229" max="3229" width="12.28515625" style="2" customWidth="1"/>
    <col min="3230" max="3230" width="12.5703125" style="2" bestFit="1" customWidth="1"/>
    <col min="3231" max="3471" width="9.140625" style="2"/>
    <col min="3472" max="3472" width="1.7109375" style="2" customWidth="1"/>
    <col min="3473" max="3473" width="11.42578125" style="2" customWidth="1"/>
    <col min="3474" max="3474" width="39.42578125" style="2" customWidth="1"/>
    <col min="3475" max="3475" width="13.85546875" style="2" customWidth="1"/>
    <col min="3476" max="3476" width="9.42578125" style="2" customWidth="1"/>
    <col min="3477" max="3477" width="16.85546875" style="2" customWidth="1"/>
    <col min="3478" max="3478" width="14.85546875" style="2" customWidth="1"/>
    <col min="3479" max="3479" width="12" style="2" customWidth="1"/>
    <col min="3480" max="3480" width="19" style="2" customWidth="1"/>
    <col min="3481" max="3481" width="20.7109375" style="2" customWidth="1"/>
    <col min="3482" max="3482" width="15.85546875" style="2" customWidth="1"/>
    <col min="3483" max="3483" width="23" style="2" customWidth="1"/>
    <col min="3484" max="3484" width="9.140625" style="2"/>
    <col min="3485" max="3485" width="12.28515625" style="2" customWidth="1"/>
    <col min="3486" max="3486" width="12.5703125" style="2" bestFit="1" customWidth="1"/>
    <col min="3487" max="3727" width="9.140625" style="2"/>
    <col min="3728" max="3728" width="1.7109375" style="2" customWidth="1"/>
    <col min="3729" max="3729" width="11.42578125" style="2" customWidth="1"/>
    <col min="3730" max="3730" width="39.42578125" style="2" customWidth="1"/>
    <col min="3731" max="3731" width="13.85546875" style="2" customWidth="1"/>
    <col min="3732" max="3732" width="9.42578125" style="2" customWidth="1"/>
    <col min="3733" max="3733" width="16.85546875" style="2" customWidth="1"/>
    <col min="3734" max="3734" width="14.85546875" style="2" customWidth="1"/>
    <col min="3735" max="3735" width="12" style="2" customWidth="1"/>
    <col min="3736" max="3736" width="19" style="2" customWidth="1"/>
    <col min="3737" max="3737" width="20.7109375" style="2" customWidth="1"/>
    <col min="3738" max="3738" width="15.85546875" style="2" customWidth="1"/>
    <col min="3739" max="3739" width="23" style="2" customWidth="1"/>
    <col min="3740" max="3740" width="9.140625" style="2"/>
    <col min="3741" max="3741" width="12.28515625" style="2" customWidth="1"/>
    <col min="3742" max="3742" width="12.5703125" style="2" bestFit="1" customWidth="1"/>
    <col min="3743" max="3983" width="9.140625" style="2"/>
    <col min="3984" max="3984" width="1.7109375" style="2" customWidth="1"/>
    <col min="3985" max="3985" width="11.42578125" style="2" customWidth="1"/>
    <col min="3986" max="3986" width="39.42578125" style="2" customWidth="1"/>
    <col min="3987" max="3987" width="13.85546875" style="2" customWidth="1"/>
    <col min="3988" max="3988" width="9.42578125" style="2" customWidth="1"/>
    <col min="3989" max="3989" width="16.85546875" style="2" customWidth="1"/>
    <col min="3990" max="3990" width="14.85546875" style="2" customWidth="1"/>
    <col min="3991" max="3991" width="12" style="2" customWidth="1"/>
    <col min="3992" max="3992" width="19" style="2" customWidth="1"/>
    <col min="3993" max="3993" width="20.7109375" style="2" customWidth="1"/>
    <col min="3994" max="3994" width="15.85546875" style="2" customWidth="1"/>
    <col min="3995" max="3995" width="23" style="2" customWidth="1"/>
    <col min="3996" max="3996" width="9.140625" style="2"/>
    <col min="3997" max="3997" width="12.28515625" style="2" customWidth="1"/>
    <col min="3998" max="3998" width="12.5703125" style="2" bestFit="1" customWidth="1"/>
    <col min="3999" max="4239" width="9.140625" style="2"/>
    <col min="4240" max="4240" width="1.7109375" style="2" customWidth="1"/>
    <col min="4241" max="4241" width="11.42578125" style="2" customWidth="1"/>
    <col min="4242" max="4242" width="39.42578125" style="2" customWidth="1"/>
    <col min="4243" max="4243" width="13.85546875" style="2" customWidth="1"/>
    <col min="4244" max="4244" width="9.42578125" style="2" customWidth="1"/>
    <col min="4245" max="4245" width="16.85546875" style="2" customWidth="1"/>
    <col min="4246" max="4246" width="14.85546875" style="2" customWidth="1"/>
    <col min="4247" max="4247" width="12" style="2" customWidth="1"/>
    <col min="4248" max="4248" width="19" style="2" customWidth="1"/>
    <col min="4249" max="4249" width="20.7109375" style="2" customWidth="1"/>
    <col min="4250" max="4250" width="15.85546875" style="2" customWidth="1"/>
    <col min="4251" max="4251" width="23" style="2" customWidth="1"/>
    <col min="4252" max="4252" width="9.140625" style="2"/>
    <col min="4253" max="4253" width="12.28515625" style="2" customWidth="1"/>
    <col min="4254" max="4254" width="12.5703125" style="2" bestFit="1" customWidth="1"/>
    <col min="4255" max="4495" width="9.140625" style="2"/>
    <col min="4496" max="4496" width="1.7109375" style="2" customWidth="1"/>
    <col min="4497" max="4497" width="11.42578125" style="2" customWidth="1"/>
    <col min="4498" max="4498" width="39.42578125" style="2" customWidth="1"/>
    <col min="4499" max="4499" width="13.85546875" style="2" customWidth="1"/>
    <col min="4500" max="4500" width="9.42578125" style="2" customWidth="1"/>
    <col min="4501" max="4501" width="16.85546875" style="2" customWidth="1"/>
    <col min="4502" max="4502" width="14.85546875" style="2" customWidth="1"/>
    <col min="4503" max="4503" width="12" style="2" customWidth="1"/>
    <col min="4504" max="4504" width="19" style="2" customWidth="1"/>
    <col min="4505" max="4505" width="20.7109375" style="2" customWidth="1"/>
    <col min="4506" max="4506" width="15.85546875" style="2" customWidth="1"/>
    <col min="4507" max="4507" width="23" style="2" customWidth="1"/>
    <col min="4508" max="4508" width="9.140625" style="2"/>
    <col min="4509" max="4509" width="12.28515625" style="2" customWidth="1"/>
    <col min="4510" max="4510" width="12.5703125" style="2" bestFit="1" customWidth="1"/>
    <col min="4511" max="4751" width="9.140625" style="2"/>
    <col min="4752" max="4752" width="1.7109375" style="2" customWidth="1"/>
    <col min="4753" max="4753" width="11.42578125" style="2" customWidth="1"/>
    <col min="4754" max="4754" width="39.42578125" style="2" customWidth="1"/>
    <col min="4755" max="4755" width="13.85546875" style="2" customWidth="1"/>
    <col min="4756" max="4756" width="9.42578125" style="2" customWidth="1"/>
    <col min="4757" max="4757" width="16.85546875" style="2" customWidth="1"/>
    <col min="4758" max="4758" width="14.85546875" style="2" customWidth="1"/>
    <col min="4759" max="4759" width="12" style="2" customWidth="1"/>
    <col min="4760" max="4760" width="19" style="2" customWidth="1"/>
    <col min="4761" max="4761" width="20.7109375" style="2" customWidth="1"/>
    <col min="4762" max="4762" width="15.85546875" style="2" customWidth="1"/>
    <col min="4763" max="4763" width="23" style="2" customWidth="1"/>
    <col min="4764" max="4764" width="9.140625" style="2"/>
    <col min="4765" max="4765" width="12.28515625" style="2" customWidth="1"/>
    <col min="4766" max="4766" width="12.5703125" style="2" bestFit="1" customWidth="1"/>
    <col min="4767" max="5007" width="9.140625" style="2"/>
    <col min="5008" max="5008" width="1.7109375" style="2" customWidth="1"/>
    <col min="5009" max="5009" width="11.42578125" style="2" customWidth="1"/>
    <col min="5010" max="5010" width="39.42578125" style="2" customWidth="1"/>
    <col min="5011" max="5011" width="13.85546875" style="2" customWidth="1"/>
    <col min="5012" max="5012" width="9.42578125" style="2" customWidth="1"/>
    <col min="5013" max="5013" width="16.85546875" style="2" customWidth="1"/>
    <col min="5014" max="5014" width="14.85546875" style="2" customWidth="1"/>
    <col min="5015" max="5015" width="12" style="2" customWidth="1"/>
    <col min="5016" max="5016" width="19" style="2" customWidth="1"/>
    <col min="5017" max="5017" width="20.7109375" style="2" customWidth="1"/>
    <col min="5018" max="5018" width="15.85546875" style="2" customWidth="1"/>
    <col min="5019" max="5019" width="23" style="2" customWidth="1"/>
    <col min="5020" max="5020" width="9.140625" style="2"/>
    <col min="5021" max="5021" width="12.28515625" style="2" customWidth="1"/>
    <col min="5022" max="5022" width="12.5703125" style="2" bestFit="1" customWidth="1"/>
    <col min="5023" max="5263" width="9.140625" style="2"/>
    <col min="5264" max="5264" width="1.7109375" style="2" customWidth="1"/>
    <col min="5265" max="5265" width="11.42578125" style="2" customWidth="1"/>
    <col min="5266" max="5266" width="39.42578125" style="2" customWidth="1"/>
    <col min="5267" max="5267" width="13.85546875" style="2" customWidth="1"/>
    <col min="5268" max="5268" width="9.42578125" style="2" customWidth="1"/>
    <col min="5269" max="5269" width="16.85546875" style="2" customWidth="1"/>
    <col min="5270" max="5270" width="14.85546875" style="2" customWidth="1"/>
    <col min="5271" max="5271" width="12" style="2" customWidth="1"/>
    <col min="5272" max="5272" width="19" style="2" customWidth="1"/>
    <col min="5273" max="5273" width="20.7109375" style="2" customWidth="1"/>
    <col min="5274" max="5274" width="15.85546875" style="2" customWidth="1"/>
    <col min="5275" max="5275" width="23" style="2" customWidth="1"/>
    <col min="5276" max="5276" width="9.140625" style="2"/>
    <col min="5277" max="5277" width="12.28515625" style="2" customWidth="1"/>
    <col min="5278" max="5278" width="12.5703125" style="2" bestFit="1" customWidth="1"/>
    <col min="5279" max="5519" width="9.140625" style="2"/>
    <col min="5520" max="5520" width="1.7109375" style="2" customWidth="1"/>
    <col min="5521" max="5521" width="11.42578125" style="2" customWidth="1"/>
    <col min="5522" max="5522" width="39.42578125" style="2" customWidth="1"/>
    <col min="5523" max="5523" width="13.85546875" style="2" customWidth="1"/>
    <col min="5524" max="5524" width="9.42578125" style="2" customWidth="1"/>
    <col min="5525" max="5525" width="16.85546875" style="2" customWidth="1"/>
    <col min="5526" max="5526" width="14.85546875" style="2" customWidth="1"/>
    <col min="5527" max="5527" width="12" style="2" customWidth="1"/>
    <col min="5528" max="5528" width="19" style="2" customWidth="1"/>
    <col min="5529" max="5529" width="20.7109375" style="2" customWidth="1"/>
    <col min="5530" max="5530" width="15.85546875" style="2" customWidth="1"/>
    <col min="5531" max="5531" width="23" style="2" customWidth="1"/>
    <col min="5532" max="5532" width="9.140625" style="2"/>
    <col min="5533" max="5533" width="12.28515625" style="2" customWidth="1"/>
    <col min="5534" max="5534" width="12.5703125" style="2" bestFit="1" customWidth="1"/>
    <col min="5535" max="5775" width="9.140625" style="2"/>
    <col min="5776" max="5776" width="1.7109375" style="2" customWidth="1"/>
    <col min="5777" max="5777" width="11.42578125" style="2" customWidth="1"/>
    <col min="5778" max="5778" width="39.42578125" style="2" customWidth="1"/>
    <col min="5779" max="5779" width="13.85546875" style="2" customWidth="1"/>
    <col min="5780" max="5780" width="9.42578125" style="2" customWidth="1"/>
    <col min="5781" max="5781" width="16.85546875" style="2" customWidth="1"/>
    <col min="5782" max="5782" width="14.85546875" style="2" customWidth="1"/>
    <col min="5783" max="5783" width="12" style="2" customWidth="1"/>
    <col min="5784" max="5784" width="19" style="2" customWidth="1"/>
    <col min="5785" max="5785" width="20.7109375" style="2" customWidth="1"/>
    <col min="5786" max="5786" width="15.85546875" style="2" customWidth="1"/>
    <col min="5787" max="5787" width="23" style="2" customWidth="1"/>
    <col min="5788" max="5788" width="9.140625" style="2"/>
    <col min="5789" max="5789" width="12.28515625" style="2" customWidth="1"/>
    <col min="5790" max="5790" width="12.5703125" style="2" bestFit="1" customWidth="1"/>
    <col min="5791" max="6031" width="9.140625" style="2"/>
    <col min="6032" max="6032" width="1.7109375" style="2" customWidth="1"/>
    <col min="6033" max="6033" width="11.42578125" style="2" customWidth="1"/>
    <col min="6034" max="6034" width="39.42578125" style="2" customWidth="1"/>
    <col min="6035" max="6035" width="13.85546875" style="2" customWidth="1"/>
    <col min="6036" max="6036" width="9.42578125" style="2" customWidth="1"/>
    <col min="6037" max="6037" width="16.85546875" style="2" customWidth="1"/>
    <col min="6038" max="6038" width="14.85546875" style="2" customWidth="1"/>
    <col min="6039" max="6039" width="12" style="2" customWidth="1"/>
    <col min="6040" max="6040" width="19" style="2" customWidth="1"/>
    <col min="6041" max="6041" width="20.7109375" style="2" customWidth="1"/>
    <col min="6042" max="6042" width="15.85546875" style="2" customWidth="1"/>
    <col min="6043" max="6043" width="23" style="2" customWidth="1"/>
    <col min="6044" max="6044" width="9.140625" style="2"/>
    <col min="6045" max="6045" width="12.28515625" style="2" customWidth="1"/>
    <col min="6046" max="6046" width="12.5703125" style="2" bestFit="1" customWidth="1"/>
    <col min="6047" max="6287" width="9.140625" style="2"/>
    <col min="6288" max="6288" width="1.7109375" style="2" customWidth="1"/>
    <col min="6289" max="6289" width="11.42578125" style="2" customWidth="1"/>
    <col min="6290" max="6290" width="39.42578125" style="2" customWidth="1"/>
    <col min="6291" max="6291" width="13.85546875" style="2" customWidth="1"/>
    <col min="6292" max="6292" width="9.42578125" style="2" customWidth="1"/>
    <col min="6293" max="6293" width="16.85546875" style="2" customWidth="1"/>
    <col min="6294" max="6294" width="14.85546875" style="2" customWidth="1"/>
    <col min="6295" max="6295" width="12" style="2" customWidth="1"/>
    <col min="6296" max="6296" width="19" style="2" customWidth="1"/>
    <col min="6297" max="6297" width="20.7109375" style="2" customWidth="1"/>
    <col min="6298" max="6298" width="15.85546875" style="2" customWidth="1"/>
    <col min="6299" max="6299" width="23" style="2" customWidth="1"/>
    <col min="6300" max="6300" width="9.140625" style="2"/>
    <col min="6301" max="6301" width="12.28515625" style="2" customWidth="1"/>
    <col min="6302" max="6302" width="12.5703125" style="2" bestFit="1" customWidth="1"/>
    <col min="6303" max="6543" width="9.140625" style="2"/>
    <col min="6544" max="6544" width="1.7109375" style="2" customWidth="1"/>
    <col min="6545" max="6545" width="11.42578125" style="2" customWidth="1"/>
    <col min="6546" max="6546" width="39.42578125" style="2" customWidth="1"/>
    <col min="6547" max="6547" width="13.85546875" style="2" customWidth="1"/>
    <col min="6548" max="6548" width="9.42578125" style="2" customWidth="1"/>
    <col min="6549" max="6549" width="16.85546875" style="2" customWidth="1"/>
    <col min="6550" max="6550" width="14.85546875" style="2" customWidth="1"/>
    <col min="6551" max="6551" width="12" style="2" customWidth="1"/>
    <col min="6552" max="6552" width="19" style="2" customWidth="1"/>
    <col min="6553" max="6553" width="20.7109375" style="2" customWidth="1"/>
    <col min="6554" max="6554" width="15.85546875" style="2" customWidth="1"/>
    <col min="6555" max="6555" width="23" style="2" customWidth="1"/>
    <col min="6556" max="6556" width="9.140625" style="2"/>
    <col min="6557" max="6557" width="12.28515625" style="2" customWidth="1"/>
    <col min="6558" max="6558" width="12.5703125" style="2" bestFit="1" customWidth="1"/>
    <col min="6559" max="6799" width="9.140625" style="2"/>
    <col min="6800" max="6800" width="1.7109375" style="2" customWidth="1"/>
    <col min="6801" max="6801" width="11.42578125" style="2" customWidth="1"/>
    <col min="6802" max="6802" width="39.42578125" style="2" customWidth="1"/>
    <col min="6803" max="6803" width="13.85546875" style="2" customWidth="1"/>
    <col min="6804" max="6804" width="9.42578125" style="2" customWidth="1"/>
    <col min="6805" max="6805" width="16.85546875" style="2" customWidth="1"/>
    <col min="6806" max="6806" width="14.85546875" style="2" customWidth="1"/>
    <col min="6807" max="6807" width="12" style="2" customWidth="1"/>
    <col min="6808" max="6808" width="19" style="2" customWidth="1"/>
    <col min="6809" max="6809" width="20.7109375" style="2" customWidth="1"/>
    <col min="6810" max="6810" width="15.85546875" style="2" customWidth="1"/>
    <col min="6811" max="6811" width="23" style="2" customWidth="1"/>
    <col min="6812" max="6812" width="9.140625" style="2"/>
    <col min="6813" max="6813" width="12.28515625" style="2" customWidth="1"/>
    <col min="6814" max="6814" width="12.5703125" style="2" bestFit="1" customWidth="1"/>
    <col min="6815" max="7055" width="9.140625" style="2"/>
    <col min="7056" max="7056" width="1.7109375" style="2" customWidth="1"/>
    <col min="7057" max="7057" width="11.42578125" style="2" customWidth="1"/>
    <col min="7058" max="7058" width="39.42578125" style="2" customWidth="1"/>
    <col min="7059" max="7059" width="13.85546875" style="2" customWidth="1"/>
    <col min="7060" max="7060" width="9.42578125" style="2" customWidth="1"/>
    <col min="7061" max="7061" width="16.85546875" style="2" customWidth="1"/>
    <col min="7062" max="7062" width="14.85546875" style="2" customWidth="1"/>
    <col min="7063" max="7063" width="12" style="2" customWidth="1"/>
    <col min="7064" max="7064" width="19" style="2" customWidth="1"/>
    <col min="7065" max="7065" width="20.7109375" style="2" customWidth="1"/>
    <col min="7066" max="7066" width="15.85546875" style="2" customWidth="1"/>
    <col min="7067" max="7067" width="23" style="2" customWidth="1"/>
    <col min="7068" max="7068" width="9.140625" style="2"/>
    <col min="7069" max="7069" width="12.28515625" style="2" customWidth="1"/>
    <col min="7070" max="7070" width="12.5703125" style="2" bestFit="1" customWidth="1"/>
    <col min="7071" max="7311" width="9.140625" style="2"/>
    <col min="7312" max="7312" width="1.7109375" style="2" customWidth="1"/>
    <col min="7313" max="7313" width="11.42578125" style="2" customWidth="1"/>
    <col min="7314" max="7314" width="39.42578125" style="2" customWidth="1"/>
    <col min="7315" max="7315" width="13.85546875" style="2" customWidth="1"/>
    <col min="7316" max="7316" width="9.42578125" style="2" customWidth="1"/>
    <col min="7317" max="7317" width="16.85546875" style="2" customWidth="1"/>
    <col min="7318" max="7318" width="14.85546875" style="2" customWidth="1"/>
    <col min="7319" max="7319" width="12" style="2" customWidth="1"/>
    <col min="7320" max="7320" width="19" style="2" customWidth="1"/>
    <col min="7321" max="7321" width="20.7109375" style="2" customWidth="1"/>
    <col min="7322" max="7322" width="15.85546875" style="2" customWidth="1"/>
    <col min="7323" max="7323" width="23" style="2" customWidth="1"/>
    <col min="7324" max="7324" width="9.140625" style="2"/>
    <col min="7325" max="7325" width="12.28515625" style="2" customWidth="1"/>
    <col min="7326" max="7326" width="12.5703125" style="2" bestFit="1" customWidth="1"/>
    <col min="7327" max="7567" width="9.140625" style="2"/>
    <col min="7568" max="7568" width="1.7109375" style="2" customWidth="1"/>
    <col min="7569" max="7569" width="11.42578125" style="2" customWidth="1"/>
    <col min="7570" max="7570" width="39.42578125" style="2" customWidth="1"/>
    <col min="7571" max="7571" width="13.85546875" style="2" customWidth="1"/>
    <col min="7572" max="7572" width="9.42578125" style="2" customWidth="1"/>
    <col min="7573" max="7573" width="16.85546875" style="2" customWidth="1"/>
    <col min="7574" max="7574" width="14.85546875" style="2" customWidth="1"/>
    <col min="7575" max="7575" width="12" style="2" customWidth="1"/>
    <col min="7576" max="7576" width="19" style="2" customWidth="1"/>
    <col min="7577" max="7577" width="20.7109375" style="2" customWidth="1"/>
    <col min="7578" max="7578" width="15.85546875" style="2" customWidth="1"/>
    <col min="7579" max="7579" width="23" style="2" customWidth="1"/>
    <col min="7580" max="7580" width="9.140625" style="2"/>
    <col min="7581" max="7581" width="12.28515625" style="2" customWidth="1"/>
    <col min="7582" max="7582" width="12.5703125" style="2" bestFit="1" customWidth="1"/>
    <col min="7583" max="7823" width="9.140625" style="2"/>
    <col min="7824" max="7824" width="1.7109375" style="2" customWidth="1"/>
    <col min="7825" max="7825" width="11.42578125" style="2" customWidth="1"/>
    <col min="7826" max="7826" width="39.42578125" style="2" customWidth="1"/>
    <col min="7827" max="7827" width="13.85546875" style="2" customWidth="1"/>
    <col min="7828" max="7828" width="9.42578125" style="2" customWidth="1"/>
    <col min="7829" max="7829" width="16.85546875" style="2" customWidth="1"/>
    <col min="7830" max="7830" width="14.85546875" style="2" customWidth="1"/>
    <col min="7831" max="7831" width="12" style="2" customWidth="1"/>
    <col min="7832" max="7832" width="19" style="2" customWidth="1"/>
    <col min="7833" max="7833" width="20.7109375" style="2" customWidth="1"/>
    <col min="7834" max="7834" width="15.85546875" style="2" customWidth="1"/>
    <col min="7835" max="7835" width="23" style="2" customWidth="1"/>
    <col min="7836" max="7836" width="9.140625" style="2"/>
    <col min="7837" max="7837" width="12.28515625" style="2" customWidth="1"/>
    <col min="7838" max="7838" width="12.5703125" style="2" bestFit="1" customWidth="1"/>
    <col min="7839" max="8079" width="9.140625" style="2"/>
    <col min="8080" max="8080" width="1.7109375" style="2" customWidth="1"/>
    <col min="8081" max="8081" width="11.42578125" style="2" customWidth="1"/>
    <col min="8082" max="8082" width="39.42578125" style="2" customWidth="1"/>
    <col min="8083" max="8083" width="13.85546875" style="2" customWidth="1"/>
    <col min="8084" max="8084" width="9.42578125" style="2" customWidth="1"/>
    <col min="8085" max="8085" width="16.85546875" style="2" customWidth="1"/>
    <col min="8086" max="8086" width="14.85546875" style="2" customWidth="1"/>
    <col min="8087" max="8087" width="12" style="2" customWidth="1"/>
    <col min="8088" max="8088" width="19" style="2" customWidth="1"/>
    <col min="8089" max="8089" width="20.7109375" style="2" customWidth="1"/>
    <col min="8090" max="8090" width="15.85546875" style="2" customWidth="1"/>
    <col min="8091" max="8091" width="23" style="2" customWidth="1"/>
    <col min="8092" max="8092" width="9.140625" style="2"/>
    <col min="8093" max="8093" width="12.28515625" style="2" customWidth="1"/>
    <col min="8094" max="8094" width="12.5703125" style="2" bestFit="1" customWidth="1"/>
    <col min="8095" max="8335" width="9.140625" style="2"/>
    <col min="8336" max="8336" width="1.7109375" style="2" customWidth="1"/>
    <col min="8337" max="8337" width="11.42578125" style="2" customWidth="1"/>
    <col min="8338" max="8338" width="39.42578125" style="2" customWidth="1"/>
    <col min="8339" max="8339" width="13.85546875" style="2" customWidth="1"/>
    <col min="8340" max="8340" width="9.42578125" style="2" customWidth="1"/>
    <col min="8341" max="8341" width="16.85546875" style="2" customWidth="1"/>
    <col min="8342" max="8342" width="14.85546875" style="2" customWidth="1"/>
    <col min="8343" max="8343" width="12" style="2" customWidth="1"/>
    <col min="8344" max="8344" width="19" style="2" customWidth="1"/>
    <col min="8345" max="8345" width="20.7109375" style="2" customWidth="1"/>
    <col min="8346" max="8346" width="15.85546875" style="2" customWidth="1"/>
    <col min="8347" max="8347" width="23" style="2" customWidth="1"/>
    <col min="8348" max="8348" width="9.140625" style="2"/>
    <col min="8349" max="8349" width="12.28515625" style="2" customWidth="1"/>
    <col min="8350" max="8350" width="12.5703125" style="2" bestFit="1" customWidth="1"/>
    <col min="8351" max="8591" width="9.140625" style="2"/>
    <col min="8592" max="8592" width="1.7109375" style="2" customWidth="1"/>
    <col min="8593" max="8593" width="11.42578125" style="2" customWidth="1"/>
    <col min="8594" max="8594" width="39.42578125" style="2" customWidth="1"/>
    <col min="8595" max="8595" width="13.85546875" style="2" customWidth="1"/>
    <col min="8596" max="8596" width="9.42578125" style="2" customWidth="1"/>
    <col min="8597" max="8597" width="16.85546875" style="2" customWidth="1"/>
    <col min="8598" max="8598" width="14.85546875" style="2" customWidth="1"/>
    <col min="8599" max="8599" width="12" style="2" customWidth="1"/>
    <col min="8600" max="8600" width="19" style="2" customWidth="1"/>
    <col min="8601" max="8601" width="20.7109375" style="2" customWidth="1"/>
    <col min="8602" max="8602" width="15.85546875" style="2" customWidth="1"/>
    <col min="8603" max="8603" width="23" style="2" customWidth="1"/>
    <col min="8604" max="8604" width="9.140625" style="2"/>
    <col min="8605" max="8605" width="12.28515625" style="2" customWidth="1"/>
    <col min="8606" max="8606" width="12.5703125" style="2" bestFit="1" customWidth="1"/>
    <col min="8607" max="8847" width="9.140625" style="2"/>
    <col min="8848" max="8848" width="1.7109375" style="2" customWidth="1"/>
    <col min="8849" max="8849" width="11.42578125" style="2" customWidth="1"/>
    <col min="8850" max="8850" width="39.42578125" style="2" customWidth="1"/>
    <col min="8851" max="8851" width="13.85546875" style="2" customWidth="1"/>
    <col min="8852" max="8852" width="9.42578125" style="2" customWidth="1"/>
    <col min="8853" max="8853" width="16.85546875" style="2" customWidth="1"/>
    <col min="8854" max="8854" width="14.85546875" style="2" customWidth="1"/>
    <col min="8855" max="8855" width="12" style="2" customWidth="1"/>
    <col min="8856" max="8856" width="19" style="2" customWidth="1"/>
    <col min="8857" max="8857" width="20.7109375" style="2" customWidth="1"/>
    <col min="8858" max="8858" width="15.85546875" style="2" customWidth="1"/>
    <col min="8859" max="8859" width="23" style="2" customWidth="1"/>
    <col min="8860" max="8860" width="9.140625" style="2"/>
    <col min="8861" max="8861" width="12.28515625" style="2" customWidth="1"/>
    <col min="8862" max="8862" width="12.5703125" style="2" bestFit="1" customWidth="1"/>
    <col min="8863" max="9103" width="9.140625" style="2"/>
    <col min="9104" max="9104" width="1.7109375" style="2" customWidth="1"/>
    <col min="9105" max="9105" width="11.42578125" style="2" customWidth="1"/>
    <col min="9106" max="9106" width="39.42578125" style="2" customWidth="1"/>
    <col min="9107" max="9107" width="13.85546875" style="2" customWidth="1"/>
    <col min="9108" max="9108" width="9.42578125" style="2" customWidth="1"/>
    <col min="9109" max="9109" width="16.85546875" style="2" customWidth="1"/>
    <col min="9110" max="9110" width="14.85546875" style="2" customWidth="1"/>
    <col min="9111" max="9111" width="12" style="2" customWidth="1"/>
    <col min="9112" max="9112" width="19" style="2" customWidth="1"/>
    <col min="9113" max="9113" width="20.7109375" style="2" customWidth="1"/>
    <col min="9114" max="9114" width="15.85546875" style="2" customWidth="1"/>
    <col min="9115" max="9115" width="23" style="2" customWidth="1"/>
    <col min="9116" max="9116" width="9.140625" style="2"/>
    <col min="9117" max="9117" width="12.28515625" style="2" customWidth="1"/>
    <col min="9118" max="9118" width="12.5703125" style="2" bestFit="1" customWidth="1"/>
    <col min="9119" max="9359" width="9.140625" style="2"/>
    <col min="9360" max="9360" width="1.7109375" style="2" customWidth="1"/>
    <col min="9361" max="9361" width="11.42578125" style="2" customWidth="1"/>
    <col min="9362" max="9362" width="39.42578125" style="2" customWidth="1"/>
    <col min="9363" max="9363" width="13.85546875" style="2" customWidth="1"/>
    <col min="9364" max="9364" width="9.42578125" style="2" customWidth="1"/>
    <col min="9365" max="9365" width="16.85546875" style="2" customWidth="1"/>
    <col min="9366" max="9366" width="14.85546875" style="2" customWidth="1"/>
    <col min="9367" max="9367" width="12" style="2" customWidth="1"/>
    <col min="9368" max="9368" width="19" style="2" customWidth="1"/>
    <col min="9369" max="9369" width="20.7109375" style="2" customWidth="1"/>
    <col min="9370" max="9370" width="15.85546875" style="2" customWidth="1"/>
    <col min="9371" max="9371" width="23" style="2" customWidth="1"/>
    <col min="9372" max="9372" width="9.140625" style="2"/>
    <col min="9373" max="9373" width="12.28515625" style="2" customWidth="1"/>
    <col min="9374" max="9374" width="12.5703125" style="2" bestFit="1" customWidth="1"/>
    <col min="9375" max="9615" width="9.140625" style="2"/>
    <col min="9616" max="9616" width="1.7109375" style="2" customWidth="1"/>
    <col min="9617" max="9617" width="11.42578125" style="2" customWidth="1"/>
    <col min="9618" max="9618" width="39.42578125" style="2" customWidth="1"/>
    <col min="9619" max="9619" width="13.85546875" style="2" customWidth="1"/>
    <col min="9620" max="9620" width="9.42578125" style="2" customWidth="1"/>
    <col min="9621" max="9621" width="16.85546875" style="2" customWidth="1"/>
    <col min="9622" max="9622" width="14.85546875" style="2" customWidth="1"/>
    <col min="9623" max="9623" width="12" style="2" customWidth="1"/>
    <col min="9624" max="9624" width="19" style="2" customWidth="1"/>
    <col min="9625" max="9625" width="20.7109375" style="2" customWidth="1"/>
    <col min="9626" max="9626" width="15.85546875" style="2" customWidth="1"/>
    <col min="9627" max="9627" width="23" style="2" customWidth="1"/>
    <col min="9628" max="9628" width="9.140625" style="2"/>
    <col min="9629" max="9629" width="12.28515625" style="2" customWidth="1"/>
    <col min="9630" max="9630" width="12.5703125" style="2" bestFit="1" customWidth="1"/>
    <col min="9631" max="9871" width="9.140625" style="2"/>
    <col min="9872" max="9872" width="1.7109375" style="2" customWidth="1"/>
    <col min="9873" max="9873" width="11.42578125" style="2" customWidth="1"/>
    <col min="9874" max="9874" width="39.42578125" style="2" customWidth="1"/>
    <col min="9875" max="9875" width="13.85546875" style="2" customWidth="1"/>
    <col min="9876" max="9876" width="9.42578125" style="2" customWidth="1"/>
    <col min="9877" max="9877" width="16.85546875" style="2" customWidth="1"/>
    <col min="9878" max="9878" width="14.85546875" style="2" customWidth="1"/>
    <col min="9879" max="9879" width="12" style="2" customWidth="1"/>
    <col min="9880" max="9880" width="19" style="2" customWidth="1"/>
    <col min="9881" max="9881" width="20.7109375" style="2" customWidth="1"/>
    <col min="9882" max="9882" width="15.85546875" style="2" customWidth="1"/>
    <col min="9883" max="9883" width="23" style="2" customWidth="1"/>
    <col min="9884" max="9884" width="9.140625" style="2"/>
    <col min="9885" max="9885" width="12.28515625" style="2" customWidth="1"/>
    <col min="9886" max="9886" width="12.5703125" style="2" bestFit="1" customWidth="1"/>
    <col min="9887" max="10127" width="9.140625" style="2"/>
    <col min="10128" max="10128" width="1.7109375" style="2" customWidth="1"/>
    <col min="10129" max="10129" width="11.42578125" style="2" customWidth="1"/>
    <col min="10130" max="10130" width="39.42578125" style="2" customWidth="1"/>
    <col min="10131" max="10131" width="13.85546875" style="2" customWidth="1"/>
    <col min="10132" max="10132" width="9.42578125" style="2" customWidth="1"/>
    <col min="10133" max="10133" width="16.85546875" style="2" customWidth="1"/>
    <col min="10134" max="10134" width="14.85546875" style="2" customWidth="1"/>
    <col min="10135" max="10135" width="12" style="2" customWidth="1"/>
    <col min="10136" max="10136" width="19" style="2" customWidth="1"/>
    <col min="10137" max="10137" width="20.7109375" style="2" customWidth="1"/>
    <col min="10138" max="10138" width="15.85546875" style="2" customWidth="1"/>
    <col min="10139" max="10139" width="23" style="2" customWidth="1"/>
    <col min="10140" max="10140" width="9.140625" style="2"/>
    <col min="10141" max="10141" width="12.28515625" style="2" customWidth="1"/>
    <col min="10142" max="10142" width="12.5703125" style="2" bestFit="1" customWidth="1"/>
    <col min="10143" max="10383" width="9.140625" style="2"/>
    <col min="10384" max="10384" width="1.7109375" style="2" customWidth="1"/>
    <col min="10385" max="10385" width="11.42578125" style="2" customWidth="1"/>
    <col min="10386" max="10386" width="39.42578125" style="2" customWidth="1"/>
    <col min="10387" max="10387" width="13.85546875" style="2" customWidth="1"/>
    <col min="10388" max="10388" width="9.42578125" style="2" customWidth="1"/>
    <col min="10389" max="10389" width="16.85546875" style="2" customWidth="1"/>
    <col min="10390" max="10390" width="14.85546875" style="2" customWidth="1"/>
    <col min="10391" max="10391" width="12" style="2" customWidth="1"/>
    <col min="10392" max="10392" width="19" style="2" customWidth="1"/>
    <col min="10393" max="10393" width="20.7109375" style="2" customWidth="1"/>
    <col min="10394" max="10394" width="15.85546875" style="2" customWidth="1"/>
    <col min="10395" max="10395" width="23" style="2" customWidth="1"/>
    <col min="10396" max="10396" width="9.140625" style="2"/>
    <col min="10397" max="10397" width="12.28515625" style="2" customWidth="1"/>
    <col min="10398" max="10398" width="12.5703125" style="2" bestFit="1" customWidth="1"/>
    <col min="10399" max="10639" width="9.140625" style="2"/>
    <col min="10640" max="10640" width="1.7109375" style="2" customWidth="1"/>
    <col min="10641" max="10641" width="11.42578125" style="2" customWidth="1"/>
    <col min="10642" max="10642" width="39.42578125" style="2" customWidth="1"/>
    <col min="10643" max="10643" width="13.85546875" style="2" customWidth="1"/>
    <col min="10644" max="10644" width="9.42578125" style="2" customWidth="1"/>
    <col min="10645" max="10645" width="16.85546875" style="2" customWidth="1"/>
    <col min="10646" max="10646" width="14.85546875" style="2" customWidth="1"/>
    <col min="10647" max="10647" width="12" style="2" customWidth="1"/>
    <col min="10648" max="10648" width="19" style="2" customWidth="1"/>
    <col min="10649" max="10649" width="20.7109375" style="2" customWidth="1"/>
    <col min="10650" max="10650" width="15.85546875" style="2" customWidth="1"/>
    <col min="10651" max="10651" width="23" style="2" customWidth="1"/>
    <col min="10652" max="10652" width="9.140625" style="2"/>
    <col min="10653" max="10653" width="12.28515625" style="2" customWidth="1"/>
    <col min="10654" max="10654" width="12.5703125" style="2" bestFit="1" customWidth="1"/>
    <col min="10655" max="10895" width="9.140625" style="2"/>
    <col min="10896" max="10896" width="1.7109375" style="2" customWidth="1"/>
    <col min="10897" max="10897" width="11.42578125" style="2" customWidth="1"/>
    <col min="10898" max="10898" width="39.42578125" style="2" customWidth="1"/>
    <col min="10899" max="10899" width="13.85546875" style="2" customWidth="1"/>
    <col min="10900" max="10900" width="9.42578125" style="2" customWidth="1"/>
    <col min="10901" max="10901" width="16.85546875" style="2" customWidth="1"/>
    <col min="10902" max="10902" width="14.85546875" style="2" customWidth="1"/>
    <col min="10903" max="10903" width="12" style="2" customWidth="1"/>
    <col min="10904" max="10904" width="19" style="2" customWidth="1"/>
    <col min="10905" max="10905" width="20.7109375" style="2" customWidth="1"/>
    <col min="10906" max="10906" width="15.85546875" style="2" customWidth="1"/>
    <col min="10907" max="10907" width="23" style="2" customWidth="1"/>
    <col min="10908" max="10908" width="9.140625" style="2"/>
    <col min="10909" max="10909" width="12.28515625" style="2" customWidth="1"/>
    <col min="10910" max="10910" width="12.5703125" style="2" bestFit="1" customWidth="1"/>
    <col min="10911" max="11151" width="9.140625" style="2"/>
    <col min="11152" max="11152" width="1.7109375" style="2" customWidth="1"/>
    <col min="11153" max="11153" width="11.42578125" style="2" customWidth="1"/>
    <col min="11154" max="11154" width="39.42578125" style="2" customWidth="1"/>
    <col min="11155" max="11155" width="13.85546875" style="2" customWidth="1"/>
    <col min="11156" max="11156" width="9.42578125" style="2" customWidth="1"/>
    <col min="11157" max="11157" width="16.85546875" style="2" customWidth="1"/>
    <col min="11158" max="11158" width="14.85546875" style="2" customWidth="1"/>
    <col min="11159" max="11159" width="12" style="2" customWidth="1"/>
    <col min="11160" max="11160" width="19" style="2" customWidth="1"/>
    <col min="11161" max="11161" width="20.7109375" style="2" customWidth="1"/>
    <col min="11162" max="11162" width="15.85546875" style="2" customWidth="1"/>
    <col min="11163" max="11163" width="23" style="2" customWidth="1"/>
    <col min="11164" max="11164" width="9.140625" style="2"/>
    <col min="11165" max="11165" width="12.28515625" style="2" customWidth="1"/>
    <col min="11166" max="11166" width="12.5703125" style="2" bestFit="1" customWidth="1"/>
    <col min="11167" max="11407" width="9.140625" style="2"/>
    <col min="11408" max="11408" width="1.7109375" style="2" customWidth="1"/>
    <col min="11409" max="11409" width="11.42578125" style="2" customWidth="1"/>
    <col min="11410" max="11410" width="39.42578125" style="2" customWidth="1"/>
    <col min="11411" max="11411" width="13.85546875" style="2" customWidth="1"/>
    <col min="11412" max="11412" width="9.42578125" style="2" customWidth="1"/>
    <col min="11413" max="11413" width="16.85546875" style="2" customWidth="1"/>
    <col min="11414" max="11414" width="14.85546875" style="2" customWidth="1"/>
    <col min="11415" max="11415" width="12" style="2" customWidth="1"/>
    <col min="11416" max="11416" width="19" style="2" customWidth="1"/>
    <col min="11417" max="11417" width="20.7109375" style="2" customWidth="1"/>
    <col min="11418" max="11418" width="15.85546875" style="2" customWidth="1"/>
    <col min="11419" max="11419" width="23" style="2" customWidth="1"/>
    <col min="11420" max="11420" width="9.140625" style="2"/>
    <col min="11421" max="11421" width="12.28515625" style="2" customWidth="1"/>
    <col min="11422" max="11422" width="12.5703125" style="2" bestFit="1" customWidth="1"/>
    <col min="11423" max="11663" width="9.140625" style="2"/>
    <col min="11664" max="11664" width="1.7109375" style="2" customWidth="1"/>
    <col min="11665" max="11665" width="11.42578125" style="2" customWidth="1"/>
    <col min="11666" max="11666" width="39.42578125" style="2" customWidth="1"/>
    <col min="11667" max="11667" width="13.85546875" style="2" customWidth="1"/>
    <col min="11668" max="11668" width="9.42578125" style="2" customWidth="1"/>
    <col min="11669" max="11669" width="16.85546875" style="2" customWidth="1"/>
    <col min="11670" max="11670" width="14.85546875" style="2" customWidth="1"/>
    <col min="11671" max="11671" width="12" style="2" customWidth="1"/>
    <col min="11672" max="11672" width="19" style="2" customWidth="1"/>
    <col min="11673" max="11673" width="20.7109375" style="2" customWidth="1"/>
    <col min="11674" max="11674" width="15.85546875" style="2" customWidth="1"/>
    <col min="11675" max="11675" width="23" style="2" customWidth="1"/>
    <col min="11676" max="11676" width="9.140625" style="2"/>
    <col min="11677" max="11677" width="12.28515625" style="2" customWidth="1"/>
    <col min="11678" max="11678" width="12.5703125" style="2" bestFit="1" customWidth="1"/>
    <col min="11679" max="11919" width="9.140625" style="2"/>
    <col min="11920" max="11920" width="1.7109375" style="2" customWidth="1"/>
    <col min="11921" max="11921" width="11.42578125" style="2" customWidth="1"/>
    <col min="11922" max="11922" width="39.42578125" style="2" customWidth="1"/>
    <col min="11923" max="11923" width="13.85546875" style="2" customWidth="1"/>
    <col min="11924" max="11924" width="9.42578125" style="2" customWidth="1"/>
    <col min="11925" max="11925" width="16.85546875" style="2" customWidth="1"/>
    <col min="11926" max="11926" width="14.85546875" style="2" customWidth="1"/>
    <col min="11927" max="11927" width="12" style="2" customWidth="1"/>
    <col min="11928" max="11928" width="19" style="2" customWidth="1"/>
    <col min="11929" max="11929" width="20.7109375" style="2" customWidth="1"/>
    <col min="11930" max="11930" width="15.85546875" style="2" customWidth="1"/>
    <col min="11931" max="11931" width="23" style="2" customWidth="1"/>
    <col min="11932" max="11932" width="9.140625" style="2"/>
    <col min="11933" max="11933" width="12.28515625" style="2" customWidth="1"/>
    <col min="11934" max="11934" width="12.5703125" style="2" bestFit="1" customWidth="1"/>
    <col min="11935" max="12175" width="9.140625" style="2"/>
    <col min="12176" max="12176" width="1.7109375" style="2" customWidth="1"/>
    <col min="12177" max="12177" width="11.42578125" style="2" customWidth="1"/>
    <col min="12178" max="12178" width="39.42578125" style="2" customWidth="1"/>
    <col min="12179" max="12179" width="13.85546875" style="2" customWidth="1"/>
    <col min="12180" max="12180" width="9.42578125" style="2" customWidth="1"/>
    <col min="12181" max="12181" width="16.85546875" style="2" customWidth="1"/>
    <col min="12182" max="12182" width="14.85546875" style="2" customWidth="1"/>
    <col min="12183" max="12183" width="12" style="2" customWidth="1"/>
    <col min="12184" max="12184" width="19" style="2" customWidth="1"/>
    <col min="12185" max="12185" width="20.7109375" style="2" customWidth="1"/>
    <col min="12186" max="12186" width="15.85546875" style="2" customWidth="1"/>
    <col min="12187" max="12187" width="23" style="2" customWidth="1"/>
    <col min="12188" max="12188" width="9.140625" style="2"/>
    <col min="12189" max="12189" width="12.28515625" style="2" customWidth="1"/>
    <col min="12190" max="12190" width="12.5703125" style="2" bestFit="1" customWidth="1"/>
    <col min="12191" max="12431" width="9.140625" style="2"/>
    <col min="12432" max="12432" width="1.7109375" style="2" customWidth="1"/>
    <col min="12433" max="12433" width="11.42578125" style="2" customWidth="1"/>
    <col min="12434" max="12434" width="39.42578125" style="2" customWidth="1"/>
    <col min="12435" max="12435" width="13.85546875" style="2" customWidth="1"/>
    <col min="12436" max="12436" width="9.42578125" style="2" customWidth="1"/>
    <col min="12437" max="12437" width="16.85546875" style="2" customWidth="1"/>
    <col min="12438" max="12438" width="14.85546875" style="2" customWidth="1"/>
    <col min="12439" max="12439" width="12" style="2" customWidth="1"/>
    <col min="12440" max="12440" width="19" style="2" customWidth="1"/>
    <col min="12441" max="12441" width="20.7109375" style="2" customWidth="1"/>
    <col min="12442" max="12442" width="15.85546875" style="2" customWidth="1"/>
    <col min="12443" max="12443" width="23" style="2" customWidth="1"/>
    <col min="12444" max="12444" width="9.140625" style="2"/>
    <col min="12445" max="12445" width="12.28515625" style="2" customWidth="1"/>
    <col min="12446" max="12446" width="12.5703125" style="2" bestFit="1" customWidth="1"/>
    <col min="12447" max="12687" width="9.140625" style="2"/>
    <col min="12688" max="12688" width="1.7109375" style="2" customWidth="1"/>
    <col min="12689" max="12689" width="11.42578125" style="2" customWidth="1"/>
    <col min="12690" max="12690" width="39.42578125" style="2" customWidth="1"/>
    <col min="12691" max="12691" width="13.85546875" style="2" customWidth="1"/>
    <col min="12692" max="12692" width="9.42578125" style="2" customWidth="1"/>
    <col min="12693" max="12693" width="16.85546875" style="2" customWidth="1"/>
    <col min="12694" max="12694" width="14.85546875" style="2" customWidth="1"/>
    <col min="12695" max="12695" width="12" style="2" customWidth="1"/>
    <col min="12696" max="12696" width="19" style="2" customWidth="1"/>
    <col min="12697" max="12697" width="20.7109375" style="2" customWidth="1"/>
    <col min="12698" max="12698" width="15.85546875" style="2" customWidth="1"/>
    <col min="12699" max="12699" width="23" style="2" customWidth="1"/>
    <col min="12700" max="12700" width="9.140625" style="2"/>
    <col min="12701" max="12701" width="12.28515625" style="2" customWidth="1"/>
    <col min="12702" max="12702" width="12.5703125" style="2" bestFit="1" customWidth="1"/>
    <col min="12703" max="12943" width="9.140625" style="2"/>
    <col min="12944" max="12944" width="1.7109375" style="2" customWidth="1"/>
    <col min="12945" max="12945" width="11.42578125" style="2" customWidth="1"/>
    <col min="12946" max="12946" width="39.42578125" style="2" customWidth="1"/>
    <col min="12947" max="12947" width="13.85546875" style="2" customWidth="1"/>
    <col min="12948" max="12948" width="9.42578125" style="2" customWidth="1"/>
    <col min="12949" max="12949" width="16.85546875" style="2" customWidth="1"/>
    <col min="12950" max="12950" width="14.85546875" style="2" customWidth="1"/>
    <col min="12951" max="12951" width="12" style="2" customWidth="1"/>
    <col min="12952" max="12952" width="19" style="2" customWidth="1"/>
    <col min="12953" max="12953" width="20.7109375" style="2" customWidth="1"/>
    <col min="12954" max="12954" width="15.85546875" style="2" customWidth="1"/>
    <col min="12955" max="12955" width="23" style="2" customWidth="1"/>
    <col min="12956" max="12956" width="9.140625" style="2"/>
    <col min="12957" max="12957" width="12.28515625" style="2" customWidth="1"/>
    <col min="12958" max="12958" width="12.5703125" style="2" bestFit="1" customWidth="1"/>
    <col min="12959" max="13199" width="9.140625" style="2"/>
    <col min="13200" max="13200" width="1.7109375" style="2" customWidth="1"/>
    <col min="13201" max="13201" width="11.42578125" style="2" customWidth="1"/>
    <col min="13202" max="13202" width="39.42578125" style="2" customWidth="1"/>
    <col min="13203" max="13203" width="13.85546875" style="2" customWidth="1"/>
    <col min="13204" max="13204" width="9.42578125" style="2" customWidth="1"/>
    <col min="13205" max="13205" width="16.85546875" style="2" customWidth="1"/>
    <col min="13206" max="13206" width="14.85546875" style="2" customWidth="1"/>
    <col min="13207" max="13207" width="12" style="2" customWidth="1"/>
    <col min="13208" max="13208" width="19" style="2" customWidth="1"/>
    <col min="13209" max="13209" width="20.7109375" style="2" customWidth="1"/>
    <col min="13210" max="13210" width="15.85546875" style="2" customWidth="1"/>
    <col min="13211" max="13211" width="23" style="2" customWidth="1"/>
    <col min="13212" max="13212" width="9.140625" style="2"/>
    <col min="13213" max="13213" width="12.28515625" style="2" customWidth="1"/>
    <col min="13214" max="13214" width="12.5703125" style="2" bestFit="1" customWidth="1"/>
    <col min="13215" max="13455" width="9.140625" style="2"/>
    <col min="13456" max="13456" width="1.7109375" style="2" customWidth="1"/>
    <col min="13457" max="13457" width="11.42578125" style="2" customWidth="1"/>
    <col min="13458" max="13458" width="39.42578125" style="2" customWidth="1"/>
    <col min="13459" max="13459" width="13.85546875" style="2" customWidth="1"/>
    <col min="13460" max="13460" width="9.42578125" style="2" customWidth="1"/>
    <col min="13461" max="13461" width="16.85546875" style="2" customWidth="1"/>
    <col min="13462" max="13462" width="14.85546875" style="2" customWidth="1"/>
    <col min="13463" max="13463" width="12" style="2" customWidth="1"/>
    <col min="13464" max="13464" width="19" style="2" customWidth="1"/>
    <col min="13465" max="13465" width="20.7109375" style="2" customWidth="1"/>
    <col min="13466" max="13466" width="15.85546875" style="2" customWidth="1"/>
    <col min="13467" max="13467" width="23" style="2" customWidth="1"/>
    <col min="13468" max="13468" width="9.140625" style="2"/>
    <col min="13469" max="13469" width="12.28515625" style="2" customWidth="1"/>
    <col min="13470" max="13470" width="12.5703125" style="2" bestFit="1" customWidth="1"/>
    <col min="13471" max="13711" width="9.140625" style="2"/>
    <col min="13712" max="13712" width="1.7109375" style="2" customWidth="1"/>
    <col min="13713" max="13713" width="11.42578125" style="2" customWidth="1"/>
    <col min="13714" max="13714" width="39.42578125" style="2" customWidth="1"/>
    <col min="13715" max="13715" width="13.85546875" style="2" customWidth="1"/>
    <col min="13716" max="13716" width="9.42578125" style="2" customWidth="1"/>
    <col min="13717" max="13717" width="16.85546875" style="2" customWidth="1"/>
    <col min="13718" max="13718" width="14.85546875" style="2" customWidth="1"/>
    <col min="13719" max="13719" width="12" style="2" customWidth="1"/>
    <col min="13720" max="13720" width="19" style="2" customWidth="1"/>
    <col min="13721" max="13721" width="20.7109375" style="2" customWidth="1"/>
    <col min="13722" max="13722" width="15.85546875" style="2" customWidth="1"/>
    <col min="13723" max="13723" width="23" style="2" customWidth="1"/>
    <col min="13724" max="13724" width="9.140625" style="2"/>
    <col min="13725" max="13725" width="12.28515625" style="2" customWidth="1"/>
    <col min="13726" max="13726" width="12.5703125" style="2" bestFit="1" customWidth="1"/>
    <col min="13727" max="13967" width="9.140625" style="2"/>
    <col min="13968" max="13968" width="1.7109375" style="2" customWidth="1"/>
    <col min="13969" max="13969" width="11.42578125" style="2" customWidth="1"/>
    <col min="13970" max="13970" width="39.42578125" style="2" customWidth="1"/>
    <col min="13971" max="13971" width="13.85546875" style="2" customWidth="1"/>
    <col min="13972" max="13972" width="9.42578125" style="2" customWidth="1"/>
    <col min="13973" max="13973" width="16.85546875" style="2" customWidth="1"/>
    <col min="13974" max="13974" width="14.85546875" style="2" customWidth="1"/>
    <col min="13975" max="13975" width="12" style="2" customWidth="1"/>
    <col min="13976" max="13976" width="19" style="2" customWidth="1"/>
    <col min="13977" max="13977" width="20.7109375" style="2" customWidth="1"/>
    <col min="13978" max="13978" width="15.85546875" style="2" customWidth="1"/>
    <col min="13979" max="13979" width="23" style="2" customWidth="1"/>
    <col min="13980" max="13980" width="9.140625" style="2"/>
    <col min="13981" max="13981" width="12.28515625" style="2" customWidth="1"/>
    <col min="13982" max="13982" width="12.5703125" style="2" bestFit="1" customWidth="1"/>
    <col min="13983" max="14223" width="9.140625" style="2"/>
    <col min="14224" max="14224" width="1.7109375" style="2" customWidth="1"/>
    <col min="14225" max="14225" width="11.42578125" style="2" customWidth="1"/>
    <col min="14226" max="14226" width="39.42578125" style="2" customWidth="1"/>
    <col min="14227" max="14227" width="13.85546875" style="2" customWidth="1"/>
    <col min="14228" max="14228" width="9.42578125" style="2" customWidth="1"/>
    <col min="14229" max="14229" width="16.85546875" style="2" customWidth="1"/>
    <col min="14230" max="14230" width="14.85546875" style="2" customWidth="1"/>
    <col min="14231" max="14231" width="12" style="2" customWidth="1"/>
    <col min="14232" max="14232" width="19" style="2" customWidth="1"/>
    <col min="14233" max="14233" width="20.7109375" style="2" customWidth="1"/>
    <col min="14234" max="14234" width="15.85546875" style="2" customWidth="1"/>
    <col min="14235" max="14235" width="23" style="2" customWidth="1"/>
    <col min="14236" max="14236" width="9.140625" style="2"/>
    <col min="14237" max="14237" width="12.28515625" style="2" customWidth="1"/>
    <col min="14238" max="14238" width="12.5703125" style="2" bestFit="1" customWidth="1"/>
    <col min="14239" max="14479" width="9.140625" style="2"/>
    <col min="14480" max="14480" width="1.7109375" style="2" customWidth="1"/>
    <col min="14481" max="14481" width="11.42578125" style="2" customWidth="1"/>
    <col min="14482" max="14482" width="39.42578125" style="2" customWidth="1"/>
    <col min="14483" max="14483" width="13.85546875" style="2" customWidth="1"/>
    <col min="14484" max="14484" width="9.42578125" style="2" customWidth="1"/>
    <col min="14485" max="14485" width="16.85546875" style="2" customWidth="1"/>
    <col min="14486" max="14486" width="14.85546875" style="2" customWidth="1"/>
    <col min="14487" max="14487" width="12" style="2" customWidth="1"/>
    <col min="14488" max="14488" width="19" style="2" customWidth="1"/>
    <col min="14489" max="14489" width="20.7109375" style="2" customWidth="1"/>
    <col min="14490" max="14490" width="15.85546875" style="2" customWidth="1"/>
    <col min="14491" max="14491" width="23" style="2" customWidth="1"/>
    <col min="14492" max="14492" width="9.140625" style="2"/>
    <col min="14493" max="14493" width="12.28515625" style="2" customWidth="1"/>
    <col min="14494" max="14494" width="12.5703125" style="2" bestFit="1" customWidth="1"/>
    <col min="14495" max="14735" width="9.140625" style="2"/>
    <col min="14736" max="14736" width="1.7109375" style="2" customWidth="1"/>
    <col min="14737" max="14737" width="11.42578125" style="2" customWidth="1"/>
    <col min="14738" max="14738" width="39.42578125" style="2" customWidth="1"/>
    <col min="14739" max="14739" width="13.85546875" style="2" customWidth="1"/>
    <col min="14740" max="14740" width="9.42578125" style="2" customWidth="1"/>
    <col min="14741" max="14741" width="16.85546875" style="2" customWidth="1"/>
    <col min="14742" max="14742" width="14.85546875" style="2" customWidth="1"/>
    <col min="14743" max="14743" width="12" style="2" customWidth="1"/>
    <col min="14744" max="14744" width="19" style="2" customWidth="1"/>
    <col min="14745" max="14745" width="20.7109375" style="2" customWidth="1"/>
    <col min="14746" max="14746" width="15.85546875" style="2" customWidth="1"/>
    <col min="14747" max="14747" width="23" style="2" customWidth="1"/>
    <col min="14748" max="14748" width="9.140625" style="2"/>
    <col min="14749" max="14749" width="12.28515625" style="2" customWidth="1"/>
    <col min="14750" max="14750" width="12.5703125" style="2" bestFit="1" customWidth="1"/>
    <col min="14751" max="14991" width="9.140625" style="2"/>
    <col min="14992" max="14992" width="1.7109375" style="2" customWidth="1"/>
    <col min="14993" max="14993" width="11.42578125" style="2" customWidth="1"/>
    <col min="14994" max="14994" width="39.42578125" style="2" customWidth="1"/>
    <col min="14995" max="14995" width="13.85546875" style="2" customWidth="1"/>
    <col min="14996" max="14996" width="9.42578125" style="2" customWidth="1"/>
    <col min="14997" max="14997" width="16.85546875" style="2" customWidth="1"/>
    <col min="14998" max="14998" width="14.85546875" style="2" customWidth="1"/>
    <col min="14999" max="14999" width="12" style="2" customWidth="1"/>
    <col min="15000" max="15000" width="19" style="2" customWidth="1"/>
    <col min="15001" max="15001" width="20.7109375" style="2" customWidth="1"/>
    <col min="15002" max="15002" width="15.85546875" style="2" customWidth="1"/>
    <col min="15003" max="15003" width="23" style="2" customWidth="1"/>
    <col min="15004" max="15004" width="9.140625" style="2"/>
    <col min="15005" max="15005" width="12.28515625" style="2" customWidth="1"/>
    <col min="15006" max="15006" width="12.5703125" style="2" bestFit="1" customWidth="1"/>
    <col min="15007" max="15247" width="9.140625" style="2"/>
    <col min="15248" max="15248" width="1.7109375" style="2" customWidth="1"/>
    <col min="15249" max="15249" width="11.42578125" style="2" customWidth="1"/>
    <col min="15250" max="15250" width="39.42578125" style="2" customWidth="1"/>
    <col min="15251" max="15251" width="13.85546875" style="2" customWidth="1"/>
    <col min="15252" max="15252" width="9.42578125" style="2" customWidth="1"/>
    <col min="15253" max="15253" width="16.85546875" style="2" customWidth="1"/>
    <col min="15254" max="15254" width="14.85546875" style="2" customWidth="1"/>
    <col min="15255" max="15255" width="12" style="2" customWidth="1"/>
    <col min="15256" max="15256" width="19" style="2" customWidth="1"/>
    <col min="15257" max="15257" width="20.7109375" style="2" customWidth="1"/>
    <col min="15258" max="15258" width="15.85546875" style="2" customWidth="1"/>
    <col min="15259" max="15259" width="23" style="2" customWidth="1"/>
    <col min="15260" max="15260" width="9.140625" style="2"/>
    <col min="15261" max="15261" width="12.28515625" style="2" customWidth="1"/>
    <col min="15262" max="15262" width="12.5703125" style="2" bestFit="1" customWidth="1"/>
    <col min="15263" max="15503" width="9.140625" style="2"/>
    <col min="15504" max="15504" width="1.7109375" style="2" customWidth="1"/>
    <col min="15505" max="15505" width="11.42578125" style="2" customWidth="1"/>
    <col min="15506" max="15506" width="39.42578125" style="2" customWidth="1"/>
    <col min="15507" max="15507" width="13.85546875" style="2" customWidth="1"/>
    <col min="15508" max="15508" width="9.42578125" style="2" customWidth="1"/>
    <col min="15509" max="15509" width="16.85546875" style="2" customWidth="1"/>
    <col min="15510" max="15510" width="14.85546875" style="2" customWidth="1"/>
    <col min="15511" max="15511" width="12" style="2" customWidth="1"/>
    <col min="15512" max="15512" width="19" style="2" customWidth="1"/>
    <col min="15513" max="15513" width="20.7109375" style="2" customWidth="1"/>
    <col min="15514" max="15514" width="15.85546875" style="2" customWidth="1"/>
    <col min="15515" max="15515" width="23" style="2" customWidth="1"/>
    <col min="15516" max="15516" width="9.140625" style="2"/>
    <col min="15517" max="15517" width="12.28515625" style="2" customWidth="1"/>
    <col min="15518" max="15518" width="12.5703125" style="2" bestFit="1" customWidth="1"/>
    <col min="15519" max="15759" width="9.140625" style="2"/>
    <col min="15760" max="15760" width="1.7109375" style="2" customWidth="1"/>
    <col min="15761" max="15761" width="11.42578125" style="2" customWidth="1"/>
    <col min="15762" max="15762" width="39.42578125" style="2" customWidth="1"/>
    <col min="15763" max="15763" width="13.85546875" style="2" customWidth="1"/>
    <col min="15764" max="15764" width="9.42578125" style="2" customWidth="1"/>
    <col min="15765" max="15765" width="16.85546875" style="2" customWidth="1"/>
    <col min="15766" max="15766" width="14.85546875" style="2" customWidth="1"/>
    <col min="15767" max="15767" width="12" style="2" customWidth="1"/>
    <col min="15768" max="15768" width="19" style="2" customWidth="1"/>
    <col min="15769" max="15769" width="20.7109375" style="2" customWidth="1"/>
    <col min="15770" max="15770" width="15.85546875" style="2" customWidth="1"/>
    <col min="15771" max="15771" width="23" style="2" customWidth="1"/>
    <col min="15772" max="15772" width="9.140625" style="2"/>
    <col min="15773" max="15773" width="12.28515625" style="2" customWidth="1"/>
    <col min="15774" max="15774" width="12.5703125" style="2" bestFit="1" customWidth="1"/>
    <col min="15775" max="16015" width="9.140625" style="2"/>
    <col min="16016" max="16016" width="1.7109375" style="2" customWidth="1"/>
    <col min="16017" max="16017" width="11.42578125" style="2" customWidth="1"/>
    <col min="16018" max="16018" width="39.42578125" style="2" customWidth="1"/>
    <col min="16019" max="16019" width="13.85546875" style="2" customWidth="1"/>
    <col min="16020" max="16020" width="9.42578125" style="2" customWidth="1"/>
    <col min="16021" max="16021" width="16.85546875" style="2" customWidth="1"/>
    <col min="16022" max="16022" width="14.85546875" style="2" customWidth="1"/>
    <col min="16023" max="16023" width="12" style="2" customWidth="1"/>
    <col min="16024" max="16024" width="19" style="2" customWidth="1"/>
    <col min="16025" max="16025" width="20.7109375" style="2" customWidth="1"/>
    <col min="16026" max="16026" width="15.85546875" style="2" customWidth="1"/>
    <col min="16027" max="16027" width="23" style="2" customWidth="1"/>
    <col min="16028" max="16028" width="9.140625" style="2"/>
    <col min="16029" max="16029" width="12.28515625" style="2" customWidth="1"/>
    <col min="16030" max="16030" width="12.5703125" style="2" bestFit="1" customWidth="1"/>
    <col min="16031" max="16384" width="9.140625" style="2"/>
  </cols>
  <sheetData>
    <row r="1" spans="1:143" s="1" customFormat="1" ht="32.1" hidden="1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2"/>
    </row>
    <row r="2" spans="1:143" ht="14.25" hidden="1" customHeight="1" thickBot="1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43" ht="30.75" customHeight="1">
      <c r="A3" s="98" t="s">
        <v>2</v>
      </c>
      <c r="B3" s="99"/>
      <c r="C3" s="111" t="s">
        <v>3</v>
      </c>
      <c r="D3" s="111"/>
      <c r="E3" s="111"/>
      <c r="F3" s="111" t="s">
        <v>4</v>
      </c>
      <c r="G3" s="111"/>
      <c r="H3" s="111"/>
      <c r="I3" s="111" t="s">
        <v>5</v>
      </c>
      <c r="J3" s="111"/>
      <c r="K3" s="111"/>
      <c r="L3" s="125" t="s">
        <v>35</v>
      </c>
    </row>
    <row r="4" spans="1:143" ht="65.25" customHeight="1">
      <c r="A4" s="100"/>
      <c r="B4" s="101"/>
      <c r="C4" s="28" t="s">
        <v>6</v>
      </c>
      <c r="D4" s="28" t="s">
        <v>7</v>
      </c>
      <c r="E4" s="28" t="s">
        <v>8</v>
      </c>
      <c r="F4" s="28" t="s">
        <v>9</v>
      </c>
      <c r="G4" s="28" t="s">
        <v>7</v>
      </c>
      <c r="H4" s="28" t="s">
        <v>8</v>
      </c>
      <c r="I4" s="28" t="s">
        <v>9</v>
      </c>
      <c r="J4" s="28" t="s">
        <v>7</v>
      </c>
      <c r="K4" s="28" t="s">
        <v>8</v>
      </c>
      <c r="L4" s="126"/>
    </row>
    <row r="5" spans="1:143" s="7" customFormat="1" ht="38.25" customHeight="1" collapsed="1">
      <c r="A5" s="127" t="s">
        <v>15</v>
      </c>
      <c r="B5" s="128"/>
      <c r="C5" s="5">
        <f>E5/D5</f>
        <v>338738.73873873876</v>
      </c>
      <c r="D5" s="5">
        <f>D6+D8+D10+D12+D14</f>
        <v>111</v>
      </c>
      <c r="E5" s="5">
        <f>E6+E8+E10+E12+E14</f>
        <v>37600000</v>
      </c>
      <c r="F5" s="5">
        <f>H5/G5</f>
        <v>856250</v>
      </c>
      <c r="G5" s="5">
        <f>G6+G8+G10+G12+G14</f>
        <v>8</v>
      </c>
      <c r="H5" s="5">
        <f>H6+H8+H10+H12+H14</f>
        <v>6850000</v>
      </c>
      <c r="I5" s="5">
        <f>K5/J5</f>
        <v>373529.4117647059</v>
      </c>
      <c r="J5" s="5">
        <f>J6+J8+J10+J12+J14</f>
        <v>119</v>
      </c>
      <c r="K5" s="5">
        <f>K6+K8+K10+K12+K14</f>
        <v>44450000</v>
      </c>
      <c r="L5" s="40">
        <f>L6+L8+L10+L12+L14</f>
        <v>100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</row>
    <row r="6" spans="1:143" s="7" customFormat="1" ht="55.5" customHeight="1">
      <c r="A6" s="104" t="s">
        <v>28</v>
      </c>
      <c r="B6" s="105"/>
      <c r="C6" s="21">
        <f t="shared" ref="C6:C14" si="0">E6/D6</f>
        <v>175000</v>
      </c>
      <c r="D6" s="21">
        <f t="shared" ref="D6:E6" si="1">0+D7</f>
        <v>53</v>
      </c>
      <c r="E6" s="21">
        <f t="shared" si="1"/>
        <v>9275000</v>
      </c>
      <c r="F6" s="21">
        <f t="shared" ref="F6:F8" si="2">H6/G6</f>
        <v>864285.71428571432</v>
      </c>
      <c r="G6" s="21">
        <v>7</v>
      </c>
      <c r="H6" s="21">
        <v>6050000</v>
      </c>
      <c r="I6" s="21">
        <f>K6/J6</f>
        <v>255416.66666666666</v>
      </c>
      <c r="J6" s="23">
        <f>7+J7</f>
        <v>60</v>
      </c>
      <c r="K6" s="21">
        <f>6050000+K7</f>
        <v>15325000</v>
      </c>
      <c r="L6" s="40">
        <f>K6*100/K5</f>
        <v>34.476940382452192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35" customFormat="1">
      <c r="A7" s="96" t="s">
        <v>30</v>
      </c>
      <c r="B7" s="97"/>
      <c r="C7" s="24">
        <f t="shared" si="0"/>
        <v>175000</v>
      </c>
      <c r="D7" s="24">
        <v>53</v>
      </c>
      <c r="E7" s="24">
        <v>9275000</v>
      </c>
      <c r="F7" s="24"/>
      <c r="G7" s="24">
        <v>0</v>
      </c>
      <c r="H7" s="24">
        <v>0</v>
      </c>
      <c r="I7" s="24">
        <f t="shared" ref="I7:I14" si="3">K7/J7</f>
        <v>175000</v>
      </c>
      <c r="J7" s="36">
        <v>53</v>
      </c>
      <c r="K7" s="24">
        <v>9275000</v>
      </c>
      <c r="L7" s="41"/>
    </row>
    <row r="8" spans="1:143" s="10" customFormat="1" ht="53.25" customHeight="1" collapsed="1">
      <c r="A8" s="104" t="s">
        <v>32</v>
      </c>
      <c r="B8" s="105"/>
      <c r="C8" s="21">
        <f t="shared" si="0"/>
        <v>413235.29411764705</v>
      </c>
      <c r="D8" s="21">
        <v>17</v>
      </c>
      <c r="E8" s="21">
        <f>4400000+E9</f>
        <v>7025000</v>
      </c>
      <c r="F8" s="21">
        <f t="shared" si="2"/>
        <v>800000</v>
      </c>
      <c r="G8" s="21">
        <v>1</v>
      </c>
      <c r="H8" s="21">
        <v>800000</v>
      </c>
      <c r="I8" s="21">
        <f t="shared" si="3"/>
        <v>434722.22222222225</v>
      </c>
      <c r="J8" s="23">
        <v>18</v>
      </c>
      <c r="K8" s="21">
        <f>5200000+K9</f>
        <v>7825000</v>
      </c>
      <c r="L8" s="40">
        <f>K8*100/K5</f>
        <v>17.604049493813275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143" s="38" customFormat="1">
      <c r="A9" s="96" t="s">
        <v>30</v>
      </c>
      <c r="B9" s="97"/>
      <c r="C9" s="24">
        <f t="shared" si="0"/>
        <v>175000</v>
      </c>
      <c r="D9" s="24">
        <v>15</v>
      </c>
      <c r="E9" s="24">
        <v>2625000</v>
      </c>
      <c r="F9" s="24"/>
      <c r="G9" s="24">
        <v>0</v>
      </c>
      <c r="H9" s="24">
        <v>0</v>
      </c>
      <c r="I9" s="24">
        <f t="shared" si="3"/>
        <v>175000</v>
      </c>
      <c r="J9" s="36">
        <v>15</v>
      </c>
      <c r="K9" s="24">
        <v>2625000</v>
      </c>
      <c r="L9" s="41"/>
    </row>
    <row r="10" spans="1:143" s="10" customFormat="1" ht="31.5" customHeight="1" collapsed="1">
      <c r="A10" s="104" t="s">
        <v>37</v>
      </c>
      <c r="B10" s="105"/>
      <c r="C10" s="21">
        <f t="shared" si="0"/>
        <v>510714.28571428574</v>
      </c>
      <c r="D10" s="21">
        <v>28</v>
      </c>
      <c r="E10" s="21">
        <f>10450000+E11</f>
        <v>14300000</v>
      </c>
      <c r="F10" s="21"/>
      <c r="G10" s="21">
        <v>0</v>
      </c>
      <c r="H10" s="21">
        <v>0</v>
      </c>
      <c r="I10" s="21">
        <f t="shared" si="3"/>
        <v>510714.28571428574</v>
      </c>
      <c r="J10" s="21">
        <v>28</v>
      </c>
      <c r="K10" s="21">
        <f>10450000+K11</f>
        <v>14300000</v>
      </c>
      <c r="L10" s="40">
        <f>K10/K5*100</f>
        <v>32.170978627671545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</row>
    <row r="11" spans="1:143" s="38" customFormat="1">
      <c r="A11" s="96" t="s">
        <v>30</v>
      </c>
      <c r="B11" s="97"/>
      <c r="C11" s="24">
        <f t="shared" si="0"/>
        <v>175000</v>
      </c>
      <c r="D11" s="24" t="s">
        <v>29</v>
      </c>
      <c r="E11" s="24">
        <v>3850000</v>
      </c>
      <c r="F11" s="24"/>
      <c r="G11" s="24">
        <v>0</v>
      </c>
      <c r="H11" s="24">
        <v>0</v>
      </c>
      <c r="I11" s="24">
        <f t="shared" si="3"/>
        <v>175000</v>
      </c>
      <c r="J11" s="24" t="s">
        <v>29</v>
      </c>
      <c r="K11" s="24">
        <v>3850000</v>
      </c>
      <c r="L11" s="41"/>
    </row>
    <row r="12" spans="1:143" s="4" customFormat="1" ht="31.5" customHeight="1" collapsed="1">
      <c r="A12" s="102" t="s">
        <v>33</v>
      </c>
      <c r="B12" s="103"/>
      <c r="C12" s="21">
        <f t="shared" si="0"/>
        <v>700000</v>
      </c>
      <c r="D12" s="21">
        <v>9</v>
      </c>
      <c r="E12" s="21">
        <v>6300000</v>
      </c>
      <c r="F12" s="21"/>
      <c r="G12" s="21">
        <v>0</v>
      </c>
      <c r="H12" s="21">
        <v>0</v>
      </c>
      <c r="I12" s="21">
        <f t="shared" si="3"/>
        <v>700000</v>
      </c>
      <c r="J12" s="23">
        <v>9</v>
      </c>
      <c r="K12" s="21">
        <v>6300000</v>
      </c>
      <c r="L12" s="40">
        <f>K12/K5*100</f>
        <v>14.173228346456693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</row>
    <row r="13" spans="1:143" s="32" customFormat="1">
      <c r="A13" s="96" t="s">
        <v>30</v>
      </c>
      <c r="B13" s="97"/>
      <c r="C13" s="21"/>
      <c r="D13" s="24">
        <v>0</v>
      </c>
      <c r="E13" s="24">
        <v>0</v>
      </c>
      <c r="F13" s="21"/>
      <c r="G13" s="24">
        <v>0</v>
      </c>
      <c r="H13" s="24">
        <v>0</v>
      </c>
      <c r="I13" s="21"/>
      <c r="J13" s="24">
        <v>0</v>
      </c>
      <c r="K13" s="24">
        <v>0</v>
      </c>
      <c r="L13" s="4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</row>
    <row r="14" spans="1:143" s="39" customFormat="1" ht="51" customHeight="1" thickBot="1">
      <c r="A14" s="129" t="s">
        <v>31</v>
      </c>
      <c r="B14" s="130"/>
      <c r="C14" s="43">
        <f t="shared" si="0"/>
        <v>175000</v>
      </c>
      <c r="D14" s="44">
        <v>4</v>
      </c>
      <c r="E14" s="44">
        <v>700000</v>
      </c>
      <c r="F14" s="43"/>
      <c r="G14" s="44">
        <v>0</v>
      </c>
      <c r="H14" s="44">
        <v>0</v>
      </c>
      <c r="I14" s="43">
        <f t="shared" si="3"/>
        <v>175000</v>
      </c>
      <c r="J14" s="45">
        <v>4</v>
      </c>
      <c r="K14" s="44">
        <v>700000</v>
      </c>
      <c r="L14" s="46">
        <f>K14/K5*100</f>
        <v>1.5748031496062991</v>
      </c>
    </row>
  </sheetData>
  <mergeCells count="17">
    <mergeCell ref="A1:K1"/>
    <mergeCell ref="A2:K2"/>
    <mergeCell ref="C3:E3"/>
    <mergeCell ref="F3:H3"/>
    <mergeCell ref="I3:K3"/>
    <mergeCell ref="A14:B14"/>
    <mergeCell ref="A8:B8"/>
    <mergeCell ref="A10:B10"/>
    <mergeCell ref="A12:B12"/>
    <mergeCell ref="A9:B9"/>
    <mergeCell ref="L3:L4"/>
    <mergeCell ref="A3:B4"/>
    <mergeCell ref="A5:B5"/>
    <mergeCell ref="A11:B11"/>
    <mergeCell ref="A13:B13"/>
    <mergeCell ref="A7:B7"/>
    <mergeCell ref="A6:B6"/>
  </mergeCells>
  <pageMargins left="0.23" right="0.19" top="0.25" bottom="0.25" header="0.3" footer="0.3"/>
  <pageSetup paperSize="9" scale="69" orientation="landscape" r:id="rId1"/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view="pageBreakPreview" topLeftCell="A3" zoomScaleSheetLayoutView="100" workbookViewId="0">
      <selection activeCell="K20" activeCellId="1" sqref="E6 K20"/>
    </sheetView>
  </sheetViews>
  <sheetFormatPr defaultRowHeight="15.75"/>
  <cols>
    <col min="1" max="1" width="16.85546875" style="47" customWidth="1"/>
    <col min="2" max="2" width="36.140625" style="47" bestFit="1" customWidth="1"/>
    <col min="3" max="3" width="16.85546875" style="48" bestFit="1" customWidth="1"/>
    <col min="4" max="4" width="11.85546875" style="47" customWidth="1"/>
    <col min="5" max="5" width="19" style="47" bestFit="1" customWidth="1"/>
    <col min="6" max="6" width="14" style="47" bestFit="1" customWidth="1"/>
    <col min="7" max="7" width="12.140625" style="47" customWidth="1"/>
    <col min="8" max="8" width="17.28515625" style="47" bestFit="1" customWidth="1"/>
    <col min="9" max="9" width="14.140625" style="47" bestFit="1" customWidth="1"/>
    <col min="10" max="10" width="12.85546875" style="47" customWidth="1"/>
    <col min="11" max="11" width="19" style="47" bestFit="1" customWidth="1"/>
    <col min="12" max="12" width="9.28515625" style="47" bestFit="1" customWidth="1"/>
    <col min="13" max="16384" width="9.140625" style="47"/>
  </cols>
  <sheetData>
    <row r="1" spans="1:12" s="1" customFormat="1" ht="32.1" hidden="1" customHeight="1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s="2" customFormat="1" ht="14.25" hidden="1" customHeight="1">
      <c r="B2" s="110" t="s">
        <v>1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 s="2" customFormat="1" ht="30.75" customHeight="1">
      <c r="A3" s="138" t="s">
        <v>2</v>
      </c>
      <c r="B3" s="139"/>
      <c r="C3" s="135" t="s">
        <v>3</v>
      </c>
      <c r="D3" s="136"/>
      <c r="E3" s="137"/>
      <c r="F3" s="135" t="s">
        <v>4</v>
      </c>
      <c r="G3" s="136"/>
      <c r="H3" s="137"/>
      <c r="I3" s="135" t="s">
        <v>5</v>
      </c>
      <c r="J3" s="136"/>
      <c r="K3" s="137"/>
      <c r="L3" s="131" t="s">
        <v>35</v>
      </c>
    </row>
    <row r="4" spans="1:12" s="2" customFormat="1" ht="65.25" customHeight="1">
      <c r="A4" s="140"/>
      <c r="B4" s="141"/>
      <c r="C4" s="3" t="s">
        <v>9</v>
      </c>
      <c r="D4" s="28" t="s">
        <v>7</v>
      </c>
      <c r="E4" s="28" t="s">
        <v>8</v>
      </c>
      <c r="F4" s="3" t="s">
        <v>9</v>
      </c>
      <c r="G4" s="28" t="s">
        <v>7</v>
      </c>
      <c r="H4" s="28" t="s">
        <v>8</v>
      </c>
      <c r="I4" s="3" t="s">
        <v>9</v>
      </c>
      <c r="J4" s="28" t="s">
        <v>7</v>
      </c>
      <c r="K4" s="28" t="s">
        <v>8</v>
      </c>
      <c r="L4" s="132"/>
    </row>
    <row r="5" spans="1:12" s="4" customFormat="1" ht="40.5" customHeight="1" collapsed="1">
      <c r="A5" s="142" t="s">
        <v>18</v>
      </c>
      <c r="B5" s="116"/>
      <c r="C5" s="28">
        <v>1002857.1428571428</v>
      </c>
      <c r="D5" s="5">
        <f>D6+D8+D10+D12</f>
        <v>68</v>
      </c>
      <c r="E5" s="5">
        <f>E6+E8+E10+E12</f>
        <v>40875000</v>
      </c>
      <c r="F5" s="5">
        <v>641666.66666666663</v>
      </c>
      <c r="G5" s="5">
        <f>G6+G8+G10+G12</f>
        <v>12</v>
      </c>
      <c r="H5" s="5">
        <f>H6+H8+H10+H12</f>
        <v>7700000</v>
      </c>
      <c r="I5" s="5">
        <v>910638.29787234042</v>
      </c>
      <c r="J5" s="5">
        <f>J6+J8+J10+J12</f>
        <v>80</v>
      </c>
      <c r="K5" s="5">
        <f>K6+K8+K10+K12</f>
        <v>48575000</v>
      </c>
      <c r="L5" s="25">
        <f>L6+L8+L10+L12</f>
        <v>100</v>
      </c>
    </row>
    <row r="6" spans="1:12" s="2" customFormat="1" ht="35.25" customHeight="1">
      <c r="A6" s="105" t="s">
        <v>10</v>
      </c>
      <c r="B6" s="105"/>
      <c r="C6" s="11">
        <v>0</v>
      </c>
      <c r="D6" s="22">
        <v>0</v>
      </c>
      <c r="E6" s="22">
        <v>0</v>
      </c>
      <c r="F6" s="21">
        <v>365000</v>
      </c>
      <c r="G6" s="21">
        <v>5</v>
      </c>
      <c r="H6" s="21">
        <v>1825000</v>
      </c>
      <c r="I6" s="21">
        <v>365000</v>
      </c>
      <c r="J6" s="23">
        <v>5</v>
      </c>
      <c r="K6" s="21">
        <v>1825000</v>
      </c>
      <c r="L6" s="25">
        <f>K6*100/K5</f>
        <v>3.7570766855378279</v>
      </c>
    </row>
    <row r="7" spans="1:12" s="14" customFormat="1" ht="23.25" customHeight="1">
      <c r="A7" s="133" t="s">
        <v>30</v>
      </c>
      <c r="B7" s="134"/>
      <c r="C7" s="17" t="s">
        <v>34</v>
      </c>
      <c r="D7" s="49" t="s">
        <v>34</v>
      </c>
      <c r="E7" s="49" t="s">
        <v>34</v>
      </c>
      <c r="F7" s="24">
        <v>0</v>
      </c>
      <c r="G7" s="24">
        <v>0</v>
      </c>
      <c r="H7" s="24">
        <v>0</v>
      </c>
      <c r="I7" s="24">
        <v>0</v>
      </c>
      <c r="J7" s="36">
        <v>0</v>
      </c>
      <c r="K7" s="24">
        <v>0</v>
      </c>
      <c r="L7" s="37"/>
    </row>
    <row r="8" spans="1:12" s="2" customFormat="1" ht="42" customHeight="1" collapsed="1">
      <c r="A8" s="105" t="s">
        <v>11</v>
      </c>
      <c r="B8" s="105"/>
      <c r="C8" s="13">
        <v>175000</v>
      </c>
      <c r="D8" s="21">
        <v>20</v>
      </c>
      <c r="E8" s="21">
        <v>3500000</v>
      </c>
      <c r="F8" s="21">
        <v>839285.71428571432</v>
      </c>
      <c r="G8" s="21">
        <v>7</v>
      </c>
      <c r="H8" s="21">
        <v>5875000</v>
      </c>
      <c r="I8" s="21">
        <f>K8/J8</f>
        <v>347222.22222222225</v>
      </c>
      <c r="J8" s="23">
        <v>27</v>
      </c>
      <c r="K8" s="21">
        <f>5875000+K9</f>
        <v>9375000</v>
      </c>
      <c r="L8" s="25">
        <f>K8*100/K5</f>
        <v>19.300051466803911</v>
      </c>
    </row>
    <row r="9" spans="1:12" s="12" customFormat="1" ht="24.75" customHeight="1">
      <c r="A9" s="133" t="s">
        <v>30</v>
      </c>
      <c r="B9" s="134"/>
      <c r="C9" s="13">
        <v>175000</v>
      </c>
      <c r="D9" s="24">
        <v>20</v>
      </c>
      <c r="E9" s="24">
        <v>3500000</v>
      </c>
      <c r="F9" s="49">
        <v>0</v>
      </c>
      <c r="G9" s="49">
        <v>0</v>
      </c>
      <c r="H9" s="49">
        <v>0</v>
      </c>
      <c r="I9" s="24">
        <v>175000</v>
      </c>
      <c r="J9" s="36">
        <v>20</v>
      </c>
      <c r="K9" s="24">
        <v>3500000</v>
      </c>
      <c r="L9" s="37"/>
    </row>
    <row r="10" spans="1:12" s="2" customFormat="1" ht="31.5" customHeight="1" collapsed="1">
      <c r="A10" s="105" t="s">
        <v>12</v>
      </c>
      <c r="B10" s="105"/>
      <c r="C10" s="13">
        <f>E10/D10</f>
        <v>993750</v>
      </c>
      <c r="D10" s="21">
        <v>20</v>
      </c>
      <c r="E10" s="21">
        <f>18300000+E11</f>
        <v>19875000</v>
      </c>
      <c r="F10" s="22">
        <v>0</v>
      </c>
      <c r="G10" s="22">
        <v>0</v>
      </c>
      <c r="H10" s="22">
        <v>0</v>
      </c>
      <c r="I10" s="24">
        <f>K10/J10</f>
        <v>993750</v>
      </c>
      <c r="J10" s="21">
        <v>20</v>
      </c>
      <c r="K10" s="21">
        <f>18300000+K11</f>
        <v>19875000</v>
      </c>
      <c r="L10" s="25">
        <f>K10/K5*100</f>
        <v>40.916109109624294</v>
      </c>
    </row>
    <row r="11" spans="1:12" s="50" customFormat="1" ht="17.25">
      <c r="A11" s="133" t="s">
        <v>30</v>
      </c>
      <c r="B11" s="134"/>
      <c r="C11" s="13">
        <v>175000</v>
      </c>
      <c r="D11" s="24">
        <v>9</v>
      </c>
      <c r="E11" s="24">
        <v>1575000</v>
      </c>
      <c r="F11" s="49">
        <v>0</v>
      </c>
      <c r="G11" s="49">
        <v>0</v>
      </c>
      <c r="H11" s="49">
        <v>0</v>
      </c>
      <c r="I11" s="24">
        <v>175000</v>
      </c>
      <c r="J11" s="36">
        <v>9</v>
      </c>
      <c r="K11" s="24">
        <v>1575000</v>
      </c>
      <c r="L11" s="37"/>
    </row>
    <row r="12" spans="1:12" s="2" customFormat="1" ht="23.25" customHeight="1" collapsed="1">
      <c r="A12" s="105" t="s">
        <v>14</v>
      </c>
      <c r="B12" s="105"/>
      <c r="C12" s="8">
        <f>E12/D12</f>
        <v>625000</v>
      </c>
      <c r="D12" s="21">
        <v>28</v>
      </c>
      <c r="E12" s="21">
        <f>16800000+E13</f>
        <v>17500000</v>
      </c>
      <c r="F12" s="22">
        <v>0</v>
      </c>
      <c r="G12" s="22">
        <v>0</v>
      </c>
      <c r="H12" s="22">
        <v>0</v>
      </c>
      <c r="I12" s="21">
        <f>K12/J12</f>
        <v>625000</v>
      </c>
      <c r="J12" s="21">
        <v>28</v>
      </c>
      <c r="K12" s="21">
        <f>16800000+K13</f>
        <v>17500000</v>
      </c>
      <c r="L12" s="25">
        <f>K12/K5*100</f>
        <v>36.026762738033966</v>
      </c>
    </row>
    <row r="13" spans="1:12" s="12" customFormat="1" ht="17.25">
      <c r="A13" s="133" t="s">
        <v>30</v>
      </c>
      <c r="B13" s="134"/>
      <c r="C13" s="13">
        <v>175000</v>
      </c>
      <c r="D13" s="24">
        <v>4</v>
      </c>
      <c r="E13" s="24">
        <v>700000</v>
      </c>
      <c r="F13" s="49">
        <v>0</v>
      </c>
      <c r="G13" s="49">
        <v>0</v>
      </c>
      <c r="H13" s="49">
        <v>0</v>
      </c>
      <c r="I13" s="24">
        <v>175000</v>
      </c>
      <c r="J13" s="36">
        <v>4</v>
      </c>
      <c r="K13" s="24">
        <v>700000</v>
      </c>
      <c r="L13" s="26"/>
    </row>
  </sheetData>
  <mergeCells count="16">
    <mergeCell ref="B1:L1"/>
    <mergeCell ref="B2:L2"/>
    <mergeCell ref="L3:L4"/>
    <mergeCell ref="A13:B13"/>
    <mergeCell ref="C3:E3"/>
    <mergeCell ref="F3:H3"/>
    <mergeCell ref="I3:K3"/>
    <mergeCell ref="A7:B7"/>
    <mergeCell ref="A9:B9"/>
    <mergeCell ref="A11:B11"/>
    <mergeCell ref="A6:B6"/>
    <mergeCell ref="A8:B8"/>
    <mergeCell ref="A10:B10"/>
    <mergeCell ref="A12:B12"/>
    <mergeCell ref="A3:B4"/>
    <mergeCell ref="A5:B5"/>
  </mergeCells>
  <pageMargins left="0.28999999999999998" right="0.45" top="0.5600000000000000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view="pageBreakPreview" zoomScale="90" zoomScaleSheetLayoutView="90" workbookViewId="0">
      <selection activeCell="K20" activeCellId="1" sqref="E6 K20"/>
    </sheetView>
  </sheetViews>
  <sheetFormatPr defaultRowHeight="15"/>
  <cols>
    <col min="1" max="1" width="24.42578125" bestFit="1" customWidth="1"/>
    <col min="2" max="2" width="36.7109375" bestFit="1" customWidth="1"/>
    <col min="3" max="3" width="13" style="55" customWidth="1"/>
    <col min="4" max="4" width="11.28515625" style="55" customWidth="1"/>
    <col min="5" max="5" width="17" style="55" bestFit="1" customWidth="1"/>
    <col min="6" max="6" width="11.85546875" style="55" bestFit="1" customWidth="1"/>
    <col min="7" max="7" width="11.28515625" style="55" customWidth="1"/>
    <col min="8" max="8" width="16.140625" style="55" bestFit="1" customWidth="1"/>
    <col min="9" max="9" width="14.140625" style="55" bestFit="1" customWidth="1"/>
    <col min="10" max="10" width="12.42578125" style="55" customWidth="1"/>
    <col min="11" max="11" width="17.140625" style="55" bestFit="1" customWidth="1"/>
    <col min="12" max="12" width="15.28515625" style="55" bestFit="1" customWidth="1"/>
  </cols>
  <sheetData>
    <row r="1" spans="1:12" s="2" customFormat="1" ht="30.75" customHeight="1">
      <c r="A1" s="138" t="s">
        <v>2</v>
      </c>
      <c r="B1" s="139"/>
      <c r="C1" s="135" t="s">
        <v>3</v>
      </c>
      <c r="D1" s="136"/>
      <c r="E1" s="137"/>
      <c r="F1" s="135" t="s">
        <v>4</v>
      </c>
      <c r="G1" s="136"/>
      <c r="H1" s="137"/>
      <c r="I1" s="135" t="s">
        <v>5</v>
      </c>
      <c r="J1" s="136"/>
      <c r="K1" s="137"/>
      <c r="L1" s="29"/>
    </row>
    <row r="2" spans="1:12" s="2" customFormat="1" ht="65.25" customHeight="1">
      <c r="A2" s="140"/>
      <c r="B2" s="141"/>
      <c r="C2" s="3" t="s">
        <v>36</v>
      </c>
      <c r="D2" s="28" t="s">
        <v>7</v>
      </c>
      <c r="E2" s="28" t="s">
        <v>8</v>
      </c>
      <c r="F2" s="3" t="s">
        <v>9</v>
      </c>
      <c r="G2" s="28" t="s">
        <v>7</v>
      </c>
      <c r="H2" s="28" t="s">
        <v>8</v>
      </c>
      <c r="I2" s="3" t="s">
        <v>9</v>
      </c>
      <c r="J2" s="28" t="s">
        <v>7</v>
      </c>
      <c r="K2" s="28" t="s">
        <v>8</v>
      </c>
      <c r="L2" s="29" t="s">
        <v>35</v>
      </c>
    </row>
    <row r="3" spans="1:12" s="4" customFormat="1" ht="36" customHeight="1" collapsed="1">
      <c r="A3" s="142" t="s">
        <v>19</v>
      </c>
      <c r="B3" s="116"/>
      <c r="C3" s="28">
        <f>E3/D3</f>
        <v>815493.11926605506</v>
      </c>
      <c r="D3" s="6">
        <f>D4+D6+D8+D10</f>
        <v>436</v>
      </c>
      <c r="E3" s="6">
        <f>E4+E6+E8+E10</f>
        <v>355555000</v>
      </c>
      <c r="F3" s="8">
        <f>H3/G3</f>
        <v>626039.47368421056</v>
      </c>
      <c r="G3" s="6">
        <f>G4+G6+G8+G10</f>
        <v>190</v>
      </c>
      <c r="H3" s="6">
        <f>H4+H6+H8+H10</f>
        <v>118947500</v>
      </c>
      <c r="I3" s="28">
        <f>K3/J3</f>
        <v>757991.21405750804</v>
      </c>
      <c r="J3" s="6">
        <f>J4+J6+J8+J10</f>
        <v>626</v>
      </c>
      <c r="K3" s="6">
        <f>K4+K6+K8+K10</f>
        <v>474502500</v>
      </c>
      <c r="L3" s="25">
        <f>L4+L6+L8+L10</f>
        <v>99.999999999999986</v>
      </c>
    </row>
    <row r="4" spans="1:12" s="2" customFormat="1" ht="39" customHeight="1">
      <c r="A4" s="105" t="s">
        <v>10</v>
      </c>
      <c r="B4" s="105"/>
      <c r="C4" s="8">
        <f>E4/D4</f>
        <v>234693.87755102041</v>
      </c>
      <c r="D4" s="9">
        <f>4+D5</f>
        <v>49</v>
      </c>
      <c r="E4" s="9">
        <f>3625000+E5</f>
        <v>11500000</v>
      </c>
      <c r="F4" s="8">
        <f t="shared" ref="F4:F9" si="0">H4/G4</f>
        <v>500887.85046728974</v>
      </c>
      <c r="G4" s="8">
        <v>107</v>
      </c>
      <c r="H4" s="8">
        <v>53595000</v>
      </c>
      <c r="I4" s="8">
        <f t="shared" ref="I4:I11" si="1">K4/J4</f>
        <v>417275.641025641</v>
      </c>
      <c r="J4" s="9">
        <f>111+J5</f>
        <v>156</v>
      </c>
      <c r="K4" s="8">
        <f>57220000+K5</f>
        <v>65095000</v>
      </c>
      <c r="L4" s="25">
        <f>K4*100/K3</f>
        <v>13.718578932671587</v>
      </c>
    </row>
    <row r="5" spans="1:12" s="52" customFormat="1" ht="17.25">
      <c r="A5" s="133" t="s">
        <v>30</v>
      </c>
      <c r="B5" s="134"/>
      <c r="C5" s="13">
        <f t="shared" ref="C5:C11" si="2">E5/D5</f>
        <v>175000</v>
      </c>
      <c r="D5" s="13">
        <v>45</v>
      </c>
      <c r="E5" s="13">
        <v>7875000</v>
      </c>
      <c r="F5" s="13"/>
      <c r="G5" s="17">
        <v>0</v>
      </c>
      <c r="H5" s="17">
        <v>0</v>
      </c>
      <c r="I5" s="13">
        <f t="shared" si="1"/>
        <v>175000</v>
      </c>
      <c r="J5" s="51">
        <v>45</v>
      </c>
      <c r="K5" s="17">
        <v>7875000</v>
      </c>
      <c r="L5" s="53"/>
    </row>
    <row r="6" spans="1:12" s="7" customFormat="1" ht="42.75" customHeight="1" collapsed="1">
      <c r="A6" s="105" t="s">
        <v>11</v>
      </c>
      <c r="B6" s="105"/>
      <c r="C6" s="8">
        <f t="shared" si="2"/>
        <v>511946.90265486727</v>
      </c>
      <c r="D6" s="8">
        <f>21+D7</f>
        <v>113</v>
      </c>
      <c r="E6" s="8">
        <f>41750000+E7</f>
        <v>57850000</v>
      </c>
      <c r="F6" s="8">
        <f t="shared" si="0"/>
        <v>969423.07692307688</v>
      </c>
      <c r="G6" s="8">
        <v>65</v>
      </c>
      <c r="H6" s="8">
        <v>63012500</v>
      </c>
      <c r="I6" s="8">
        <f t="shared" si="1"/>
        <v>679002.80898876407</v>
      </c>
      <c r="J6" s="9">
        <f>86+J7</f>
        <v>178</v>
      </c>
      <c r="K6" s="9">
        <f>104762500+K7</f>
        <v>120862500</v>
      </c>
      <c r="L6" s="25">
        <f>K6*100/K3</f>
        <v>25.471414797603806</v>
      </c>
    </row>
    <row r="7" spans="1:12" s="52" customFormat="1" ht="17.25">
      <c r="A7" s="133" t="s">
        <v>30</v>
      </c>
      <c r="B7" s="134"/>
      <c r="C7" s="13">
        <f t="shared" si="2"/>
        <v>175000</v>
      </c>
      <c r="D7" s="13">
        <v>92</v>
      </c>
      <c r="E7" s="13">
        <v>16100000</v>
      </c>
      <c r="F7" s="13"/>
      <c r="G7" s="51">
        <v>0</v>
      </c>
      <c r="H7" s="51">
        <v>0</v>
      </c>
      <c r="I7" s="13">
        <f t="shared" si="1"/>
        <v>175000</v>
      </c>
      <c r="J7" s="15">
        <v>92</v>
      </c>
      <c r="K7" s="13">
        <v>16100000</v>
      </c>
      <c r="L7" s="53"/>
    </row>
    <row r="8" spans="1:12" s="7" customFormat="1" ht="43.5" customHeight="1" collapsed="1">
      <c r="A8" s="105" t="s">
        <v>12</v>
      </c>
      <c r="B8" s="105"/>
      <c r="C8" s="8">
        <f t="shared" si="2"/>
        <v>1788913.043478261</v>
      </c>
      <c r="D8" s="8">
        <f>79+D9</f>
        <v>92</v>
      </c>
      <c r="E8" s="8">
        <f>162305000+E9</f>
        <v>164580000</v>
      </c>
      <c r="F8" s="8">
        <f t="shared" si="0"/>
        <v>130000</v>
      </c>
      <c r="G8" s="9">
        <v>18</v>
      </c>
      <c r="H8" s="9">
        <v>2340000</v>
      </c>
      <c r="I8" s="8">
        <f t="shared" si="1"/>
        <v>1517454.5454545454</v>
      </c>
      <c r="J8" s="9">
        <f>79+J9</f>
        <v>110</v>
      </c>
      <c r="K8" s="9">
        <f>162305000+K9</f>
        <v>166920000</v>
      </c>
      <c r="L8" s="25">
        <f>K8/K3*100</f>
        <v>35.177896849858534</v>
      </c>
    </row>
    <row r="9" spans="1:12" s="52" customFormat="1" ht="17.25">
      <c r="A9" s="133" t="s">
        <v>30</v>
      </c>
      <c r="B9" s="134"/>
      <c r="C9" s="13">
        <f t="shared" si="2"/>
        <v>175000</v>
      </c>
      <c r="D9" s="13">
        <v>13</v>
      </c>
      <c r="E9" s="13">
        <v>2275000</v>
      </c>
      <c r="F9" s="13">
        <f t="shared" si="0"/>
        <v>130000</v>
      </c>
      <c r="G9" s="15">
        <v>18</v>
      </c>
      <c r="H9" s="15">
        <v>2340000</v>
      </c>
      <c r="I9" s="13">
        <f t="shared" si="1"/>
        <v>148870.96774193548</v>
      </c>
      <c r="J9" s="15">
        <v>31</v>
      </c>
      <c r="K9" s="13">
        <v>4615000</v>
      </c>
      <c r="L9" s="53"/>
    </row>
    <row r="10" spans="1:12" s="4" customFormat="1" ht="42" customHeight="1" collapsed="1">
      <c r="A10" s="105" t="s">
        <v>14</v>
      </c>
      <c r="B10" s="105"/>
      <c r="C10" s="8">
        <f t="shared" si="2"/>
        <v>668269.23076923075</v>
      </c>
      <c r="D10" s="8">
        <f>171+D11</f>
        <v>182</v>
      </c>
      <c r="E10" s="8">
        <f>119700000+E11</f>
        <v>121625000</v>
      </c>
      <c r="F10" s="8"/>
      <c r="G10" s="11">
        <v>0</v>
      </c>
      <c r="H10" s="11">
        <v>0</v>
      </c>
      <c r="I10" s="8">
        <f t="shared" si="1"/>
        <v>668269.23076923075</v>
      </c>
      <c r="J10" s="8">
        <f>171+J11</f>
        <v>182</v>
      </c>
      <c r="K10" s="8">
        <f>119700000+K11</f>
        <v>121625000</v>
      </c>
      <c r="L10" s="25">
        <f>K10/K3*100</f>
        <v>25.632109419866072</v>
      </c>
    </row>
    <row r="11" spans="1:12" s="32" customFormat="1" ht="19.5" customHeight="1">
      <c r="A11" s="133" t="s">
        <v>30</v>
      </c>
      <c r="B11" s="134"/>
      <c r="C11" s="8">
        <f t="shared" si="2"/>
        <v>175000</v>
      </c>
      <c r="D11" s="13">
        <v>11</v>
      </c>
      <c r="E11" s="13">
        <v>1925000</v>
      </c>
      <c r="F11" s="8"/>
      <c r="G11" s="17">
        <v>0</v>
      </c>
      <c r="H11" s="17">
        <v>0</v>
      </c>
      <c r="I11" s="8">
        <f t="shared" si="1"/>
        <v>175000</v>
      </c>
      <c r="J11" s="15">
        <v>11</v>
      </c>
      <c r="K11" s="13">
        <v>1925000</v>
      </c>
      <c r="L11" s="54"/>
    </row>
  </sheetData>
  <mergeCells count="13">
    <mergeCell ref="F1:H1"/>
    <mergeCell ref="I1:K1"/>
    <mergeCell ref="A4:B4"/>
    <mergeCell ref="A5:B5"/>
    <mergeCell ref="A9:B9"/>
    <mergeCell ref="C1:E1"/>
    <mergeCell ref="A1:B2"/>
    <mergeCell ref="A3:B3"/>
    <mergeCell ref="A11:B11"/>
    <mergeCell ref="A6:B6"/>
    <mergeCell ref="A8:B8"/>
    <mergeCell ref="A10:B10"/>
    <mergeCell ref="A7:B7"/>
  </mergeCells>
  <pageMargins left="0.16" right="0.19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M11"/>
  <sheetViews>
    <sheetView view="pageBreakPreview" zoomScale="80" zoomScaleSheetLayoutView="80" workbookViewId="0">
      <selection activeCell="K20" activeCellId="1" sqref="E6 K20"/>
    </sheetView>
  </sheetViews>
  <sheetFormatPr defaultRowHeight="15"/>
  <cols>
    <col min="1" max="1" width="24.42578125" bestFit="1" customWidth="1"/>
    <col min="2" max="2" width="36.7109375" bestFit="1" customWidth="1"/>
    <col min="3" max="3" width="14.85546875" customWidth="1"/>
    <col min="4" max="4" width="10.85546875" customWidth="1"/>
    <col min="5" max="5" width="19.7109375" bestFit="1" customWidth="1"/>
    <col min="6" max="6" width="14" bestFit="1" customWidth="1"/>
    <col min="7" max="7" width="12.85546875" customWidth="1"/>
    <col min="8" max="8" width="19" bestFit="1" customWidth="1"/>
    <col min="9" max="9" width="13" customWidth="1"/>
    <col min="10" max="10" width="11.5703125" customWidth="1"/>
    <col min="11" max="11" width="20.140625" bestFit="1" customWidth="1"/>
    <col min="12" max="12" width="9.28515625" bestFit="1" customWidth="1"/>
  </cols>
  <sheetData>
    <row r="1" spans="1:143" s="2" customFormat="1" ht="30.75" customHeight="1">
      <c r="A1" s="98" t="s">
        <v>2</v>
      </c>
      <c r="B1" s="99"/>
      <c r="C1" s="111" t="s">
        <v>3</v>
      </c>
      <c r="D1" s="111"/>
      <c r="E1" s="111"/>
      <c r="F1" s="111" t="s">
        <v>4</v>
      </c>
      <c r="G1" s="111"/>
      <c r="H1" s="111"/>
      <c r="I1" s="111" t="s">
        <v>5</v>
      </c>
      <c r="J1" s="111"/>
      <c r="K1" s="111"/>
      <c r="L1" s="125" t="s">
        <v>35</v>
      </c>
    </row>
    <row r="2" spans="1:143" s="2" customFormat="1" ht="65.25" customHeight="1">
      <c r="A2" s="100"/>
      <c r="B2" s="101"/>
      <c r="C2" s="28" t="s">
        <v>9</v>
      </c>
      <c r="D2" s="28" t="s">
        <v>7</v>
      </c>
      <c r="E2" s="28" t="s">
        <v>8</v>
      </c>
      <c r="F2" s="28" t="s">
        <v>9</v>
      </c>
      <c r="G2" s="28" t="s">
        <v>7</v>
      </c>
      <c r="H2" s="28" t="s">
        <v>8</v>
      </c>
      <c r="I2" s="28" t="s">
        <v>9</v>
      </c>
      <c r="J2" s="28" t="s">
        <v>7</v>
      </c>
      <c r="K2" s="28" t="s">
        <v>8</v>
      </c>
      <c r="L2" s="126"/>
    </row>
    <row r="3" spans="1:143" s="7" customFormat="1" ht="17.25" collapsed="1">
      <c r="A3" s="100" t="s">
        <v>20</v>
      </c>
      <c r="B3" s="101"/>
      <c r="C3" s="28">
        <f>E3/D3</f>
        <v>541691.17647058819</v>
      </c>
      <c r="D3" s="6">
        <f>D4+D6+D8+D10</f>
        <v>340</v>
      </c>
      <c r="E3" s="6">
        <f>E4+E6+E8+E10</f>
        <v>184175000</v>
      </c>
      <c r="F3" s="28">
        <f>H3/G3</f>
        <v>521718.75</v>
      </c>
      <c r="G3" s="6">
        <f>G4+G6+G8+G10</f>
        <v>64</v>
      </c>
      <c r="H3" s="6">
        <f>H4+H6+H8+H10</f>
        <v>33390000</v>
      </c>
      <c r="I3" s="28">
        <f>K3/J3</f>
        <v>538527.22772277228</v>
      </c>
      <c r="J3" s="6">
        <f>J4+J6+J8+J10</f>
        <v>404</v>
      </c>
      <c r="K3" s="6">
        <f>K4+K6+K8+K10</f>
        <v>217565000</v>
      </c>
      <c r="L3" s="40">
        <f>L4+L6+L8+L10</f>
        <v>100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</row>
    <row r="4" spans="1:143" s="7" customFormat="1" ht="35.25" customHeight="1">
      <c r="A4" s="104" t="s">
        <v>10</v>
      </c>
      <c r="B4" s="105"/>
      <c r="C4" s="8">
        <f>E4/D4</f>
        <v>336009.17431192659</v>
      </c>
      <c r="D4" s="8">
        <f>14+D5</f>
        <v>109</v>
      </c>
      <c r="E4" s="8">
        <f>20000000+E5</f>
        <v>36625000</v>
      </c>
      <c r="F4" s="8">
        <f>H4/G4</f>
        <v>454673.91304347827</v>
      </c>
      <c r="G4" s="8">
        <v>46</v>
      </c>
      <c r="H4" s="8">
        <v>20915000</v>
      </c>
      <c r="I4" s="8">
        <f>K4/J4</f>
        <v>371225.80645161291</v>
      </c>
      <c r="J4" s="9">
        <f>60+J5</f>
        <v>155</v>
      </c>
      <c r="K4" s="8">
        <f>40915000+K5</f>
        <v>57540000</v>
      </c>
      <c r="L4" s="40">
        <f>K4*100/K3</f>
        <v>26.447268632362743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143" s="52" customFormat="1" ht="17.25">
      <c r="A5" s="96" t="s">
        <v>30</v>
      </c>
      <c r="B5" s="97"/>
      <c r="C5" s="13">
        <f t="shared" ref="C5:C11" si="0">E5/D5</f>
        <v>175000</v>
      </c>
      <c r="D5" s="13">
        <v>95</v>
      </c>
      <c r="E5" s="13">
        <v>16625000</v>
      </c>
      <c r="F5" s="13"/>
      <c r="G5" s="17">
        <v>0</v>
      </c>
      <c r="H5" s="17">
        <v>0</v>
      </c>
      <c r="I5" s="13">
        <f t="shared" ref="I5:I11" si="1">K5/J5</f>
        <v>175000</v>
      </c>
      <c r="J5" s="15">
        <v>95</v>
      </c>
      <c r="K5" s="13">
        <v>16625000</v>
      </c>
      <c r="L5" s="41"/>
    </row>
    <row r="6" spans="1:143" s="7" customFormat="1" ht="38.25" customHeight="1" collapsed="1">
      <c r="A6" s="104" t="s">
        <v>11</v>
      </c>
      <c r="B6" s="105"/>
      <c r="C6" s="8">
        <f t="shared" si="0"/>
        <v>299489.79591836734</v>
      </c>
      <c r="D6" s="8">
        <f>4+D7</f>
        <v>49</v>
      </c>
      <c r="E6" s="8">
        <f>6800000+E7</f>
        <v>14675000</v>
      </c>
      <c r="F6" s="8">
        <f t="shared" ref="F6:F9" si="2">H6/G6</f>
        <v>909615.38461538462</v>
      </c>
      <c r="G6" s="8">
        <v>13</v>
      </c>
      <c r="H6" s="8">
        <v>11825000</v>
      </c>
      <c r="I6" s="8">
        <f t="shared" si="1"/>
        <v>427419.3548387097</v>
      </c>
      <c r="J6" s="9">
        <f>17+J7</f>
        <v>62</v>
      </c>
      <c r="K6" s="8">
        <f>18625000+K7</f>
        <v>26500000</v>
      </c>
      <c r="L6" s="40">
        <f>K6*100/K3</f>
        <v>12.180267965895249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52" customFormat="1" ht="17.25">
      <c r="A7" s="96" t="s">
        <v>30</v>
      </c>
      <c r="B7" s="97"/>
      <c r="C7" s="13">
        <f t="shared" si="0"/>
        <v>175000</v>
      </c>
      <c r="D7" s="13">
        <v>45</v>
      </c>
      <c r="E7" s="13">
        <v>7875000</v>
      </c>
      <c r="F7" s="13"/>
      <c r="G7" s="17">
        <v>0</v>
      </c>
      <c r="H7" s="17">
        <v>0</v>
      </c>
      <c r="I7" s="13">
        <f t="shared" si="1"/>
        <v>175000</v>
      </c>
      <c r="J7" s="15">
        <v>45</v>
      </c>
      <c r="K7" s="13">
        <v>7875000</v>
      </c>
      <c r="L7" s="41"/>
    </row>
    <row r="8" spans="1:143" s="7" customFormat="1" ht="24" customHeight="1" collapsed="1">
      <c r="A8" s="145" t="s">
        <v>12</v>
      </c>
      <c r="B8" s="146"/>
      <c r="C8" s="8">
        <f t="shared" si="0"/>
        <v>1006428.5714285715</v>
      </c>
      <c r="D8" s="8">
        <f>18+D9</f>
        <v>35</v>
      </c>
      <c r="E8" s="8">
        <f>32250000+E9</f>
        <v>35225000</v>
      </c>
      <c r="F8" s="8">
        <f t="shared" si="2"/>
        <v>130000</v>
      </c>
      <c r="G8" s="8">
        <v>5</v>
      </c>
      <c r="H8" s="8">
        <v>650000</v>
      </c>
      <c r="I8" s="8">
        <f t="shared" si="1"/>
        <v>896875</v>
      </c>
      <c r="J8" s="16">
        <f>18+J9</f>
        <v>40</v>
      </c>
      <c r="K8" s="16">
        <f>32250000+K9</f>
        <v>35875000</v>
      </c>
      <c r="L8" s="40">
        <f>K8/K3*100</f>
        <v>16.48932502930159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143" s="52" customFormat="1" ht="18.75" customHeight="1">
      <c r="A9" s="96" t="s">
        <v>30</v>
      </c>
      <c r="B9" s="97"/>
      <c r="C9" s="13">
        <f t="shared" si="0"/>
        <v>175000</v>
      </c>
      <c r="D9" s="13">
        <v>17</v>
      </c>
      <c r="E9" s="13">
        <v>2975000</v>
      </c>
      <c r="F9" s="13">
        <f t="shared" si="2"/>
        <v>130000</v>
      </c>
      <c r="G9" s="13">
        <v>5</v>
      </c>
      <c r="H9" s="13">
        <v>650000</v>
      </c>
      <c r="I9" s="13">
        <f t="shared" si="1"/>
        <v>164772.72727272726</v>
      </c>
      <c r="J9" s="58">
        <v>22</v>
      </c>
      <c r="K9" s="58">
        <v>3625000</v>
      </c>
      <c r="L9" s="41"/>
    </row>
    <row r="10" spans="1:143" s="4" customFormat="1" ht="19.5" customHeight="1" collapsed="1">
      <c r="A10" s="104" t="s">
        <v>14</v>
      </c>
      <c r="B10" s="105"/>
      <c r="C10" s="8">
        <f t="shared" si="0"/>
        <v>664285.71428571432</v>
      </c>
      <c r="D10" s="8">
        <f>137+D11</f>
        <v>147</v>
      </c>
      <c r="E10" s="8">
        <f>95900000+E11</f>
        <v>97650000</v>
      </c>
      <c r="F10" s="8"/>
      <c r="G10" s="11">
        <v>0</v>
      </c>
      <c r="H10" s="11">
        <v>0</v>
      </c>
      <c r="I10" s="8">
        <f t="shared" si="1"/>
        <v>664285.71428571432</v>
      </c>
      <c r="J10" s="8">
        <f>137+J11</f>
        <v>147</v>
      </c>
      <c r="K10" s="8">
        <f>95900000+K11</f>
        <v>97650000</v>
      </c>
      <c r="L10" s="40">
        <f>K10/K3*100</f>
        <v>44.88313837244042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</row>
    <row r="11" spans="1:143" s="32" customFormat="1" ht="18" customHeight="1" thickBot="1">
      <c r="A11" s="143" t="s">
        <v>30</v>
      </c>
      <c r="B11" s="144"/>
      <c r="C11" s="13">
        <f t="shared" si="0"/>
        <v>175000</v>
      </c>
      <c r="D11" s="59">
        <v>10</v>
      </c>
      <c r="E11" s="59">
        <v>1750000</v>
      </c>
      <c r="F11" s="13"/>
      <c r="G11" s="60">
        <v>0</v>
      </c>
      <c r="H11" s="60">
        <v>0</v>
      </c>
      <c r="I11" s="13">
        <f t="shared" si="1"/>
        <v>175000</v>
      </c>
      <c r="J11" s="61">
        <v>10</v>
      </c>
      <c r="K11" s="61">
        <v>1750000</v>
      </c>
      <c r="L11" s="5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</row>
  </sheetData>
  <mergeCells count="14">
    <mergeCell ref="L1:L2"/>
    <mergeCell ref="I1:K1"/>
    <mergeCell ref="A11:B11"/>
    <mergeCell ref="A6:B6"/>
    <mergeCell ref="A8:B8"/>
    <mergeCell ref="A10:B10"/>
    <mergeCell ref="A5:B5"/>
    <mergeCell ref="A7:B7"/>
    <mergeCell ref="A9:B9"/>
    <mergeCell ref="A1:B2"/>
    <mergeCell ref="A3:B3"/>
    <mergeCell ref="A4:B4"/>
    <mergeCell ref="C1:E1"/>
    <mergeCell ref="F1:H1"/>
  </mergeCells>
  <pageMargins left="0.38" right="0.31" top="0.75" bottom="0.75" header="0.3" footer="0.3"/>
  <pageSetup paperSize="9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M13"/>
  <sheetViews>
    <sheetView view="pageBreakPreview" zoomScaleSheetLayoutView="100" workbookViewId="0">
      <selection activeCell="K20" activeCellId="1" sqref="E6 K20"/>
    </sheetView>
  </sheetViews>
  <sheetFormatPr defaultRowHeight="15"/>
  <cols>
    <col min="1" max="1" width="24.42578125" bestFit="1" customWidth="1"/>
    <col min="2" max="2" width="36.7109375" bestFit="1" customWidth="1"/>
    <col min="3" max="3" width="13.7109375" bestFit="1" customWidth="1"/>
    <col min="4" max="4" width="12.140625" customWidth="1"/>
    <col min="5" max="5" width="19.28515625" bestFit="1" customWidth="1"/>
    <col min="6" max="6" width="11.7109375" bestFit="1" customWidth="1"/>
    <col min="7" max="7" width="12" customWidth="1"/>
    <col min="8" max="8" width="16.85546875" bestFit="1" customWidth="1"/>
    <col min="9" max="9" width="14.28515625" bestFit="1" customWidth="1"/>
    <col min="10" max="10" width="12" customWidth="1"/>
    <col min="11" max="11" width="18.5703125" bestFit="1" customWidth="1"/>
    <col min="12" max="12" width="12.5703125" bestFit="1" customWidth="1"/>
  </cols>
  <sheetData>
    <row r="1" spans="1:143" s="2" customFormat="1" ht="30.75" customHeight="1">
      <c r="A1" s="98" t="s">
        <v>2</v>
      </c>
      <c r="B1" s="99"/>
      <c r="C1" s="111" t="s">
        <v>3</v>
      </c>
      <c r="D1" s="111"/>
      <c r="E1" s="111"/>
      <c r="F1" s="111" t="s">
        <v>4</v>
      </c>
      <c r="G1" s="111"/>
      <c r="H1" s="111"/>
      <c r="I1" s="111" t="s">
        <v>5</v>
      </c>
      <c r="J1" s="111"/>
      <c r="K1" s="111"/>
      <c r="L1" s="62"/>
    </row>
    <row r="2" spans="1:143" s="2" customFormat="1" ht="65.25" customHeight="1">
      <c r="A2" s="100"/>
      <c r="B2" s="101"/>
      <c r="C2" s="28" t="s">
        <v>6</v>
      </c>
      <c r="D2" s="28" t="s">
        <v>7</v>
      </c>
      <c r="E2" s="28" t="s">
        <v>8</v>
      </c>
      <c r="F2" s="28" t="s">
        <v>9</v>
      </c>
      <c r="G2" s="28" t="s">
        <v>7</v>
      </c>
      <c r="H2" s="28" t="s">
        <v>8</v>
      </c>
      <c r="I2" s="28" t="s">
        <v>9</v>
      </c>
      <c r="J2" s="28" t="s">
        <v>7</v>
      </c>
      <c r="K2" s="28" t="s">
        <v>8</v>
      </c>
      <c r="L2" s="63" t="s">
        <v>35</v>
      </c>
    </row>
    <row r="3" spans="1:143" s="7" customFormat="1" ht="17.25" customHeight="1" collapsed="1">
      <c r="A3" s="100" t="s">
        <v>22</v>
      </c>
      <c r="B3" s="101"/>
      <c r="C3" s="28">
        <f>E3/D3</f>
        <v>833346.67734187352</v>
      </c>
      <c r="D3" s="6">
        <f>D4+D6+D8+D12+D10</f>
        <v>1249</v>
      </c>
      <c r="E3" s="6">
        <f>E4+E6+E8+E12+E10</f>
        <v>1040850000</v>
      </c>
      <c r="F3" s="28">
        <f>H3/G3</f>
        <v>470537.33766233764</v>
      </c>
      <c r="G3" s="6">
        <f>G4+G6+G8+G12+G10</f>
        <v>616</v>
      </c>
      <c r="H3" s="6">
        <f>H4+H6+H8+H12+H10</f>
        <v>289851000</v>
      </c>
      <c r="I3" s="28">
        <f>K3/J3</f>
        <v>713512.600536193</v>
      </c>
      <c r="J3" s="6">
        <f>J4+J6+J8+J12+J10</f>
        <v>1865</v>
      </c>
      <c r="K3" s="6">
        <f>K4+K6+K8+K12+K10</f>
        <v>1330701000</v>
      </c>
      <c r="L3" s="40">
        <f>L4+L6+L8+L12+L10</f>
        <v>100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</row>
    <row r="4" spans="1:143" s="7" customFormat="1" ht="34.5" customHeight="1">
      <c r="A4" s="104" t="s">
        <v>10</v>
      </c>
      <c r="B4" s="105"/>
      <c r="C4" s="8">
        <f>E4/D4</f>
        <v>482053.94190871372</v>
      </c>
      <c r="D4" s="9">
        <f>76+D5</f>
        <v>482</v>
      </c>
      <c r="E4" s="9">
        <f>161300000+E5</f>
        <v>232350000</v>
      </c>
      <c r="F4" s="8">
        <f>H4/G4</f>
        <v>455629.87012987013</v>
      </c>
      <c r="G4" s="9">
        <v>462</v>
      </c>
      <c r="H4" s="9">
        <v>210501000</v>
      </c>
      <c r="I4" s="8">
        <f>K4/J4</f>
        <v>469121.82203389832</v>
      </c>
      <c r="J4" s="9">
        <f>538+J5</f>
        <v>944</v>
      </c>
      <c r="K4" s="8">
        <f>371801000+K5</f>
        <v>442851000</v>
      </c>
      <c r="L4" s="40">
        <f>K4*100/K3</f>
        <v>33.279527106389793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143" s="52" customFormat="1" ht="17.25">
      <c r="A5" s="96" t="s">
        <v>30</v>
      </c>
      <c r="B5" s="97"/>
      <c r="C5" s="13">
        <f t="shared" ref="C5:C12" si="0">E5/D5</f>
        <v>175000</v>
      </c>
      <c r="D5" s="15">
        <v>406</v>
      </c>
      <c r="E5" s="15">
        <v>71050000</v>
      </c>
      <c r="F5" s="13"/>
      <c r="G5" s="17">
        <v>0</v>
      </c>
      <c r="H5" s="17">
        <v>0</v>
      </c>
      <c r="I5" s="13">
        <f t="shared" ref="I5:I11" si="1">K5/J5</f>
        <v>175000</v>
      </c>
      <c r="J5" s="15">
        <v>406</v>
      </c>
      <c r="K5" s="13">
        <v>71050000</v>
      </c>
      <c r="L5" s="41"/>
    </row>
    <row r="6" spans="1:143" s="7" customFormat="1" ht="32.25" customHeight="1" collapsed="1">
      <c r="A6" s="104" t="s">
        <v>11</v>
      </c>
      <c r="B6" s="105"/>
      <c r="C6" s="8">
        <f t="shared" si="0"/>
        <v>528057.55395683448</v>
      </c>
      <c r="D6" s="8">
        <f>31+D7</f>
        <v>139</v>
      </c>
      <c r="E6" s="8">
        <f>54500000+E7</f>
        <v>73400000</v>
      </c>
      <c r="F6" s="8">
        <f t="shared" ref="F6:F9" si="2">H6/G6</f>
        <v>931756.7567567568</v>
      </c>
      <c r="G6" s="8">
        <v>74</v>
      </c>
      <c r="H6" s="8">
        <v>68950000</v>
      </c>
      <c r="I6" s="8">
        <f t="shared" si="1"/>
        <v>668309.85915492952</v>
      </c>
      <c r="J6" s="9">
        <f>105+J7</f>
        <v>213</v>
      </c>
      <c r="K6" s="8">
        <f>123450000+K7</f>
        <v>142350000</v>
      </c>
      <c r="L6" s="40">
        <f>K6*100/K3</f>
        <v>10.697369281303613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52" customFormat="1" ht="17.25">
      <c r="A7" s="96" t="s">
        <v>30</v>
      </c>
      <c r="B7" s="97"/>
      <c r="C7" s="13">
        <f t="shared" si="0"/>
        <v>175000</v>
      </c>
      <c r="D7" s="13">
        <v>108</v>
      </c>
      <c r="E7" s="13">
        <v>18900000</v>
      </c>
      <c r="F7" s="13"/>
      <c r="G7" s="51">
        <v>0</v>
      </c>
      <c r="H7" s="51">
        <v>0</v>
      </c>
      <c r="I7" s="13">
        <f t="shared" si="1"/>
        <v>175000</v>
      </c>
      <c r="J7" s="15">
        <v>108</v>
      </c>
      <c r="K7" s="13">
        <v>18900000</v>
      </c>
      <c r="L7" s="41"/>
    </row>
    <row r="8" spans="1:143" s="7" customFormat="1" ht="20.25" customHeight="1" collapsed="1">
      <c r="A8" s="104" t="s">
        <v>12</v>
      </c>
      <c r="B8" s="105"/>
      <c r="C8" s="8">
        <f t="shared" si="0"/>
        <v>1959856.1151079137</v>
      </c>
      <c r="D8" s="8">
        <v>139</v>
      </c>
      <c r="E8" s="8">
        <v>272420000</v>
      </c>
      <c r="F8" s="8">
        <f t="shared" si="2"/>
        <v>130000</v>
      </c>
      <c r="G8" s="8">
        <v>80</v>
      </c>
      <c r="H8" s="8">
        <v>10400000</v>
      </c>
      <c r="I8" s="8">
        <f t="shared" si="1"/>
        <v>1291415.5251141551</v>
      </c>
      <c r="J8" s="9">
        <f>139+J9</f>
        <v>219</v>
      </c>
      <c r="K8" s="8">
        <f>272420000+K9</f>
        <v>282820000</v>
      </c>
      <c r="L8" s="40">
        <f>K8/K3*100</f>
        <v>21.2534596426996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143" s="52" customFormat="1" ht="17.25">
      <c r="A9" s="96" t="s">
        <v>30</v>
      </c>
      <c r="B9" s="97"/>
      <c r="C9" s="13"/>
      <c r="D9" s="17">
        <v>0</v>
      </c>
      <c r="E9" s="17">
        <v>0</v>
      </c>
      <c r="F9" s="13">
        <f t="shared" si="2"/>
        <v>130000</v>
      </c>
      <c r="G9" s="13">
        <v>80</v>
      </c>
      <c r="H9" s="13">
        <v>10400000</v>
      </c>
      <c r="I9" s="13">
        <f t="shared" si="1"/>
        <v>130000</v>
      </c>
      <c r="J9" s="15">
        <v>80</v>
      </c>
      <c r="K9" s="13">
        <v>10400000</v>
      </c>
      <c r="L9" s="41"/>
    </row>
    <row r="10" spans="1:143" s="4" customFormat="1" ht="30.75" customHeight="1" collapsed="1">
      <c r="A10" s="104" t="s">
        <v>14</v>
      </c>
      <c r="B10" s="105"/>
      <c r="C10" s="8">
        <f t="shared" si="0"/>
        <v>651766.78445229679</v>
      </c>
      <c r="D10" s="8">
        <f>257+D11</f>
        <v>283</v>
      </c>
      <c r="E10" s="8">
        <f>179900000+E11</f>
        <v>184450000</v>
      </c>
      <c r="F10" s="8"/>
      <c r="G10" s="11">
        <v>0</v>
      </c>
      <c r="H10" s="11">
        <v>0</v>
      </c>
      <c r="I10" s="8">
        <f t="shared" si="1"/>
        <v>651766.78445229679</v>
      </c>
      <c r="J10" s="9">
        <f>257+J11</f>
        <v>283</v>
      </c>
      <c r="K10" s="8">
        <f>179900000+K11</f>
        <v>184450000</v>
      </c>
      <c r="L10" s="40">
        <f>K10/K3*100</f>
        <v>13.861115306894636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</row>
    <row r="11" spans="1:143" s="32" customFormat="1" ht="15.75" customHeight="1">
      <c r="A11" s="96" t="s">
        <v>30</v>
      </c>
      <c r="B11" s="97"/>
      <c r="C11" s="13">
        <f t="shared" si="0"/>
        <v>175000</v>
      </c>
      <c r="D11" s="13">
        <v>26</v>
      </c>
      <c r="E11" s="13">
        <v>4550000</v>
      </c>
      <c r="F11" s="13"/>
      <c r="G11" s="17">
        <v>0</v>
      </c>
      <c r="H11" s="17">
        <v>0</v>
      </c>
      <c r="I11" s="13">
        <f t="shared" si="1"/>
        <v>175000</v>
      </c>
      <c r="J11" s="15">
        <v>26</v>
      </c>
      <c r="K11" s="13">
        <v>4550000</v>
      </c>
      <c r="L11" s="4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</row>
    <row r="12" spans="1:143" s="7" customFormat="1" ht="21.75" customHeight="1" collapsed="1">
      <c r="A12" s="104" t="s">
        <v>13</v>
      </c>
      <c r="B12" s="105"/>
      <c r="C12" s="8">
        <f t="shared" si="0"/>
        <v>1350631.067961165</v>
      </c>
      <c r="D12" s="8">
        <v>206</v>
      </c>
      <c r="E12" s="8">
        <v>278230000</v>
      </c>
      <c r="F12" s="8"/>
      <c r="G12" s="11">
        <v>0</v>
      </c>
      <c r="H12" s="11">
        <v>0</v>
      </c>
      <c r="I12" s="8">
        <f>K12/J12</f>
        <v>1350631.067961165</v>
      </c>
      <c r="J12" s="9">
        <v>206</v>
      </c>
      <c r="K12" s="8">
        <v>278230000</v>
      </c>
      <c r="L12" s="40">
        <f>K12/K3*100</f>
        <v>20.90852866271236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</row>
    <row r="13" spans="1:143" s="67" customFormat="1" ht="18.75" collapsed="1" thickBot="1">
      <c r="A13" s="143" t="s">
        <v>30</v>
      </c>
      <c r="B13" s="144"/>
      <c r="C13" s="64"/>
      <c r="D13" s="64"/>
      <c r="E13" s="65"/>
      <c r="F13" s="60"/>
      <c r="G13" s="60"/>
      <c r="H13" s="60"/>
      <c r="I13" s="59"/>
      <c r="J13" s="66"/>
      <c r="K13" s="59"/>
      <c r="L13" s="56"/>
    </row>
  </sheetData>
  <mergeCells count="15">
    <mergeCell ref="I1:K1"/>
    <mergeCell ref="A5:B5"/>
    <mergeCell ref="A7:B7"/>
    <mergeCell ref="A4:B4"/>
    <mergeCell ref="A6:B6"/>
    <mergeCell ref="A1:B2"/>
    <mergeCell ref="A3:B3"/>
    <mergeCell ref="A13:B13"/>
    <mergeCell ref="A11:B11"/>
    <mergeCell ref="A10:B10"/>
    <mergeCell ref="C1:E1"/>
    <mergeCell ref="F1:H1"/>
    <mergeCell ref="A8:B8"/>
    <mergeCell ref="A12:B12"/>
    <mergeCell ref="A9:B9"/>
  </mergeCells>
  <pageMargins left="0.35" right="0.2" top="0.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M11"/>
  <sheetViews>
    <sheetView view="pageBreakPreview" zoomScaleSheetLayoutView="100" workbookViewId="0">
      <selection activeCell="K20" activeCellId="1" sqref="E6 K20"/>
    </sheetView>
  </sheetViews>
  <sheetFormatPr defaultRowHeight="15"/>
  <cols>
    <col min="1" max="1" width="24.42578125" bestFit="1" customWidth="1"/>
    <col min="2" max="2" width="36.7109375" bestFit="1" customWidth="1"/>
    <col min="3" max="3" width="13.5703125" bestFit="1" customWidth="1"/>
    <col min="4" max="4" width="11.28515625" customWidth="1"/>
    <col min="5" max="5" width="17.140625" bestFit="1" customWidth="1"/>
    <col min="6" max="6" width="12.140625" bestFit="1" customWidth="1"/>
    <col min="7" max="7" width="11.7109375" customWidth="1"/>
    <col min="8" max="8" width="17" bestFit="1" customWidth="1"/>
    <col min="9" max="9" width="14.140625" bestFit="1" customWidth="1"/>
    <col min="10" max="10" width="11.42578125" customWidth="1"/>
    <col min="11" max="11" width="18" customWidth="1"/>
  </cols>
  <sheetData>
    <row r="1" spans="1:143" s="2" customFormat="1" ht="30.75" customHeight="1">
      <c r="A1" s="98" t="s">
        <v>2</v>
      </c>
      <c r="B1" s="99"/>
      <c r="C1" s="111" t="s">
        <v>3</v>
      </c>
      <c r="D1" s="111"/>
      <c r="E1" s="111"/>
      <c r="F1" s="111" t="s">
        <v>4</v>
      </c>
      <c r="G1" s="111"/>
      <c r="H1" s="111"/>
      <c r="I1" s="111" t="s">
        <v>5</v>
      </c>
      <c r="J1" s="111"/>
      <c r="K1" s="111"/>
      <c r="L1" s="62"/>
    </row>
    <row r="2" spans="1:143" s="2" customFormat="1" ht="65.25" customHeight="1">
      <c r="A2" s="100"/>
      <c r="B2" s="101"/>
      <c r="C2" s="28" t="s">
        <v>9</v>
      </c>
      <c r="D2" s="28" t="s">
        <v>7</v>
      </c>
      <c r="E2" s="28" t="s">
        <v>8</v>
      </c>
      <c r="F2" s="28" t="s">
        <v>9</v>
      </c>
      <c r="G2" s="28" t="s">
        <v>7</v>
      </c>
      <c r="H2" s="28" t="s">
        <v>8</v>
      </c>
      <c r="I2" s="28" t="s">
        <v>9</v>
      </c>
      <c r="J2" s="28" t="s">
        <v>7</v>
      </c>
      <c r="K2" s="28" t="s">
        <v>8</v>
      </c>
      <c r="L2" s="63" t="s">
        <v>35</v>
      </c>
    </row>
    <row r="3" spans="1:143" s="7" customFormat="1" ht="29.25" customHeight="1" collapsed="1">
      <c r="A3" s="100" t="s">
        <v>23</v>
      </c>
      <c r="B3" s="101"/>
      <c r="C3" s="28">
        <f>E3/D3</f>
        <v>713932.89841565699</v>
      </c>
      <c r="D3" s="6">
        <f>D4+D6+D8+D10</f>
        <v>1073</v>
      </c>
      <c r="E3" s="6">
        <f>E4+E6+E8+E10</f>
        <v>766050000</v>
      </c>
      <c r="F3" s="28">
        <f>H3/G3</f>
        <v>566187.84530386736</v>
      </c>
      <c r="G3" s="6">
        <f>G4+G6+G8+G10</f>
        <v>362</v>
      </c>
      <c r="H3" s="6">
        <f>H4+H6+H8+H10</f>
        <v>204960000</v>
      </c>
      <c r="I3" s="28">
        <f>K3/J3</f>
        <v>676662.02090592333</v>
      </c>
      <c r="J3" s="6">
        <f>J4+J6+J8+J10</f>
        <v>1435</v>
      </c>
      <c r="K3" s="6">
        <f>K4+K6+K8+K10</f>
        <v>971010000</v>
      </c>
      <c r="L3" s="40">
        <f>L4+L6+L8+L10</f>
        <v>100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</row>
    <row r="4" spans="1:143" s="7" customFormat="1" ht="35.25" customHeight="1">
      <c r="A4" s="104" t="s">
        <v>10</v>
      </c>
      <c r="B4" s="105"/>
      <c r="C4" s="8">
        <f>E4/D4</f>
        <v>222535.21126760563</v>
      </c>
      <c r="D4" s="8">
        <f>3+D5</f>
        <v>71</v>
      </c>
      <c r="E4" s="8">
        <f>3900000+E5</f>
        <v>15800000</v>
      </c>
      <c r="F4" s="8">
        <f>H4/G4</f>
        <v>444227.79922779923</v>
      </c>
      <c r="G4" s="8">
        <v>259</v>
      </c>
      <c r="H4" s="8">
        <v>115055000</v>
      </c>
      <c r="I4" s="8">
        <f>K4/J4</f>
        <v>396530.30303030304</v>
      </c>
      <c r="J4" s="9">
        <f>262+J5</f>
        <v>330</v>
      </c>
      <c r="K4" s="8">
        <f>118955000+K5</f>
        <v>130855000</v>
      </c>
      <c r="L4" s="40">
        <f>K4*100/K3</f>
        <v>13.476174292746729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143" s="52" customFormat="1" ht="29.25" customHeight="1">
      <c r="A5" s="96" t="s">
        <v>30</v>
      </c>
      <c r="B5" s="97"/>
      <c r="C5" s="13">
        <f t="shared" ref="C5:C11" si="0">E5/D5</f>
        <v>175000</v>
      </c>
      <c r="D5" s="13">
        <v>68</v>
      </c>
      <c r="E5" s="13">
        <v>11900000</v>
      </c>
      <c r="F5" s="13"/>
      <c r="G5" s="17">
        <v>0</v>
      </c>
      <c r="H5" s="17">
        <v>0</v>
      </c>
      <c r="I5" s="13">
        <f t="shared" ref="I5:I11" si="1">K5/J5</f>
        <v>175000</v>
      </c>
      <c r="J5" s="15">
        <v>68</v>
      </c>
      <c r="K5" s="13">
        <v>11900000</v>
      </c>
      <c r="L5" s="41"/>
    </row>
    <row r="6" spans="1:143" s="7" customFormat="1" ht="42" customHeight="1" collapsed="1">
      <c r="A6" s="104" t="s">
        <v>11</v>
      </c>
      <c r="B6" s="105"/>
      <c r="C6" s="8">
        <f t="shared" si="0"/>
        <v>525279.32960893854</v>
      </c>
      <c r="D6" s="8">
        <f>40+D7</f>
        <v>179</v>
      </c>
      <c r="E6" s="8">
        <f>69700000+E7</f>
        <v>94025000</v>
      </c>
      <c r="F6" s="8">
        <f t="shared" ref="F6:F9" si="2">H6/G6</f>
        <v>895150</v>
      </c>
      <c r="G6" s="8">
        <v>100</v>
      </c>
      <c r="H6" s="8">
        <v>89515000</v>
      </c>
      <c r="I6" s="8">
        <f t="shared" si="1"/>
        <v>657849.46236559143</v>
      </c>
      <c r="J6" s="9">
        <f>140+J7</f>
        <v>279</v>
      </c>
      <c r="K6" s="8">
        <f>159215000+K7</f>
        <v>183540000</v>
      </c>
      <c r="L6" s="40">
        <f>K6*100/K3</f>
        <v>18.90196805388204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52" customFormat="1" ht="29.25" customHeight="1">
      <c r="A7" s="96" t="s">
        <v>30</v>
      </c>
      <c r="B7" s="97"/>
      <c r="C7" s="13">
        <f t="shared" si="0"/>
        <v>175000</v>
      </c>
      <c r="D7" s="13">
        <v>139</v>
      </c>
      <c r="E7" s="13">
        <v>24325000</v>
      </c>
      <c r="F7" s="13"/>
      <c r="G7" s="17">
        <v>0</v>
      </c>
      <c r="H7" s="17">
        <v>0</v>
      </c>
      <c r="I7" s="13">
        <f t="shared" si="1"/>
        <v>175000</v>
      </c>
      <c r="J7" s="15">
        <v>139</v>
      </c>
      <c r="K7" s="13">
        <v>24325000</v>
      </c>
      <c r="L7" s="41"/>
    </row>
    <row r="8" spans="1:143" s="7" customFormat="1" ht="48" customHeight="1" collapsed="1">
      <c r="A8" s="104" t="s">
        <v>12</v>
      </c>
      <c r="B8" s="105"/>
      <c r="C8" s="8">
        <f t="shared" si="0"/>
        <v>1144058.2959641255</v>
      </c>
      <c r="D8" s="8">
        <f>128+D9</f>
        <v>223</v>
      </c>
      <c r="E8" s="8">
        <f>238500000+E9</f>
        <v>255125000</v>
      </c>
      <c r="F8" s="8">
        <f t="shared" si="2"/>
        <v>130000</v>
      </c>
      <c r="G8" s="8">
        <v>3</v>
      </c>
      <c r="H8" s="8">
        <v>390000</v>
      </c>
      <c r="I8" s="8">
        <f t="shared" si="1"/>
        <v>1130597.3451327435</v>
      </c>
      <c r="J8" s="9">
        <f>128+J9</f>
        <v>226</v>
      </c>
      <c r="K8" s="8">
        <f>238500000+K9</f>
        <v>255515000</v>
      </c>
      <c r="L8" s="40">
        <f>K8/K3*100</f>
        <v>26.314353096260596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143" s="52" customFormat="1" ht="17.25">
      <c r="A9" s="96" t="s">
        <v>30</v>
      </c>
      <c r="B9" s="97"/>
      <c r="C9" s="13">
        <f t="shared" si="0"/>
        <v>175000</v>
      </c>
      <c r="D9" s="13">
        <v>95</v>
      </c>
      <c r="E9" s="13">
        <v>16625000</v>
      </c>
      <c r="F9" s="13">
        <f t="shared" si="2"/>
        <v>130000</v>
      </c>
      <c r="G9" s="13">
        <v>3</v>
      </c>
      <c r="H9" s="13">
        <v>390000</v>
      </c>
      <c r="I9" s="13">
        <f t="shared" si="1"/>
        <v>173622.44897959183</v>
      </c>
      <c r="J9" s="15">
        <v>98</v>
      </c>
      <c r="K9" s="13">
        <v>17015000</v>
      </c>
      <c r="L9" s="41"/>
    </row>
    <row r="10" spans="1:143" s="4" customFormat="1" ht="39.75" customHeight="1" collapsed="1">
      <c r="A10" s="104" t="s">
        <v>14</v>
      </c>
      <c r="B10" s="105"/>
      <c r="C10" s="8">
        <f t="shared" si="0"/>
        <v>668500</v>
      </c>
      <c r="D10" s="8">
        <f>564+D11</f>
        <v>600</v>
      </c>
      <c r="E10" s="8">
        <f>394800000+E11</f>
        <v>401100000</v>
      </c>
      <c r="F10" s="8"/>
      <c r="G10" s="11">
        <v>0</v>
      </c>
      <c r="H10" s="11">
        <v>0</v>
      </c>
      <c r="I10" s="8">
        <f t="shared" si="1"/>
        <v>668500</v>
      </c>
      <c r="J10" s="9">
        <f>564+J11</f>
        <v>600</v>
      </c>
      <c r="K10" s="8">
        <f>394800000+K11</f>
        <v>401100000</v>
      </c>
      <c r="L10" s="40">
        <f>K10/K3*100</f>
        <v>41.307504557110633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</row>
    <row r="11" spans="1:143" s="32" customFormat="1" ht="18" thickBot="1">
      <c r="A11" s="143" t="s">
        <v>30</v>
      </c>
      <c r="B11" s="144"/>
      <c r="C11" s="59">
        <f t="shared" si="0"/>
        <v>175000</v>
      </c>
      <c r="D11" s="59">
        <v>36</v>
      </c>
      <c r="E11" s="59">
        <v>6300000</v>
      </c>
      <c r="F11" s="59"/>
      <c r="G11" s="60">
        <v>0</v>
      </c>
      <c r="H11" s="60">
        <v>0</v>
      </c>
      <c r="I11" s="59">
        <f t="shared" si="1"/>
        <v>175000</v>
      </c>
      <c r="J11" s="66">
        <v>36</v>
      </c>
      <c r="K11" s="59">
        <v>6300000</v>
      </c>
      <c r="L11" s="56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</row>
  </sheetData>
  <mergeCells count="13">
    <mergeCell ref="F1:H1"/>
    <mergeCell ref="I1:K1"/>
    <mergeCell ref="A4:B4"/>
    <mergeCell ref="A1:B2"/>
    <mergeCell ref="A3:B3"/>
    <mergeCell ref="A11:B11"/>
    <mergeCell ref="A6:B6"/>
    <mergeCell ref="A8:B8"/>
    <mergeCell ref="C1:E1"/>
    <mergeCell ref="A10:B10"/>
    <mergeCell ref="A5:B5"/>
    <mergeCell ref="A7:B7"/>
    <mergeCell ref="A9:B9"/>
  </mergeCells>
  <pageMargins left="0.25" right="0.2" top="0.75" bottom="0.75" header="0.3" footer="0.3"/>
  <pageSetup paperSize="9" scale="70" orientation="landscape" r:id="rId1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M11"/>
  <sheetViews>
    <sheetView view="pageBreakPreview" zoomScale="90" zoomScaleSheetLayoutView="90" workbookViewId="0">
      <selection activeCell="K20" activeCellId="1" sqref="E6 K20"/>
    </sheetView>
  </sheetViews>
  <sheetFormatPr defaultRowHeight="15"/>
  <cols>
    <col min="1" max="1" width="24.42578125" bestFit="1" customWidth="1"/>
    <col min="2" max="2" width="36.7109375" bestFit="1" customWidth="1"/>
    <col min="3" max="3" width="13.5703125" bestFit="1" customWidth="1"/>
    <col min="4" max="4" width="12.5703125" customWidth="1"/>
    <col min="5" max="5" width="17.140625" bestFit="1" customWidth="1"/>
    <col min="6" max="6" width="12.140625" bestFit="1" customWidth="1"/>
    <col min="7" max="7" width="11.42578125" customWidth="1"/>
    <col min="8" max="8" width="16.42578125" bestFit="1" customWidth="1"/>
    <col min="9" max="9" width="14.140625" bestFit="1" customWidth="1"/>
    <col min="10" max="10" width="11.7109375" customWidth="1"/>
    <col min="11" max="11" width="18.42578125" bestFit="1" customWidth="1"/>
  </cols>
  <sheetData>
    <row r="1" spans="1:143" s="2" customFormat="1" ht="30.75" customHeight="1">
      <c r="A1" s="98" t="s">
        <v>2</v>
      </c>
      <c r="B1" s="99"/>
      <c r="C1" s="111" t="s">
        <v>3</v>
      </c>
      <c r="D1" s="111"/>
      <c r="E1" s="111"/>
      <c r="F1" s="111" t="s">
        <v>4</v>
      </c>
      <c r="G1" s="111"/>
      <c r="H1" s="111"/>
      <c r="I1" s="111" t="s">
        <v>5</v>
      </c>
      <c r="J1" s="111"/>
      <c r="K1" s="111"/>
      <c r="L1" s="62"/>
    </row>
    <row r="2" spans="1:143" s="2" customFormat="1" ht="65.25" customHeight="1">
      <c r="A2" s="100"/>
      <c r="B2" s="101"/>
      <c r="C2" s="28" t="s">
        <v>9</v>
      </c>
      <c r="D2" s="28" t="s">
        <v>7</v>
      </c>
      <c r="E2" s="28" t="s">
        <v>8</v>
      </c>
      <c r="F2" s="28" t="s">
        <v>9</v>
      </c>
      <c r="G2" s="28" t="s">
        <v>7</v>
      </c>
      <c r="H2" s="28" t="s">
        <v>8</v>
      </c>
      <c r="I2" s="28" t="s">
        <v>9</v>
      </c>
      <c r="J2" s="28" t="s">
        <v>7</v>
      </c>
      <c r="K2" s="28" t="s">
        <v>8</v>
      </c>
      <c r="L2" s="63" t="s">
        <v>35</v>
      </c>
    </row>
    <row r="3" spans="1:143" s="7" customFormat="1" ht="17.25" collapsed="1">
      <c r="A3" s="100" t="s">
        <v>24</v>
      </c>
      <c r="B3" s="101"/>
      <c r="C3" s="28">
        <f>E3/D3</f>
        <v>518913.04347826086</v>
      </c>
      <c r="D3" s="6">
        <f>D4+D6+D8+D10</f>
        <v>115</v>
      </c>
      <c r="E3" s="6">
        <f>E4+E6+E8+E10</f>
        <v>59675000</v>
      </c>
      <c r="F3" s="28">
        <f>H3/G3</f>
        <v>570681.81818181823</v>
      </c>
      <c r="G3" s="6">
        <f>G4+G6+G8+G10</f>
        <v>44</v>
      </c>
      <c r="H3" s="6">
        <f>H4+H6+H8+H10</f>
        <v>25110000</v>
      </c>
      <c r="I3" s="28">
        <f>K3/J3</f>
        <v>525771.60493827157</v>
      </c>
      <c r="J3" s="6">
        <f>J4+J6+J8+J10</f>
        <v>162</v>
      </c>
      <c r="K3" s="6">
        <f>K4+K6+K8+K10</f>
        <v>85175000</v>
      </c>
      <c r="L3" s="40">
        <f>L4+L6+L8+L10</f>
        <v>99.999999999999986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</row>
    <row r="4" spans="1:143" s="7" customFormat="1" ht="39" customHeight="1">
      <c r="A4" s="104" t="s">
        <v>10</v>
      </c>
      <c r="B4" s="105"/>
      <c r="C4" s="8">
        <f>E4/D4</f>
        <v>221794.87179487178</v>
      </c>
      <c r="D4" s="8">
        <f>1+D5</f>
        <v>39</v>
      </c>
      <c r="E4" s="8">
        <f>2000000+E5</f>
        <v>8650000</v>
      </c>
      <c r="F4" s="8">
        <f>H4/G4</f>
        <v>372241.37931034481</v>
      </c>
      <c r="G4" s="8">
        <v>29</v>
      </c>
      <c r="H4" s="8">
        <v>10795000</v>
      </c>
      <c r="I4" s="8">
        <f>K4/J4</f>
        <v>285955.8823529412</v>
      </c>
      <c r="J4" s="9">
        <f>30+J5</f>
        <v>68</v>
      </c>
      <c r="K4" s="8">
        <f>12795000+K5</f>
        <v>19445000</v>
      </c>
      <c r="L4" s="40">
        <f>K4*100/K3</f>
        <v>22.829468740827707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</row>
    <row r="5" spans="1:143" s="52" customFormat="1" ht="17.25">
      <c r="A5" s="96" t="s">
        <v>30</v>
      </c>
      <c r="B5" s="97"/>
      <c r="C5" s="13">
        <f t="shared" ref="C5:C11" si="0">E5/D5</f>
        <v>175000</v>
      </c>
      <c r="D5" s="13">
        <v>38</v>
      </c>
      <c r="E5" s="13">
        <v>6650000</v>
      </c>
      <c r="F5" s="13"/>
      <c r="G5" s="17">
        <v>0</v>
      </c>
      <c r="H5" s="17">
        <v>0</v>
      </c>
      <c r="I5" s="13">
        <f t="shared" ref="I5:I11" si="1">K5/J5</f>
        <v>175000</v>
      </c>
      <c r="J5" s="15">
        <v>38</v>
      </c>
      <c r="K5" s="13">
        <v>6650000</v>
      </c>
      <c r="L5" s="41"/>
    </row>
    <row r="6" spans="1:143" s="10" customFormat="1" ht="40.5" customHeight="1" collapsed="1">
      <c r="A6" s="104" t="s">
        <v>11</v>
      </c>
      <c r="B6" s="105"/>
      <c r="C6" s="8">
        <f t="shared" si="0"/>
        <v>312820.51282051281</v>
      </c>
      <c r="D6" s="8">
        <f>5+D7</f>
        <v>39</v>
      </c>
      <c r="E6" s="8">
        <f>6250000+E7</f>
        <v>12200000</v>
      </c>
      <c r="F6" s="8">
        <f t="shared" ref="F6:F9" si="2">H6/G6</f>
        <v>954333.33333333337</v>
      </c>
      <c r="G6" s="8">
        <v>15</v>
      </c>
      <c r="H6" s="8">
        <v>14315000</v>
      </c>
      <c r="I6" s="8">
        <f t="shared" si="1"/>
        <v>491018.51851851854</v>
      </c>
      <c r="J6" s="9">
        <f>20+J7</f>
        <v>54</v>
      </c>
      <c r="K6" s="8">
        <f>20565000+K7</f>
        <v>26515000</v>
      </c>
      <c r="L6" s="40">
        <f>K6*100/K3</f>
        <v>31.130026416201936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</row>
    <row r="7" spans="1:143" s="52" customFormat="1" ht="17.25">
      <c r="A7" s="96" t="s">
        <v>30</v>
      </c>
      <c r="B7" s="97"/>
      <c r="C7" s="13">
        <f t="shared" si="0"/>
        <v>175000</v>
      </c>
      <c r="D7" s="13">
        <v>34</v>
      </c>
      <c r="E7" s="13">
        <v>5950000</v>
      </c>
      <c r="F7" s="13"/>
      <c r="G7" s="51">
        <v>0</v>
      </c>
      <c r="H7" s="51">
        <v>0</v>
      </c>
      <c r="I7" s="13">
        <f t="shared" si="1"/>
        <v>175000</v>
      </c>
      <c r="J7" s="15">
        <v>34</v>
      </c>
      <c r="K7" s="13">
        <v>5950000</v>
      </c>
      <c r="L7" s="41"/>
    </row>
    <row r="8" spans="1:143" s="7" customFormat="1" ht="27" customHeight="1" collapsed="1">
      <c r="A8" s="104" t="s">
        <v>12</v>
      </c>
      <c r="B8" s="105"/>
      <c r="C8" s="8">
        <f t="shared" si="0"/>
        <v>1217592.5925925926</v>
      </c>
      <c r="D8" s="8">
        <f>14+D9</f>
        <v>27</v>
      </c>
      <c r="E8" s="8">
        <f>30600000+E9</f>
        <v>32875000</v>
      </c>
      <c r="F8" s="8"/>
      <c r="G8" s="11">
        <v>0</v>
      </c>
      <c r="H8" s="11">
        <v>0</v>
      </c>
      <c r="I8" s="8">
        <f t="shared" si="1"/>
        <v>1108833.3333333333</v>
      </c>
      <c r="J8" s="9">
        <f>14+J9</f>
        <v>30</v>
      </c>
      <c r="K8" s="8">
        <f>30600000+K9</f>
        <v>33265000</v>
      </c>
      <c r="L8" s="40">
        <f>K8/K3*100</f>
        <v>39.054886997358381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</row>
    <row r="9" spans="1:143" s="52" customFormat="1" ht="17.25">
      <c r="A9" s="96" t="s">
        <v>30</v>
      </c>
      <c r="B9" s="97"/>
      <c r="C9" s="13">
        <f t="shared" si="0"/>
        <v>175000</v>
      </c>
      <c r="D9" s="13">
        <v>13</v>
      </c>
      <c r="E9" s="13">
        <v>2275000</v>
      </c>
      <c r="F9" s="13">
        <f t="shared" si="2"/>
        <v>130000</v>
      </c>
      <c r="G9" s="15">
        <v>3</v>
      </c>
      <c r="H9" s="15">
        <v>390000</v>
      </c>
      <c r="I9" s="13">
        <f t="shared" si="1"/>
        <v>166562.5</v>
      </c>
      <c r="J9" s="15">
        <v>16</v>
      </c>
      <c r="K9" s="13">
        <v>2665000</v>
      </c>
      <c r="L9" s="41"/>
    </row>
    <row r="10" spans="1:143" s="4" customFormat="1" ht="19.5" customHeight="1" collapsed="1">
      <c r="A10" s="104" t="s">
        <v>14</v>
      </c>
      <c r="B10" s="105"/>
      <c r="C10" s="8">
        <f t="shared" si="0"/>
        <v>595000</v>
      </c>
      <c r="D10" s="8">
        <f>8+D11</f>
        <v>10</v>
      </c>
      <c r="E10" s="8">
        <f>5600000+E11</f>
        <v>5950000</v>
      </c>
      <c r="F10" s="8"/>
      <c r="G10" s="11">
        <v>0</v>
      </c>
      <c r="H10" s="11">
        <v>0</v>
      </c>
      <c r="I10" s="8">
        <f t="shared" si="1"/>
        <v>595000</v>
      </c>
      <c r="J10" s="9">
        <f>8+J11</f>
        <v>10</v>
      </c>
      <c r="K10" s="8">
        <f>5600000+K11</f>
        <v>5950000</v>
      </c>
      <c r="L10" s="40">
        <f>K10/K3*100</f>
        <v>6.9856178456119755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</row>
    <row r="11" spans="1:143" s="32" customFormat="1" ht="25.5" customHeight="1" thickBot="1">
      <c r="A11" s="143" t="s">
        <v>30</v>
      </c>
      <c r="B11" s="144"/>
      <c r="C11" s="59">
        <f t="shared" si="0"/>
        <v>175000</v>
      </c>
      <c r="D11" s="59">
        <v>2</v>
      </c>
      <c r="E11" s="59">
        <v>350000</v>
      </c>
      <c r="F11" s="59"/>
      <c r="G11" s="60">
        <v>0</v>
      </c>
      <c r="H11" s="60">
        <v>0</v>
      </c>
      <c r="I11" s="59">
        <f t="shared" si="1"/>
        <v>175000</v>
      </c>
      <c r="J11" s="66">
        <v>2</v>
      </c>
      <c r="K11" s="59">
        <v>350000</v>
      </c>
      <c r="L11" s="56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</row>
  </sheetData>
  <mergeCells count="13">
    <mergeCell ref="A11:B11"/>
    <mergeCell ref="C1:E1"/>
    <mergeCell ref="F1:H1"/>
    <mergeCell ref="I1:K1"/>
    <mergeCell ref="A4:B4"/>
    <mergeCell ref="A1:B2"/>
    <mergeCell ref="A3:B3"/>
    <mergeCell ref="A6:B6"/>
    <mergeCell ref="A8:B8"/>
    <mergeCell ref="A10:B10"/>
    <mergeCell ref="A5:B5"/>
    <mergeCell ref="A7:B7"/>
    <mergeCell ref="A9:B9"/>
  </mergeCells>
  <pageMargins left="0.2" right="0.2" top="0.25" bottom="0.75" header="0.3" footer="0.3"/>
  <pageSetup paperSize="9" scale="72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Ընդամենը ծրագրերով</vt:lpstr>
      <vt:lpstr>Ընդամենը հիմնարկներով</vt:lpstr>
      <vt:lpstr>Գ.Լուսավորիչ</vt:lpstr>
      <vt:lpstr>Արամյանց</vt:lpstr>
      <vt:lpstr>Նատալի</vt:lpstr>
      <vt:lpstr>Հերացի</vt:lpstr>
      <vt:lpstr>Նորք--Մարաշ</vt:lpstr>
      <vt:lpstr>Էրեբունի</vt:lpstr>
      <vt:lpstr>Քանկոր</vt:lpstr>
      <vt:lpstr>Արմենիա</vt:lpstr>
      <vt:lpstr>Սրտաբանություն</vt:lpstr>
      <vt:lpstr>Գյումրի</vt:lpstr>
      <vt:lpstr>Գորիս</vt:lpstr>
      <vt:lpstr>Արամյանց!Print_Area</vt:lpstr>
      <vt:lpstr>Արմենիա!Print_Area</vt:lpstr>
      <vt:lpstr>Գ.Լուսավորիչ!Print_Area</vt:lpstr>
      <vt:lpstr>Գյումրի!Print_Area</vt:lpstr>
      <vt:lpstr>Գորիս!Print_Area</vt:lpstr>
      <vt:lpstr>Էրեբունի!Print_Area</vt:lpstr>
      <vt:lpstr>'Ընդամենը ծրագրերով'!Print_Area</vt:lpstr>
      <vt:lpstr>Հերացի!Print_Area</vt:lpstr>
      <vt:lpstr>Նատալի!Print_Area</vt:lpstr>
      <vt:lpstr>'Նորք--Մարաշ'!Print_Area</vt:lpstr>
      <vt:lpstr>Սրտաբանություն!Print_Area</vt:lpstr>
      <vt:lpstr>Քանկոր!Print_Area</vt:lpstr>
    </vt:vector>
  </TitlesOfParts>
  <Company>State Health Agency, Ministry of Healthcare of Repub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Karen.Mikaelyan</dc:creator>
  <cp:lastModifiedBy>Heghine.Davtyan</cp:lastModifiedBy>
  <cp:lastPrinted>2016-03-30T10:15:20Z</cp:lastPrinted>
  <dcterms:created xsi:type="dcterms:W3CDTF">2016-02-09T04:55:25Z</dcterms:created>
  <dcterms:modified xsi:type="dcterms:W3CDTF">2016-12-22T12:18:39Z</dcterms:modified>
</cp:coreProperties>
</file>